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03"/>
  <workbookPr codeName="ThisWorkbook"/>
  <mc:AlternateContent xmlns:mc="http://schemas.openxmlformats.org/markup-compatibility/2006">
    <mc:Choice Requires="x15">
      <x15ac:absPath xmlns:x15ac="http://schemas.microsoft.com/office/spreadsheetml/2010/11/ac" url="https://appriver3651005261-my.sharepoint.com/personal/athanasia_platis_sreb_org/Documents/InEdit_Tables/"/>
    </mc:Choice>
  </mc:AlternateContent>
  <xr:revisionPtr revIDLastSave="1498" documentId="8_{AD915232-4C27-4B61-BB5D-C6CA40FFEAB2}" xr6:coauthVersionLast="47" xr6:coauthVersionMax="47" xr10:uidLastSave="{B4E865D5-9587-4013-9F71-44A151271360}"/>
  <bookViews>
    <workbookView xWindow="-110" yWindow="-110" windowWidth="19420" windowHeight="10420" tabRatio="875" xr2:uid="{00000000-000D-0000-FFFF-FFFF00000000}"/>
  </bookViews>
  <sheets>
    <sheet name="TABLE 9" sheetId="3" r:id="rId1"/>
    <sheet name="Public H.S. Grad Rates (ACGR)" sheetId="36" r:id="rId2"/>
    <sheet name="NCES-Public Grads-all races" sheetId="1" r:id="rId3"/>
    <sheet name="NCES-Private Grads-all races" sheetId="4" r:id="rId4"/>
    <sheet name="NCES-Total Grads-all races" sheetId="9" r:id="rId5"/>
    <sheet name="WICHE Public Grads-RE PROJ" sheetId="32" r:id="rId6"/>
    <sheet name="WHICHE Public Grads-RE PROJ 20" sheetId="42" r:id="rId7"/>
    <sheet name="% Dist" sheetId="33" r:id="rId8"/>
    <sheet name="Public HS Grad Rates (ACGR)" sheetId="37" r:id="rId9"/>
    <sheet name="2011-12 ACGR, Disaggregated" sheetId="41" r:id="rId10"/>
    <sheet name="Years When Grad Numbs. Peak" sheetId="29" r:id="rId11"/>
    <sheet name="PubGrads-Sex-Race-Eth NCES NA " sheetId="30" r:id="rId12"/>
    <sheet name="Public H.S. Grad Rates (AFGR)" sheetId="19" r:id="rId13"/>
    <sheet name="Digest of Ed Stats Priv HS grad" sheetId="38" r:id="rId14"/>
    <sheet name="Projected Public HS Grads_NCES" sheetId="39" r:id="rId15"/>
  </sheets>
  <externalReferences>
    <externalReference r:id="rId16"/>
  </externalReferences>
  <definedNames>
    <definedName name="_1__123Graph_ACHART_1" hidden="1">'NCES-Public Grads-all races'!#REF!</definedName>
    <definedName name="_2__123Graph_XCHART_1" hidden="1">'NCES-Public Grads-all races'!$W$5:$BQ$5</definedName>
    <definedName name="_4WORD_M_001_07">#N/A</definedName>
    <definedName name="_4WORD_O_005_L_">#N/A</definedName>
    <definedName name="_8">'TABLE 9'!#REF!</definedName>
    <definedName name="_Fill" hidden="1">#REF!</definedName>
    <definedName name="_xlnm._FilterDatabase" localSheetId="2" hidden="1">'NCES-Public Grads-all races'!#REF!</definedName>
    <definedName name="DATA">'NCES-Public Grads-all races'!#REF!</definedName>
    <definedName name="_xlnm.Print_Area" localSheetId="3">'NCES-Private Grads-all races'!$B$1:$AK$4</definedName>
    <definedName name="_xlnm.Print_Area" localSheetId="2">'NCES-Public Grads-all races'!$B$1:$AQ$5</definedName>
    <definedName name="_xlnm.Print_Area" localSheetId="12">'Public H.S. Grad Rates (AFGR)'!$B$1:$V$66</definedName>
    <definedName name="_xlnm.Print_Area" localSheetId="0">'TABLE 9'!$A$1:$P$77</definedName>
    <definedName name="_xlnm.Print_Area">#N/A</definedName>
    <definedName name="PRINT_AREA_MI">#N/A</definedName>
    <definedName name="PROF8">'TABLE 9'!#REF!</definedName>
    <definedName name="S">'NCES-Public Grads-all races'!$W$23:$W$56</definedName>
    <definedName name="TABLE">'TABLE 9'!$A$1:$I$31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1" i="3" l="1"/>
  <c r="O12" i="3"/>
  <c r="BJ24" i="42" l="1"/>
  <c r="BJ23" i="42"/>
  <c r="BJ22" i="42"/>
  <c r="BJ21" i="42"/>
  <c r="BJ20" i="42"/>
  <c r="BJ19" i="42"/>
  <c r="BJ18" i="42"/>
  <c r="BJ17" i="42"/>
  <c r="BJ16" i="42"/>
  <c r="BJ15" i="42"/>
  <c r="BJ14" i="42"/>
  <c r="BJ13" i="42"/>
  <c r="BJ12" i="42"/>
  <c r="BJ11" i="42"/>
  <c r="BJ10" i="42"/>
  <c r="BJ9" i="42"/>
  <c r="BW62" i="42"/>
  <c r="BW61" i="42"/>
  <c r="BW32" i="42"/>
  <c r="BV62" i="42"/>
  <c r="BW60" i="42"/>
  <c r="BW46" i="42"/>
  <c r="BW31" i="42"/>
  <c r="BW59" i="42"/>
  <c r="BW45" i="42"/>
  <c r="BW30" i="42"/>
  <c r="BW14" i="42"/>
  <c r="BV61" i="42"/>
  <c r="BV47" i="42"/>
  <c r="BV32" i="42"/>
  <c r="BV17" i="42"/>
  <c r="BW65" i="42"/>
  <c r="BV67" i="42"/>
  <c r="BV23" i="42"/>
  <c r="BW50" i="42"/>
  <c r="BV66" i="42"/>
  <c r="BV22" i="42"/>
  <c r="BW49" i="42"/>
  <c r="BV65" i="42"/>
  <c r="BV36" i="42"/>
  <c r="BW48" i="42"/>
  <c r="BV64" i="42"/>
  <c r="BV20" i="42"/>
  <c r="BV63" i="42"/>
  <c r="BV19" i="42"/>
  <c r="BV48" i="42"/>
  <c r="BW58" i="42"/>
  <c r="BW44" i="42"/>
  <c r="BW29" i="42"/>
  <c r="BW13" i="42"/>
  <c r="BV60" i="42"/>
  <c r="BV46" i="42"/>
  <c r="BV31" i="42"/>
  <c r="BV16" i="42"/>
  <c r="BW9" i="42"/>
  <c r="BV39" i="42"/>
  <c r="BV12" i="42"/>
  <c r="BW36" i="42"/>
  <c r="BV53" i="42"/>
  <c r="BV11" i="42"/>
  <c r="BW35" i="42"/>
  <c r="BV52" i="42"/>
  <c r="BW63" i="42"/>
  <c r="BW18" i="42"/>
  <c r="BV9" i="42"/>
  <c r="BW17" i="42"/>
  <c r="BV35" i="42"/>
  <c r="BW16" i="42"/>
  <c r="BV34" i="42"/>
  <c r="BV33" i="42"/>
  <c r="BW55" i="42"/>
  <c r="BW40" i="42"/>
  <c r="BW24" i="42"/>
  <c r="BW12" i="42"/>
  <c r="BV59" i="42"/>
  <c r="BV45" i="42"/>
  <c r="BV30" i="42"/>
  <c r="BV15" i="42"/>
  <c r="BW54" i="42"/>
  <c r="BW39" i="42"/>
  <c r="BW23" i="42"/>
  <c r="BW11" i="42"/>
  <c r="BV58" i="42"/>
  <c r="BV44" i="42"/>
  <c r="BV29" i="42"/>
  <c r="BV14" i="42"/>
  <c r="BW67" i="42"/>
  <c r="BW53" i="42"/>
  <c r="BW38" i="42"/>
  <c r="BW22" i="42"/>
  <c r="BW10" i="42"/>
  <c r="BV55" i="42"/>
  <c r="BV40" i="42"/>
  <c r="BV28" i="42"/>
  <c r="BV13" i="42"/>
  <c r="BW66" i="42"/>
  <c r="BW52" i="42"/>
  <c r="BW37" i="42"/>
  <c r="BW21" i="42"/>
  <c r="BV54" i="42"/>
  <c r="BV24" i="42"/>
  <c r="BW51" i="42"/>
  <c r="BW20" i="42"/>
  <c r="BV38" i="42"/>
  <c r="BW64" i="42"/>
  <c r="BW19" i="42"/>
  <c r="BV37" i="42"/>
  <c r="BV10" i="42"/>
  <c r="BW34" i="42"/>
  <c r="BV51" i="42"/>
  <c r="BV21" i="42"/>
  <c r="BW33" i="42"/>
  <c r="BV50" i="42"/>
  <c r="BW47" i="42"/>
  <c r="BV49" i="42"/>
  <c r="BW15" i="42"/>
  <c r="BV18" i="42"/>
  <c r="BU45" i="42"/>
  <c r="BU59" i="42"/>
  <c r="BU29" i="42"/>
  <c r="BU28" i="42"/>
  <c r="BU54" i="42"/>
  <c r="BU39" i="42"/>
  <c r="BU24" i="42"/>
  <c r="BU12" i="42"/>
  <c r="BU37" i="42"/>
  <c r="BU10" i="42"/>
  <c r="BU65" i="42"/>
  <c r="BU36" i="42"/>
  <c r="BU21" i="42"/>
  <c r="BU50" i="42"/>
  <c r="BU20" i="42"/>
  <c r="BU49" i="42"/>
  <c r="BU19" i="42"/>
  <c r="BU62" i="42"/>
  <c r="BU33" i="42"/>
  <c r="BU61" i="42"/>
  <c r="BU17" i="42"/>
  <c r="BU60" i="42"/>
  <c r="BU31" i="42"/>
  <c r="BU15" i="42"/>
  <c r="BU44" i="42"/>
  <c r="BU55" i="42"/>
  <c r="BU13" i="42"/>
  <c r="BU67" i="42"/>
  <c r="BU53" i="42"/>
  <c r="BU38" i="42"/>
  <c r="BU23" i="42"/>
  <c r="BU11" i="42"/>
  <c r="BU66" i="42"/>
  <c r="BU52" i="42"/>
  <c r="BU22" i="42"/>
  <c r="BU51" i="42"/>
  <c r="BU9" i="42"/>
  <c r="BU64" i="42"/>
  <c r="BU35" i="42"/>
  <c r="BU63" i="42"/>
  <c r="BU34" i="42"/>
  <c r="BU47" i="42"/>
  <c r="BU18" i="42"/>
  <c r="BU48" i="42"/>
  <c r="BU32" i="42"/>
  <c r="BU46" i="42"/>
  <c r="BU16" i="42"/>
  <c r="BU30" i="42"/>
  <c r="BU58" i="42"/>
  <c r="BU14" i="42"/>
  <c r="BU40" i="42"/>
  <c r="BV26" i="42" l="1"/>
  <c r="BV42" i="42"/>
  <c r="BV56" i="42"/>
  <c r="BV7" i="42"/>
  <c r="BV5" i="42" s="1"/>
  <c r="BW7" i="42"/>
  <c r="BW26" i="42"/>
  <c r="BW42" i="42"/>
  <c r="BW56" i="42"/>
  <c r="BW5" i="42"/>
  <c r="BU56" i="42"/>
  <c r="BU7" i="42"/>
  <c r="BU42" i="42"/>
  <c r="BU26" i="42"/>
  <c r="BT60" i="42"/>
  <c r="BT46" i="42"/>
  <c r="BT59" i="42"/>
  <c r="BT45" i="42"/>
  <c r="BT39" i="42"/>
  <c r="BT53" i="42"/>
  <c r="BT52" i="42"/>
  <c r="BT65" i="42"/>
  <c r="BT64" i="42"/>
  <c r="BT35" i="42"/>
  <c r="BT63" i="42"/>
  <c r="BT48" i="42"/>
  <c r="BT61" i="42"/>
  <c r="BT47" i="42"/>
  <c r="BT58" i="42"/>
  <c r="BT44" i="42"/>
  <c r="BT55" i="42"/>
  <c r="BT40" i="42"/>
  <c r="BT54" i="42"/>
  <c r="BT67" i="42"/>
  <c r="BT38" i="42"/>
  <c r="BT66" i="42"/>
  <c r="BT37" i="42"/>
  <c r="BT51" i="42"/>
  <c r="BT36" i="42"/>
  <c r="BT50" i="42"/>
  <c r="BT49" i="42"/>
  <c r="BT62" i="42"/>
  <c r="BT42" i="42" l="1"/>
  <c r="BT56" i="42"/>
  <c r="BU5" i="42"/>
  <c r="BT28" i="42"/>
  <c r="BT13" i="42"/>
  <c r="BT24" i="42"/>
  <c r="BT12" i="42"/>
  <c r="BT10" i="42"/>
  <c r="BT9" i="42"/>
  <c r="BT20" i="42"/>
  <c r="BT34" i="42"/>
  <c r="BT18" i="42"/>
  <c r="BT17" i="42"/>
  <c r="BT16" i="42"/>
  <c r="BT15" i="42"/>
  <c r="BT14" i="42"/>
  <c r="BT23" i="42"/>
  <c r="BT11" i="42"/>
  <c r="BT22" i="42"/>
  <c r="BT21" i="42"/>
  <c r="BT19" i="42"/>
  <c r="BT33" i="42"/>
  <c r="BT32" i="42"/>
  <c r="BT31" i="42"/>
  <c r="BT30" i="42"/>
  <c r="BT29" i="42"/>
  <c r="BT7" i="42" l="1"/>
  <c r="BT26" i="42"/>
  <c r="BS42" i="42"/>
  <c r="BR42" i="42"/>
  <c r="BQ42" i="42"/>
  <c r="BP42" i="42"/>
  <c r="BO42" i="42"/>
  <c r="BN42" i="42"/>
  <c r="BM42" i="42"/>
  <c r="BL42" i="42"/>
  <c r="BK42" i="42"/>
  <c r="BS26" i="42"/>
  <c r="BR26" i="42"/>
  <c r="BQ26" i="42"/>
  <c r="BP26" i="42"/>
  <c r="BO26" i="42"/>
  <c r="BN26" i="42"/>
  <c r="BM26" i="42"/>
  <c r="BL26" i="42"/>
  <c r="BK26" i="42"/>
  <c r="BS7" i="42"/>
  <c r="BR7" i="42"/>
  <c r="BQ7" i="42"/>
  <c r="BP7" i="42"/>
  <c r="BO7" i="42"/>
  <c r="BN7" i="42"/>
  <c r="BM7" i="42"/>
  <c r="BL7" i="42"/>
  <c r="BK7" i="42"/>
  <c r="BT5" i="42" l="1"/>
  <c r="H67" i="42"/>
  <c r="I67" i="42" s="1"/>
  <c r="J67" i="42" s="1"/>
  <c r="K67" i="42" s="1"/>
  <c r="C67" i="42"/>
  <c r="H66" i="42"/>
  <c r="I66" i="42" s="1"/>
  <c r="J66" i="42" s="1"/>
  <c r="K66" i="42" s="1"/>
  <c r="C66" i="42"/>
  <c r="H65" i="42"/>
  <c r="I65" i="42" s="1"/>
  <c r="J65" i="42" s="1"/>
  <c r="K65" i="42" s="1"/>
  <c r="C65" i="42"/>
  <c r="H64" i="42"/>
  <c r="I64" i="42" s="1"/>
  <c r="J64" i="42" s="1"/>
  <c r="K64" i="42" s="1"/>
  <c r="C64" i="42"/>
  <c r="H63" i="42"/>
  <c r="I63" i="42" s="1"/>
  <c r="J63" i="42" s="1"/>
  <c r="K63" i="42" s="1"/>
  <c r="C63" i="42"/>
  <c r="H62" i="42"/>
  <c r="I62" i="42" s="1"/>
  <c r="J62" i="42" s="1"/>
  <c r="K62" i="42" s="1"/>
  <c r="C62" i="42"/>
  <c r="H61" i="42"/>
  <c r="I61" i="42" s="1"/>
  <c r="J61" i="42" s="1"/>
  <c r="K61" i="42" s="1"/>
  <c r="C61" i="42"/>
  <c r="H60" i="42"/>
  <c r="I60" i="42" s="1"/>
  <c r="J60" i="42" s="1"/>
  <c r="K60" i="42" s="1"/>
  <c r="C60" i="42"/>
  <c r="H59" i="42"/>
  <c r="I59" i="42" s="1"/>
  <c r="J59" i="42" s="1"/>
  <c r="K59" i="42" s="1"/>
  <c r="C59" i="42"/>
  <c r="H58" i="42"/>
  <c r="I58" i="42" s="1"/>
  <c r="C58" i="42"/>
  <c r="BI56" i="42"/>
  <c r="BH56" i="42"/>
  <c r="BG56" i="42"/>
  <c r="BF56" i="42"/>
  <c r="BE56" i="42"/>
  <c r="BD56" i="42"/>
  <c r="BC56" i="42"/>
  <c r="BB56" i="42"/>
  <c r="BA56" i="42"/>
  <c r="AZ56" i="42"/>
  <c r="AY56" i="42"/>
  <c r="AX56" i="42"/>
  <c r="AW56" i="42"/>
  <c r="AV56" i="42"/>
  <c r="AU56" i="42"/>
  <c r="AT56" i="42"/>
  <c r="AS56" i="42"/>
  <c r="AR56" i="42"/>
  <c r="AQ56" i="42"/>
  <c r="AP56" i="42"/>
  <c r="AO56" i="42"/>
  <c r="AN56" i="42"/>
  <c r="AM56" i="42"/>
  <c r="AL56" i="42"/>
  <c r="AK56" i="42"/>
  <c r="AJ56" i="42"/>
  <c r="AI56" i="42"/>
  <c r="AH56" i="42"/>
  <c r="AG56" i="42"/>
  <c r="AF56" i="42"/>
  <c r="AE56" i="42"/>
  <c r="AD56" i="42"/>
  <c r="AC56" i="42"/>
  <c r="AB56" i="42"/>
  <c r="AA56" i="42"/>
  <c r="Z56" i="42"/>
  <c r="Y56" i="42"/>
  <c r="X56" i="42"/>
  <c r="W56" i="42"/>
  <c r="V56" i="42"/>
  <c r="U56" i="42"/>
  <c r="T56" i="42"/>
  <c r="S56" i="42"/>
  <c r="R56" i="42"/>
  <c r="Q56" i="42"/>
  <c r="P56" i="42"/>
  <c r="O56" i="42"/>
  <c r="N56" i="42"/>
  <c r="M56" i="42"/>
  <c r="L56" i="42"/>
  <c r="G56" i="42"/>
  <c r="F56" i="42"/>
  <c r="E56" i="42"/>
  <c r="D56" i="42"/>
  <c r="B56" i="42"/>
  <c r="H55" i="42"/>
  <c r="I55" i="42" s="1"/>
  <c r="J55" i="42" s="1"/>
  <c r="K55" i="42" s="1"/>
  <c r="C55" i="42"/>
  <c r="H54" i="42"/>
  <c r="I54" i="42" s="1"/>
  <c r="J54" i="42" s="1"/>
  <c r="K54" i="42" s="1"/>
  <c r="C54" i="42"/>
  <c r="H53" i="42"/>
  <c r="I53" i="42" s="1"/>
  <c r="J53" i="42" s="1"/>
  <c r="K53" i="42" s="1"/>
  <c r="C53" i="42"/>
  <c r="H52" i="42"/>
  <c r="I52" i="42" s="1"/>
  <c r="J52" i="42" s="1"/>
  <c r="K52" i="42" s="1"/>
  <c r="C52" i="42"/>
  <c r="H51" i="42"/>
  <c r="I51" i="42" s="1"/>
  <c r="J51" i="42" s="1"/>
  <c r="K51" i="42" s="1"/>
  <c r="C51" i="42"/>
  <c r="H50" i="42"/>
  <c r="I50" i="42" s="1"/>
  <c r="J50" i="42" s="1"/>
  <c r="K50" i="42" s="1"/>
  <c r="C50" i="42"/>
  <c r="H49" i="42"/>
  <c r="I49" i="42" s="1"/>
  <c r="J49" i="42" s="1"/>
  <c r="K49" i="42" s="1"/>
  <c r="C49" i="42"/>
  <c r="H48" i="42"/>
  <c r="I48" i="42" s="1"/>
  <c r="J48" i="42" s="1"/>
  <c r="K48" i="42" s="1"/>
  <c r="C48" i="42"/>
  <c r="H47" i="42"/>
  <c r="I47" i="42" s="1"/>
  <c r="J47" i="42" s="1"/>
  <c r="K47" i="42" s="1"/>
  <c r="C47" i="42"/>
  <c r="H46" i="42"/>
  <c r="I46" i="42" s="1"/>
  <c r="J46" i="42" s="1"/>
  <c r="K46" i="42" s="1"/>
  <c r="C46" i="42"/>
  <c r="H45" i="42"/>
  <c r="I45" i="42" s="1"/>
  <c r="J45" i="42" s="1"/>
  <c r="K45" i="42" s="1"/>
  <c r="C45" i="42"/>
  <c r="H44" i="42"/>
  <c r="I44" i="42" s="1"/>
  <c r="J44" i="42" s="1"/>
  <c r="C44" i="42"/>
  <c r="BI42" i="42"/>
  <c r="BH42" i="42"/>
  <c r="BG42" i="42"/>
  <c r="BF42" i="42"/>
  <c r="BE42" i="42"/>
  <c r="BD42" i="42"/>
  <c r="BC42" i="42"/>
  <c r="BB42" i="42"/>
  <c r="BA42" i="42"/>
  <c r="AZ42" i="42"/>
  <c r="AY42" i="42"/>
  <c r="AX42" i="42"/>
  <c r="AW42" i="42"/>
  <c r="AV42" i="42"/>
  <c r="AU42" i="42"/>
  <c r="AT42" i="42"/>
  <c r="AS42" i="42"/>
  <c r="AR42" i="42"/>
  <c r="AQ42" i="42"/>
  <c r="AP42" i="42"/>
  <c r="AO42" i="42"/>
  <c r="AN42" i="42"/>
  <c r="AM42" i="42"/>
  <c r="AL42" i="42"/>
  <c r="AK42" i="42"/>
  <c r="AJ42" i="42"/>
  <c r="AI42" i="42"/>
  <c r="AH42" i="42"/>
  <c r="AG42" i="42"/>
  <c r="AF42" i="42"/>
  <c r="AE42" i="42"/>
  <c r="AD42" i="42"/>
  <c r="AC42" i="42"/>
  <c r="AB42" i="42"/>
  <c r="AA42" i="42"/>
  <c r="Z42" i="42"/>
  <c r="Y42" i="42"/>
  <c r="X42" i="42"/>
  <c r="W42" i="42"/>
  <c r="V42" i="42"/>
  <c r="U42" i="42"/>
  <c r="T42" i="42"/>
  <c r="S42" i="42"/>
  <c r="R42" i="42"/>
  <c r="Q42" i="42"/>
  <c r="P42" i="42"/>
  <c r="O42" i="42"/>
  <c r="N42" i="42"/>
  <c r="M42" i="42"/>
  <c r="L42" i="42"/>
  <c r="G42" i="42"/>
  <c r="F42" i="42"/>
  <c r="E42" i="42"/>
  <c r="D42" i="42"/>
  <c r="B42" i="42"/>
  <c r="H40" i="42"/>
  <c r="I40" i="42" s="1"/>
  <c r="J40" i="42" s="1"/>
  <c r="K40" i="42" s="1"/>
  <c r="C40" i="42"/>
  <c r="H39" i="42"/>
  <c r="I39" i="42" s="1"/>
  <c r="J39" i="42" s="1"/>
  <c r="K39" i="42" s="1"/>
  <c r="C39" i="42"/>
  <c r="H38" i="42"/>
  <c r="I38" i="42" s="1"/>
  <c r="J38" i="42" s="1"/>
  <c r="K38" i="42" s="1"/>
  <c r="C38" i="42"/>
  <c r="H37" i="42"/>
  <c r="I37" i="42" s="1"/>
  <c r="J37" i="42" s="1"/>
  <c r="K37" i="42" s="1"/>
  <c r="C37" i="42"/>
  <c r="H36" i="42"/>
  <c r="I36" i="42" s="1"/>
  <c r="J36" i="42" s="1"/>
  <c r="K36" i="42" s="1"/>
  <c r="C36" i="42"/>
  <c r="H35" i="42"/>
  <c r="I35" i="42" s="1"/>
  <c r="J35" i="42" s="1"/>
  <c r="K35" i="42" s="1"/>
  <c r="C35" i="42"/>
  <c r="H34" i="42"/>
  <c r="I34" i="42" s="1"/>
  <c r="J34" i="42" s="1"/>
  <c r="K34" i="42" s="1"/>
  <c r="C34" i="42"/>
  <c r="H33" i="42"/>
  <c r="I33" i="42" s="1"/>
  <c r="J33" i="42" s="1"/>
  <c r="K33" i="42" s="1"/>
  <c r="C33" i="42"/>
  <c r="H32" i="42"/>
  <c r="I32" i="42" s="1"/>
  <c r="J32" i="42" s="1"/>
  <c r="K32" i="42" s="1"/>
  <c r="C32" i="42"/>
  <c r="H31" i="42"/>
  <c r="I31" i="42" s="1"/>
  <c r="J31" i="42" s="1"/>
  <c r="K31" i="42" s="1"/>
  <c r="C31" i="42"/>
  <c r="H30" i="42"/>
  <c r="I30" i="42" s="1"/>
  <c r="J30" i="42" s="1"/>
  <c r="K30" i="42" s="1"/>
  <c r="C30" i="42"/>
  <c r="H29" i="42"/>
  <c r="I29" i="42" s="1"/>
  <c r="J29" i="42" s="1"/>
  <c r="K29" i="42" s="1"/>
  <c r="C29" i="42"/>
  <c r="H28" i="42"/>
  <c r="I28" i="42" s="1"/>
  <c r="C28" i="42"/>
  <c r="BI25" i="42"/>
  <c r="BH25" i="42"/>
  <c r="BG25" i="42"/>
  <c r="BF25" i="42"/>
  <c r="BE25" i="42"/>
  <c r="BD25" i="42"/>
  <c r="BC25" i="42"/>
  <c r="BB25" i="42"/>
  <c r="BA25" i="42"/>
  <c r="AZ25" i="42"/>
  <c r="AY25" i="42"/>
  <c r="AX25" i="42"/>
  <c r="AW25" i="42"/>
  <c r="AV25" i="42"/>
  <c r="AU25" i="42"/>
  <c r="AT25" i="42"/>
  <c r="AS25" i="42"/>
  <c r="AR25" i="42"/>
  <c r="AQ25" i="42"/>
  <c r="AP25" i="42"/>
  <c r="AO25" i="42"/>
  <c r="AN25" i="42"/>
  <c r="AM25" i="42"/>
  <c r="AL25" i="42"/>
  <c r="AK25" i="42"/>
  <c r="AJ25" i="42"/>
  <c r="AI25" i="42"/>
  <c r="AH25" i="42"/>
  <c r="AG25" i="42"/>
  <c r="AF25" i="42"/>
  <c r="AE25" i="42"/>
  <c r="AD25" i="42"/>
  <c r="AC25" i="42"/>
  <c r="AB25" i="42"/>
  <c r="AA25" i="42"/>
  <c r="Z25" i="42"/>
  <c r="Y25" i="42"/>
  <c r="X25" i="42"/>
  <c r="W25" i="42"/>
  <c r="V25" i="42"/>
  <c r="U25" i="42"/>
  <c r="T25" i="42"/>
  <c r="S25" i="42"/>
  <c r="R25" i="42"/>
  <c r="Q25" i="42"/>
  <c r="P25" i="42"/>
  <c r="O25" i="42"/>
  <c r="N25" i="42"/>
  <c r="M25" i="42"/>
  <c r="L25" i="42"/>
  <c r="G25" i="42"/>
  <c r="F25" i="42"/>
  <c r="E25" i="42"/>
  <c r="D25" i="42"/>
  <c r="B25" i="42"/>
  <c r="H24" i="42"/>
  <c r="I24" i="42" s="1"/>
  <c r="J24" i="42" s="1"/>
  <c r="K24" i="42" s="1"/>
  <c r="C24" i="42"/>
  <c r="H23" i="42"/>
  <c r="I23" i="42" s="1"/>
  <c r="J23" i="42" s="1"/>
  <c r="K23" i="42" s="1"/>
  <c r="C23" i="42"/>
  <c r="H22" i="42"/>
  <c r="I22" i="42" s="1"/>
  <c r="J22" i="42" s="1"/>
  <c r="K22" i="42" s="1"/>
  <c r="C22" i="42"/>
  <c r="H21" i="42"/>
  <c r="I21" i="42" s="1"/>
  <c r="J21" i="42" s="1"/>
  <c r="K21" i="42" s="1"/>
  <c r="C21" i="42"/>
  <c r="H20" i="42"/>
  <c r="I20" i="42" s="1"/>
  <c r="J20" i="42" s="1"/>
  <c r="K20" i="42" s="1"/>
  <c r="C20" i="42"/>
  <c r="H19" i="42"/>
  <c r="I19" i="42" s="1"/>
  <c r="J19" i="42" s="1"/>
  <c r="K19" i="42" s="1"/>
  <c r="C19" i="42"/>
  <c r="H18" i="42"/>
  <c r="I18" i="42" s="1"/>
  <c r="J18" i="42" s="1"/>
  <c r="K18" i="42" s="1"/>
  <c r="C18" i="42"/>
  <c r="H17" i="42"/>
  <c r="I17" i="42" s="1"/>
  <c r="J17" i="42" s="1"/>
  <c r="K17" i="42" s="1"/>
  <c r="C17" i="42"/>
  <c r="H16" i="42"/>
  <c r="I16" i="42" s="1"/>
  <c r="J16" i="42" s="1"/>
  <c r="K16" i="42" s="1"/>
  <c r="C16" i="42"/>
  <c r="H15" i="42"/>
  <c r="I15" i="42" s="1"/>
  <c r="J15" i="42" s="1"/>
  <c r="K15" i="42" s="1"/>
  <c r="C15" i="42"/>
  <c r="H14" i="42"/>
  <c r="I14" i="42" s="1"/>
  <c r="J14" i="42" s="1"/>
  <c r="K14" i="42" s="1"/>
  <c r="C14" i="42"/>
  <c r="H13" i="42"/>
  <c r="I13" i="42" s="1"/>
  <c r="J13" i="42" s="1"/>
  <c r="K13" i="42" s="1"/>
  <c r="C13" i="42"/>
  <c r="H12" i="42"/>
  <c r="I12" i="42" s="1"/>
  <c r="J12" i="42" s="1"/>
  <c r="K12" i="42" s="1"/>
  <c r="C12" i="42"/>
  <c r="H11" i="42"/>
  <c r="I11" i="42" s="1"/>
  <c r="J11" i="42" s="1"/>
  <c r="K11" i="42" s="1"/>
  <c r="C11" i="42"/>
  <c r="H10" i="42"/>
  <c r="I10" i="42" s="1"/>
  <c r="J10" i="42" s="1"/>
  <c r="K10" i="42" s="1"/>
  <c r="C10" i="42"/>
  <c r="H9" i="42"/>
  <c r="I9" i="42" s="1"/>
  <c r="C9" i="42"/>
  <c r="BI6" i="42"/>
  <c r="BH6" i="42"/>
  <c r="BG6" i="42"/>
  <c r="BF6" i="42"/>
  <c r="BE6" i="42"/>
  <c r="BD6" i="42"/>
  <c r="BC6" i="42"/>
  <c r="BB6" i="42"/>
  <c r="BA6" i="42"/>
  <c r="AZ6" i="42"/>
  <c r="AY6" i="42"/>
  <c r="AX6" i="42"/>
  <c r="AW6" i="42"/>
  <c r="AV6" i="42"/>
  <c r="AU6" i="42"/>
  <c r="AT6" i="42"/>
  <c r="AS6" i="42"/>
  <c r="AR6" i="42"/>
  <c r="AQ6" i="42"/>
  <c r="AP6" i="42"/>
  <c r="AO6" i="42"/>
  <c r="AN6" i="42"/>
  <c r="AM6" i="42"/>
  <c r="AL6" i="42"/>
  <c r="AK6" i="42"/>
  <c r="AJ6" i="42"/>
  <c r="AI6" i="42"/>
  <c r="AH6" i="42"/>
  <c r="AG6" i="42"/>
  <c r="AF6" i="42"/>
  <c r="AE6" i="42"/>
  <c r="AD6" i="42"/>
  <c r="AC6" i="42"/>
  <c r="AB6" i="42"/>
  <c r="AA6" i="42"/>
  <c r="Z6" i="42"/>
  <c r="Y6" i="42"/>
  <c r="X6" i="42"/>
  <c r="W6" i="42"/>
  <c r="V6" i="42"/>
  <c r="U6" i="42"/>
  <c r="T6" i="42"/>
  <c r="S6" i="42"/>
  <c r="R6" i="42"/>
  <c r="Q6" i="42"/>
  <c r="P6" i="42"/>
  <c r="O6" i="42"/>
  <c r="N6" i="42"/>
  <c r="M6" i="42"/>
  <c r="L6" i="42"/>
  <c r="G6" i="42"/>
  <c r="F6" i="42"/>
  <c r="E6" i="42"/>
  <c r="D6" i="42"/>
  <c r="B6" i="42"/>
  <c r="B5" i="42" l="1"/>
  <c r="O5" i="42"/>
  <c r="AA5" i="42"/>
  <c r="AM5" i="42"/>
  <c r="AY5" i="42"/>
  <c r="AF5" i="42"/>
  <c r="C56" i="42"/>
  <c r="AR5" i="42"/>
  <c r="BE5" i="42"/>
  <c r="C42" i="42"/>
  <c r="T5" i="42"/>
  <c r="BD5" i="42"/>
  <c r="AT5" i="42"/>
  <c r="BJ42" i="42"/>
  <c r="BF5" i="42"/>
  <c r="H6" i="42"/>
  <c r="W5" i="42"/>
  <c r="AI5" i="42"/>
  <c r="AU5" i="42"/>
  <c r="BG5" i="42"/>
  <c r="C6" i="42"/>
  <c r="C25" i="42"/>
  <c r="H42" i="42"/>
  <c r="M5" i="42"/>
  <c r="AX5" i="42"/>
  <c r="Y5" i="42"/>
  <c r="AK5" i="42"/>
  <c r="AW5" i="42"/>
  <c r="BI5" i="42"/>
  <c r="V5" i="42"/>
  <c r="N5" i="42"/>
  <c r="Z5" i="42"/>
  <c r="AL5" i="42"/>
  <c r="AH5" i="42"/>
  <c r="U5" i="42"/>
  <c r="AG5" i="42"/>
  <c r="AS5" i="42"/>
  <c r="J28" i="42"/>
  <c r="J25" i="42" s="1"/>
  <c r="I25" i="42"/>
  <c r="H25" i="42"/>
  <c r="BJ25" i="42"/>
  <c r="L5" i="42"/>
  <c r="X5" i="42"/>
  <c r="AJ5" i="42"/>
  <c r="AV5" i="42"/>
  <c r="BH5" i="42"/>
  <c r="Q5" i="42"/>
  <c r="AC5" i="42"/>
  <c r="AO5" i="42"/>
  <c r="BA5" i="42"/>
  <c r="R5" i="42"/>
  <c r="AD5" i="42"/>
  <c r="AP5" i="42"/>
  <c r="BB5" i="42"/>
  <c r="BJ6" i="42"/>
  <c r="S5" i="42"/>
  <c r="AE5" i="42"/>
  <c r="AQ5" i="42"/>
  <c r="BC5" i="42"/>
  <c r="E5" i="42"/>
  <c r="P5" i="42"/>
  <c r="AB5" i="42"/>
  <c r="AN5" i="42"/>
  <c r="AZ5" i="42"/>
  <c r="F5" i="42"/>
  <c r="G5" i="42"/>
  <c r="D5" i="42"/>
  <c r="I6" i="42"/>
  <c r="J9" i="42"/>
  <c r="J58" i="42"/>
  <c r="I56" i="42"/>
  <c r="K44" i="42"/>
  <c r="K42" i="42" s="1"/>
  <c r="J42" i="42"/>
  <c r="I42" i="42"/>
  <c r="H56" i="42"/>
  <c r="O70" i="3"/>
  <c r="O66" i="3"/>
  <c r="O67" i="3"/>
  <c r="O68" i="3"/>
  <c r="O69" i="3"/>
  <c r="O65" i="3"/>
  <c r="O62" i="3"/>
  <c r="O63" i="3"/>
  <c r="O64" i="3"/>
  <c r="O61" i="3"/>
  <c r="O59" i="3"/>
  <c r="O55" i="3"/>
  <c r="O56" i="3"/>
  <c r="O57" i="3"/>
  <c r="O58" i="3"/>
  <c r="O52" i="3"/>
  <c r="O53" i="3"/>
  <c r="O54" i="3"/>
  <c r="O51" i="3"/>
  <c r="O48" i="3"/>
  <c r="O49" i="3"/>
  <c r="O50" i="3"/>
  <c r="O47" i="3"/>
  <c r="O45" i="3"/>
  <c r="O41" i="3"/>
  <c r="O42" i="3"/>
  <c r="O43" i="3"/>
  <c r="O44" i="3"/>
  <c r="O40" i="3"/>
  <c r="O37" i="3"/>
  <c r="O38" i="3"/>
  <c r="O39" i="3"/>
  <c r="O36" i="3"/>
  <c r="O33" i="3"/>
  <c r="O34" i="3"/>
  <c r="O35" i="3"/>
  <c r="O32" i="3"/>
  <c r="O30" i="3"/>
  <c r="O27" i="3"/>
  <c r="O28" i="3"/>
  <c r="O29" i="3"/>
  <c r="O26" i="3"/>
  <c r="O23" i="3"/>
  <c r="O24" i="3"/>
  <c r="O25" i="3"/>
  <c r="O22" i="3"/>
  <c r="O19" i="3"/>
  <c r="O20" i="3"/>
  <c r="O21" i="3"/>
  <c r="O18" i="3"/>
  <c r="O15" i="3"/>
  <c r="O16" i="3"/>
  <c r="O17" i="3"/>
  <c r="O14" i="3"/>
  <c r="N70" i="3"/>
  <c r="N66" i="3"/>
  <c r="N67" i="3"/>
  <c r="N68" i="3"/>
  <c r="N69" i="3"/>
  <c r="N65" i="3"/>
  <c r="N62" i="3"/>
  <c r="N63" i="3"/>
  <c r="N64" i="3"/>
  <c r="N61" i="3"/>
  <c r="N59" i="3"/>
  <c r="N56" i="3"/>
  <c r="N57" i="3"/>
  <c r="N58" i="3"/>
  <c r="N55" i="3"/>
  <c r="N52" i="3"/>
  <c r="N53" i="3"/>
  <c r="N54" i="3"/>
  <c r="N51" i="3"/>
  <c r="N48" i="3"/>
  <c r="N49" i="3"/>
  <c r="N50" i="3"/>
  <c r="N47" i="3"/>
  <c r="N45" i="3"/>
  <c r="N44" i="3"/>
  <c r="N41" i="3"/>
  <c r="N42" i="3"/>
  <c r="N43" i="3"/>
  <c r="N40" i="3"/>
  <c r="N37" i="3"/>
  <c r="N38" i="3"/>
  <c r="N39" i="3"/>
  <c r="N36" i="3"/>
  <c r="N33" i="3"/>
  <c r="N34" i="3"/>
  <c r="N35" i="3"/>
  <c r="N32" i="3"/>
  <c r="N30" i="3"/>
  <c r="N27" i="3"/>
  <c r="N28" i="3"/>
  <c r="N29" i="3"/>
  <c r="N26" i="3"/>
  <c r="N23" i="3"/>
  <c r="N24" i="3"/>
  <c r="N25" i="3"/>
  <c r="N22" i="3"/>
  <c r="N19" i="3"/>
  <c r="N20" i="3"/>
  <c r="N21" i="3"/>
  <c r="N18" i="3"/>
  <c r="N15" i="3"/>
  <c r="N16" i="3"/>
  <c r="N17" i="3"/>
  <c r="N14" i="3"/>
  <c r="N12" i="3"/>
  <c r="N11" i="3"/>
  <c r="BM54" i="1"/>
  <c r="X56" i="32"/>
  <c r="X42" i="32"/>
  <c r="X5" i="32" s="1"/>
  <c r="X7" i="32"/>
  <c r="X26" i="32"/>
  <c r="BF5" i="9"/>
  <c r="BF6" i="9"/>
  <c r="BF7" i="9"/>
  <c r="BF8" i="9"/>
  <c r="BF9" i="9"/>
  <c r="BF10" i="9"/>
  <c r="BF11" i="9"/>
  <c r="BF12" i="9"/>
  <c r="BF13" i="9"/>
  <c r="BF14" i="9"/>
  <c r="BF15" i="9"/>
  <c r="BF16" i="9"/>
  <c r="BF17" i="9"/>
  <c r="BF18" i="9"/>
  <c r="BF19" i="9"/>
  <c r="BF20" i="9"/>
  <c r="BF21" i="9"/>
  <c r="BF22" i="9"/>
  <c r="BF23" i="9"/>
  <c r="BF24" i="9"/>
  <c r="BF25" i="9"/>
  <c r="BF26" i="9"/>
  <c r="BF27" i="9"/>
  <c r="BF28" i="9"/>
  <c r="BF29" i="9"/>
  <c r="BF30" i="9"/>
  <c r="BF31" i="9"/>
  <c r="BF32" i="9"/>
  <c r="BF33" i="9"/>
  <c r="BF34" i="9"/>
  <c r="BF35" i="9"/>
  <c r="BF36" i="9"/>
  <c r="BF37" i="9"/>
  <c r="BF38" i="9"/>
  <c r="BF39" i="9"/>
  <c r="BF40" i="9"/>
  <c r="BF41" i="9"/>
  <c r="BF42" i="9"/>
  <c r="BF43" i="9"/>
  <c r="BF44" i="9"/>
  <c r="BF45" i="9"/>
  <c r="BF46" i="9"/>
  <c r="BF47" i="9"/>
  <c r="BF48" i="9"/>
  <c r="BF49" i="9"/>
  <c r="BF50" i="9"/>
  <c r="BF51" i="9"/>
  <c r="BF53" i="9"/>
  <c r="BF60" i="9"/>
  <c r="BJ39" i="1"/>
  <c r="BJ53" i="1"/>
  <c r="BJ24" i="1"/>
  <c r="BJ38" i="1"/>
  <c r="BJ23" i="1"/>
  <c r="BJ64" i="1"/>
  <c r="BF62" i="9" s="1"/>
  <c r="BJ37" i="1"/>
  <c r="BJ22" i="1"/>
  <c r="BJ21" i="1"/>
  <c r="BJ52" i="1"/>
  <c r="BJ20" i="1"/>
  <c r="BJ63" i="1"/>
  <c r="BF61" i="9" s="1"/>
  <c r="BJ62" i="1"/>
  <c r="BJ36" i="1"/>
  <c r="BJ19" i="1"/>
  <c r="BJ51" i="1"/>
  <c r="BJ50" i="1"/>
  <c r="BJ18" i="1"/>
  <c r="BJ61" i="1"/>
  <c r="BF59" i="9" s="1"/>
  <c r="BJ35" i="1"/>
  <c r="BJ60" i="1"/>
  <c r="BF58" i="9" s="1"/>
  <c r="BJ59" i="1"/>
  <c r="BF57" i="9" s="1"/>
  <c r="BJ34" i="1"/>
  <c r="BJ49" i="1"/>
  <c r="BJ48" i="1"/>
  <c r="BJ33" i="1"/>
  <c r="BJ17" i="1"/>
  <c r="BJ47" i="1"/>
  <c r="BJ46" i="1"/>
  <c r="BJ58" i="1"/>
  <c r="BF56" i="9" s="1"/>
  <c r="BJ16" i="1"/>
  <c r="BJ57" i="1"/>
  <c r="BF55" i="9" s="1"/>
  <c r="BJ15" i="1"/>
  <c r="BJ14" i="1"/>
  <c r="BJ45" i="1"/>
  <c r="BJ44" i="1"/>
  <c r="BJ43" i="1"/>
  <c r="BJ42" i="1"/>
  <c r="BJ32" i="1"/>
  <c r="BJ31" i="1"/>
  <c r="BJ13" i="1"/>
  <c r="BJ12" i="1"/>
  <c r="BJ65" i="1"/>
  <c r="BF63" i="9" s="1"/>
  <c r="BJ11" i="1"/>
  <c r="BJ56" i="1"/>
  <c r="BF54" i="9" s="1"/>
  <c r="BJ30" i="1"/>
  <c r="BJ29" i="1"/>
  <c r="BJ10" i="1"/>
  <c r="BJ28" i="1"/>
  <c r="BJ27" i="1"/>
  <c r="BJ9" i="1"/>
  <c r="C5" i="42" l="1"/>
  <c r="K28" i="42"/>
  <c r="K25" i="42" s="1"/>
  <c r="H5" i="42"/>
  <c r="I5" i="42"/>
  <c r="J56" i="42"/>
  <c r="K58" i="42"/>
  <c r="K56" i="42" s="1"/>
  <c r="J6" i="42"/>
  <c r="K9" i="42"/>
  <c r="K6" i="42" s="1"/>
  <c r="BJ54" i="1"/>
  <c r="BJ25" i="1"/>
  <c r="BJ7" i="1"/>
  <c r="BJ40" i="1"/>
  <c r="K5" i="42" l="1"/>
  <c r="J5" i="42"/>
  <c r="BJ6" i="1"/>
  <c r="BF53" i="4" l="1"/>
  <c r="BF39" i="4"/>
  <c r="BF24" i="4"/>
  <c r="BF6" i="4"/>
  <c r="C70" i="3"/>
  <c r="C66" i="3"/>
  <c r="C67" i="3"/>
  <c r="C68" i="3"/>
  <c r="C69" i="3"/>
  <c r="C65" i="3"/>
  <c r="C62" i="3"/>
  <c r="C63" i="3"/>
  <c r="C64" i="3"/>
  <c r="C61" i="3"/>
  <c r="C59" i="3"/>
  <c r="C56" i="3"/>
  <c r="C57" i="3"/>
  <c r="C58" i="3"/>
  <c r="C55" i="3"/>
  <c r="C52" i="3"/>
  <c r="C53" i="3"/>
  <c r="C54" i="3"/>
  <c r="C51" i="3"/>
  <c r="C48" i="3"/>
  <c r="C49" i="3"/>
  <c r="C50" i="3"/>
  <c r="C47" i="3"/>
  <c r="C45" i="3"/>
  <c r="C41" i="3"/>
  <c r="C42" i="3"/>
  <c r="C43" i="3"/>
  <c r="C44" i="3"/>
  <c r="C40" i="3"/>
  <c r="C37" i="3"/>
  <c r="C38" i="3"/>
  <c r="C39" i="3"/>
  <c r="C36" i="3"/>
  <c r="C33" i="3"/>
  <c r="C34" i="3"/>
  <c r="C35" i="3"/>
  <c r="C32" i="3"/>
  <c r="C30" i="3"/>
  <c r="C27" i="3"/>
  <c r="C28" i="3"/>
  <c r="C29" i="3"/>
  <c r="C26" i="3"/>
  <c r="C23" i="3"/>
  <c r="C24" i="3"/>
  <c r="C25" i="3"/>
  <c r="C22" i="3"/>
  <c r="C19" i="3"/>
  <c r="C20" i="3"/>
  <c r="C21" i="3"/>
  <c r="C18" i="3"/>
  <c r="C15" i="3"/>
  <c r="C16" i="3"/>
  <c r="C17" i="3"/>
  <c r="C14" i="3"/>
  <c r="C12" i="3"/>
  <c r="C11" i="3"/>
  <c r="M70" i="3"/>
  <c r="M66" i="3"/>
  <c r="M67" i="3"/>
  <c r="M68" i="3"/>
  <c r="M69" i="3"/>
  <c r="M65" i="3"/>
  <c r="M62" i="3"/>
  <c r="M63" i="3"/>
  <c r="M64" i="3"/>
  <c r="M61" i="3"/>
  <c r="M59" i="3"/>
  <c r="M56" i="3"/>
  <c r="M57" i="3"/>
  <c r="M58" i="3"/>
  <c r="M55" i="3"/>
  <c r="M52" i="3"/>
  <c r="M53" i="3"/>
  <c r="M54" i="3"/>
  <c r="M51" i="3"/>
  <c r="M48" i="3"/>
  <c r="M49" i="3"/>
  <c r="M50" i="3"/>
  <c r="M47" i="3"/>
  <c r="M45" i="3"/>
  <c r="M41" i="3"/>
  <c r="M42" i="3"/>
  <c r="M43" i="3"/>
  <c r="M44" i="3"/>
  <c r="M40" i="3"/>
  <c r="M37" i="3"/>
  <c r="M38" i="3"/>
  <c r="M39" i="3"/>
  <c r="M36" i="3"/>
  <c r="M33" i="3"/>
  <c r="M34" i="3"/>
  <c r="M35" i="3"/>
  <c r="M32" i="3"/>
  <c r="M30" i="3"/>
  <c r="M27" i="3"/>
  <c r="M28" i="3"/>
  <c r="M29" i="3"/>
  <c r="M26" i="3"/>
  <c r="M23" i="3"/>
  <c r="M24" i="3"/>
  <c r="M25" i="3"/>
  <c r="M22" i="3"/>
  <c r="M21" i="3"/>
  <c r="M19" i="3"/>
  <c r="M20" i="3"/>
  <c r="M18" i="3"/>
  <c r="M15" i="3"/>
  <c r="M16" i="3"/>
  <c r="M17" i="3"/>
  <c r="M14" i="3"/>
  <c r="M12" i="3"/>
  <c r="M11" i="3"/>
  <c r="L70" i="3"/>
  <c r="L66" i="3"/>
  <c r="L67" i="3"/>
  <c r="L68" i="3"/>
  <c r="L69" i="3"/>
  <c r="L65" i="3"/>
  <c r="L62" i="3"/>
  <c r="L63" i="3"/>
  <c r="L64" i="3"/>
  <c r="L61" i="3"/>
  <c r="L59" i="3"/>
  <c r="L56" i="3"/>
  <c r="L57" i="3"/>
  <c r="L58" i="3"/>
  <c r="L55" i="3"/>
  <c r="L52" i="3"/>
  <c r="L53" i="3"/>
  <c r="L54" i="3"/>
  <c r="L51" i="3"/>
  <c r="L48" i="3"/>
  <c r="L49" i="3"/>
  <c r="L50" i="3"/>
  <c r="L47" i="3"/>
  <c r="L45" i="3"/>
  <c r="L41" i="3"/>
  <c r="L42" i="3"/>
  <c r="L43" i="3"/>
  <c r="L44" i="3"/>
  <c r="L40" i="3"/>
  <c r="L37" i="3"/>
  <c r="L38" i="3"/>
  <c r="L39" i="3"/>
  <c r="L36" i="3"/>
  <c r="L33" i="3"/>
  <c r="L34" i="3"/>
  <c r="L35" i="3"/>
  <c r="L32" i="3"/>
  <c r="L30" i="3"/>
  <c r="L27" i="3"/>
  <c r="L28" i="3"/>
  <c r="L29" i="3"/>
  <c r="L26" i="3"/>
  <c r="L23" i="3"/>
  <c r="L24" i="3"/>
  <c r="L25" i="3"/>
  <c r="L22" i="3"/>
  <c r="L19" i="3"/>
  <c r="L20" i="3"/>
  <c r="L21" i="3"/>
  <c r="L18" i="3"/>
  <c r="L15" i="3"/>
  <c r="L16" i="3"/>
  <c r="L17" i="3"/>
  <c r="L14" i="3"/>
  <c r="L12" i="3"/>
  <c r="L11" i="3"/>
  <c r="K70" i="3"/>
  <c r="K66" i="3"/>
  <c r="K67" i="3"/>
  <c r="K68" i="3"/>
  <c r="K69" i="3"/>
  <c r="K65" i="3"/>
  <c r="K62" i="3"/>
  <c r="K63" i="3"/>
  <c r="K64" i="3"/>
  <c r="K61" i="3"/>
  <c r="K59" i="3"/>
  <c r="K56" i="3"/>
  <c r="K57" i="3"/>
  <c r="K58" i="3"/>
  <c r="K55" i="3"/>
  <c r="K52" i="3"/>
  <c r="K53" i="3"/>
  <c r="K54" i="3"/>
  <c r="K51" i="3"/>
  <c r="K48" i="3"/>
  <c r="K49" i="3"/>
  <c r="K50" i="3"/>
  <c r="K47" i="3"/>
  <c r="K45" i="3"/>
  <c r="K41" i="3"/>
  <c r="K42" i="3"/>
  <c r="K43" i="3"/>
  <c r="K44" i="3"/>
  <c r="K40" i="3"/>
  <c r="K37" i="3"/>
  <c r="K38" i="3"/>
  <c r="K39" i="3"/>
  <c r="K36" i="3"/>
  <c r="K33" i="3"/>
  <c r="K34" i="3"/>
  <c r="K35" i="3"/>
  <c r="K32" i="3"/>
  <c r="K30" i="3"/>
  <c r="K29" i="3"/>
  <c r="K27" i="3"/>
  <c r="K28" i="3"/>
  <c r="K26" i="3"/>
  <c r="K23" i="3"/>
  <c r="K24" i="3"/>
  <c r="K25" i="3"/>
  <c r="K22" i="3"/>
  <c r="K21" i="3"/>
  <c r="K19" i="3"/>
  <c r="K20" i="3"/>
  <c r="K18" i="3"/>
  <c r="K15" i="3"/>
  <c r="K16" i="3"/>
  <c r="K17" i="3"/>
  <c r="K14" i="3"/>
  <c r="K12" i="3"/>
  <c r="K11" i="3"/>
  <c r="J70" i="3"/>
  <c r="J66" i="3"/>
  <c r="J67" i="3"/>
  <c r="J68" i="3"/>
  <c r="J69" i="3"/>
  <c r="J65" i="3"/>
  <c r="J62" i="3"/>
  <c r="J63" i="3"/>
  <c r="J64" i="3"/>
  <c r="J61" i="3"/>
  <c r="J59" i="3"/>
  <c r="J56" i="3"/>
  <c r="J57" i="3"/>
  <c r="J58" i="3"/>
  <c r="J55" i="3"/>
  <c r="J52" i="3"/>
  <c r="J53" i="3"/>
  <c r="J54" i="3"/>
  <c r="J51" i="3"/>
  <c r="J48" i="3"/>
  <c r="J49" i="3"/>
  <c r="J50" i="3"/>
  <c r="J47" i="3"/>
  <c r="J45" i="3"/>
  <c r="J41" i="3"/>
  <c r="J42" i="3"/>
  <c r="J43" i="3"/>
  <c r="J44" i="3"/>
  <c r="J40" i="3"/>
  <c r="J37" i="3"/>
  <c r="J38" i="3"/>
  <c r="J39" i="3"/>
  <c r="J36" i="3"/>
  <c r="J33" i="3"/>
  <c r="J34" i="3"/>
  <c r="J35" i="3"/>
  <c r="J32" i="3"/>
  <c r="J30" i="3"/>
  <c r="J27" i="3"/>
  <c r="J28" i="3"/>
  <c r="J29" i="3"/>
  <c r="J26" i="3"/>
  <c r="J23" i="3"/>
  <c r="J24" i="3"/>
  <c r="J25" i="3"/>
  <c r="J22" i="3"/>
  <c r="J19" i="3"/>
  <c r="J20" i="3"/>
  <c r="J21" i="3"/>
  <c r="J18" i="3"/>
  <c r="J15" i="3"/>
  <c r="J16" i="3"/>
  <c r="J17" i="3"/>
  <c r="J14" i="3"/>
  <c r="J12" i="3"/>
  <c r="J11" i="3"/>
  <c r="I70" i="3"/>
  <c r="I69" i="3"/>
  <c r="I66" i="3"/>
  <c r="I67" i="3"/>
  <c r="I68" i="3"/>
  <c r="I65" i="3"/>
  <c r="I62" i="3"/>
  <c r="I63" i="3"/>
  <c r="I64" i="3"/>
  <c r="I61" i="3"/>
  <c r="I59" i="3"/>
  <c r="I58" i="3"/>
  <c r="I57" i="3"/>
  <c r="I56" i="3"/>
  <c r="I55" i="3"/>
  <c r="I54" i="3"/>
  <c r="I52" i="3"/>
  <c r="I53" i="3"/>
  <c r="I51" i="3"/>
  <c r="I48" i="3"/>
  <c r="I49" i="3"/>
  <c r="I50" i="3"/>
  <c r="I47" i="3"/>
  <c r="I45" i="3"/>
  <c r="I44" i="3"/>
  <c r="I41" i="3"/>
  <c r="I42" i="3"/>
  <c r="I43" i="3"/>
  <c r="I40" i="3"/>
  <c r="I37" i="3"/>
  <c r="I38" i="3"/>
  <c r="I39" i="3"/>
  <c r="I36" i="3"/>
  <c r="I33" i="3"/>
  <c r="I34" i="3"/>
  <c r="I35" i="3"/>
  <c r="I32" i="3"/>
  <c r="I30" i="3"/>
  <c r="I29" i="3"/>
  <c r="I27" i="3"/>
  <c r="I28" i="3"/>
  <c r="I26" i="3"/>
  <c r="I23" i="3"/>
  <c r="I24" i="3"/>
  <c r="I25" i="3"/>
  <c r="I22" i="3"/>
  <c r="I19" i="3"/>
  <c r="I20" i="3"/>
  <c r="I21" i="3"/>
  <c r="I18" i="3"/>
  <c r="I15" i="3"/>
  <c r="I16" i="3"/>
  <c r="I17" i="3"/>
  <c r="I14" i="3"/>
  <c r="I12" i="3"/>
  <c r="I11" i="3"/>
  <c r="H70" i="3"/>
  <c r="H69" i="3"/>
  <c r="H66" i="3"/>
  <c r="H67" i="3"/>
  <c r="H68" i="3"/>
  <c r="H65" i="3"/>
  <c r="H62" i="3"/>
  <c r="H63" i="3"/>
  <c r="H64" i="3"/>
  <c r="H61" i="3"/>
  <c r="H59" i="3"/>
  <c r="H58" i="3"/>
  <c r="H56" i="3"/>
  <c r="H57" i="3"/>
  <c r="H55" i="3"/>
  <c r="H52" i="3"/>
  <c r="H53" i="3"/>
  <c r="H54" i="3"/>
  <c r="H51" i="3"/>
  <c r="H48" i="3"/>
  <c r="H49" i="3"/>
  <c r="H50" i="3"/>
  <c r="H47" i="3"/>
  <c r="H45" i="3"/>
  <c r="H44" i="3"/>
  <c r="H41" i="3"/>
  <c r="H42" i="3"/>
  <c r="H43" i="3"/>
  <c r="H40" i="3"/>
  <c r="H37" i="3"/>
  <c r="H38" i="3"/>
  <c r="H39" i="3"/>
  <c r="H36" i="3"/>
  <c r="H33" i="3"/>
  <c r="H34" i="3"/>
  <c r="H35" i="3"/>
  <c r="H32" i="3"/>
  <c r="H30" i="3"/>
  <c r="H29" i="3"/>
  <c r="H27" i="3"/>
  <c r="H28" i="3"/>
  <c r="H26" i="3"/>
  <c r="H23" i="3"/>
  <c r="H24" i="3"/>
  <c r="H25" i="3"/>
  <c r="H22" i="3"/>
  <c r="H19" i="3"/>
  <c r="H20" i="3"/>
  <c r="H21" i="3"/>
  <c r="H18" i="3"/>
  <c r="H15" i="3"/>
  <c r="H16" i="3"/>
  <c r="H17" i="3"/>
  <c r="H14" i="3"/>
  <c r="H12" i="3"/>
  <c r="H11" i="3"/>
  <c r="G70" i="3"/>
  <c r="G69" i="3"/>
  <c r="G66" i="3"/>
  <c r="G67" i="3"/>
  <c r="G68" i="3"/>
  <c r="G65" i="3"/>
  <c r="G62" i="3"/>
  <c r="G63" i="3"/>
  <c r="G64" i="3"/>
  <c r="G61" i="3"/>
  <c r="G59" i="3"/>
  <c r="G58" i="3"/>
  <c r="G56" i="3"/>
  <c r="G57" i="3"/>
  <c r="G55" i="3"/>
  <c r="G52" i="3"/>
  <c r="G53" i="3"/>
  <c r="G54" i="3"/>
  <c r="G51" i="3"/>
  <c r="G48" i="3"/>
  <c r="G49" i="3"/>
  <c r="G50" i="3"/>
  <c r="G47" i="3"/>
  <c r="G45" i="3"/>
  <c r="G44" i="3"/>
  <c r="G41" i="3"/>
  <c r="G42" i="3"/>
  <c r="G43" i="3"/>
  <c r="G40" i="3"/>
  <c r="G37" i="3"/>
  <c r="G38" i="3"/>
  <c r="G39" i="3"/>
  <c r="G36" i="3"/>
  <c r="G33" i="3"/>
  <c r="G34" i="3"/>
  <c r="G35" i="3"/>
  <c r="G32" i="3"/>
  <c r="G30" i="3"/>
  <c r="G29" i="3"/>
  <c r="G28" i="3"/>
  <c r="G26" i="3"/>
  <c r="G23" i="3"/>
  <c r="G24" i="3"/>
  <c r="G25" i="3"/>
  <c r="G22" i="3"/>
  <c r="G19" i="3"/>
  <c r="G20" i="3"/>
  <c r="G21" i="3"/>
  <c r="G18" i="3"/>
  <c r="G15" i="3"/>
  <c r="G16" i="3"/>
  <c r="G17" i="3"/>
  <c r="G14" i="3"/>
  <c r="G11" i="3"/>
  <c r="F70" i="3"/>
  <c r="F69" i="3"/>
  <c r="F66" i="3"/>
  <c r="F67" i="3"/>
  <c r="F68" i="3"/>
  <c r="F65" i="3"/>
  <c r="F62" i="3"/>
  <c r="F63" i="3"/>
  <c r="F64" i="3"/>
  <c r="F61" i="3"/>
  <c r="F58" i="3"/>
  <c r="F57" i="3"/>
  <c r="F56" i="3"/>
  <c r="F55" i="3"/>
  <c r="F52" i="3"/>
  <c r="F53" i="3"/>
  <c r="F54" i="3"/>
  <c r="F51" i="3"/>
  <c r="F48" i="3"/>
  <c r="F49" i="3"/>
  <c r="F50" i="3"/>
  <c r="F47" i="3"/>
  <c r="F44" i="3"/>
  <c r="F41" i="3"/>
  <c r="F42" i="3"/>
  <c r="F43" i="3"/>
  <c r="F40" i="3"/>
  <c r="F38" i="3"/>
  <c r="F39" i="3"/>
  <c r="F37" i="3"/>
  <c r="F36" i="3"/>
  <c r="F33" i="3"/>
  <c r="F34" i="3"/>
  <c r="F35" i="3"/>
  <c r="F32" i="3"/>
  <c r="F30" i="3"/>
  <c r="F27" i="3"/>
  <c r="F29" i="3"/>
  <c r="F28" i="3"/>
  <c r="F26" i="3"/>
  <c r="F23" i="3"/>
  <c r="F24" i="3"/>
  <c r="F25" i="3"/>
  <c r="F22" i="3"/>
  <c r="F19" i="3"/>
  <c r="F20" i="3"/>
  <c r="F21" i="3"/>
  <c r="F18" i="3"/>
  <c r="F15" i="3"/>
  <c r="F16" i="3"/>
  <c r="F17" i="3"/>
  <c r="F14" i="3"/>
  <c r="F11" i="3"/>
  <c r="D11" i="3"/>
  <c r="D12" i="3"/>
  <c r="D14" i="3"/>
  <c r="D15" i="3"/>
  <c r="D16" i="3"/>
  <c r="D17" i="3"/>
  <c r="D18" i="3"/>
  <c r="CL39" i="36"/>
  <c r="CM39" i="36"/>
  <c r="CN39" i="36"/>
  <c r="CO39" i="36"/>
  <c r="CP39" i="36"/>
  <c r="CQ39" i="36"/>
  <c r="F45" i="3" s="1"/>
  <c r="CR39" i="36"/>
  <c r="CS39" i="36"/>
  <c r="CT39" i="36"/>
  <c r="CU39" i="36"/>
  <c r="CV39" i="36"/>
  <c r="CW39" i="36"/>
  <c r="CW6" i="36"/>
  <c r="CL24" i="36"/>
  <c r="CM24" i="36"/>
  <c r="CN24" i="36"/>
  <c r="CO24" i="36"/>
  <c r="CP24" i="36"/>
  <c r="CQ24" i="36"/>
  <c r="CR24" i="36"/>
  <c r="CS24" i="36"/>
  <c r="CT24" i="36"/>
  <c r="CU24" i="36"/>
  <c r="CV24" i="36"/>
  <c r="CW24" i="36"/>
  <c r="CL53" i="36"/>
  <c r="CM53" i="36"/>
  <c r="CN53" i="36"/>
  <c r="CO53" i="36"/>
  <c r="CP53" i="36"/>
  <c r="CQ53" i="36"/>
  <c r="F59" i="3" s="1"/>
  <c r="CR53" i="36"/>
  <c r="CS53" i="36"/>
  <c r="CT53" i="36"/>
  <c r="CU53" i="36"/>
  <c r="CV53" i="36"/>
  <c r="CW53" i="36"/>
  <c r="CL6" i="36"/>
  <c r="CM6" i="36"/>
  <c r="CN6" i="36"/>
  <c r="CO6" i="36"/>
  <c r="CP6" i="36"/>
  <c r="G12" i="3" s="1"/>
  <c r="CQ6" i="36"/>
  <c r="F12" i="3" s="1"/>
  <c r="CR6" i="36"/>
  <c r="CS6" i="36"/>
  <c r="CT6" i="36"/>
  <c r="CU6" i="36"/>
  <c r="CV6" i="36"/>
  <c r="BJ56" i="42" l="1"/>
  <c r="BJ5" i="42" s="1"/>
  <c r="BF52" i="9"/>
  <c r="BF5" i="4"/>
  <c r="BF4" i="9" s="1"/>
  <c r="BE53" i="4"/>
  <c r="BE39" i="4"/>
  <c r="BE5" i="4" s="1"/>
  <c r="BE24" i="4"/>
  <c r="BE6" i="4"/>
  <c r="BI54" i="1"/>
  <c r="BI40" i="1"/>
  <c r="BI25" i="1"/>
  <c r="BE23" i="9" s="1"/>
  <c r="BD53" i="4"/>
  <c r="BD39" i="4"/>
  <c r="BD24" i="4"/>
  <c r="BD6" i="4"/>
  <c r="BD5" i="4" s="1"/>
  <c r="D70" i="3"/>
  <c r="D69" i="3"/>
  <c r="D68" i="3"/>
  <c r="D67" i="3"/>
  <c r="D66" i="3"/>
  <c r="D65" i="3"/>
  <c r="D64" i="3"/>
  <c r="D63" i="3"/>
  <c r="D62" i="3"/>
  <c r="D61" i="3"/>
  <c r="D59" i="3"/>
  <c r="D58" i="3"/>
  <c r="D57" i="3"/>
  <c r="D56" i="3"/>
  <c r="D55" i="3"/>
  <c r="D54" i="3"/>
  <c r="D53" i="3"/>
  <c r="D52" i="3"/>
  <c r="D51" i="3"/>
  <c r="D50" i="3"/>
  <c r="D49" i="3"/>
  <c r="D48" i="3"/>
  <c r="D47" i="3"/>
  <c r="D44" i="3"/>
  <c r="D43" i="3"/>
  <c r="D42" i="3"/>
  <c r="D41" i="3"/>
  <c r="D40" i="3"/>
  <c r="D39" i="3"/>
  <c r="D38" i="3"/>
  <c r="D37" i="3"/>
  <c r="D36" i="3"/>
  <c r="D35" i="3"/>
  <c r="D34" i="3"/>
  <c r="D33" i="3"/>
  <c r="D32" i="3"/>
  <c r="D29" i="3"/>
  <c r="D28" i="3"/>
  <c r="D27" i="3"/>
  <c r="D26" i="3"/>
  <c r="D25" i="3"/>
  <c r="D24" i="3"/>
  <c r="D23" i="3"/>
  <c r="D22" i="3"/>
  <c r="D21" i="3"/>
  <c r="D20" i="3"/>
  <c r="D19" i="3"/>
  <c r="CK24" i="36"/>
  <c r="CJ24" i="36"/>
  <c r="CI24" i="36"/>
  <c r="CH24" i="36"/>
  <c r="CG24" i="36"/>
  <c r="CF24" i="36"/>
  <c r="CE24" i="36"/>
  <c r="CD24" i="36"/>
  <c r="CC24" i="36"/>
  <c r="CB24" i="36"/>
  <c r="CA24" i="36"/>
  <c r="BZ24" i="36"/>
  <c r="D30" i="3" s="1"/>
  <c r="CK39" i="36"/>
  <c r="CJ39" i="36"/>
  <c r="CI39" i="36"/>
  <c r="CH39" i="36"/>
  <c r="CG39" i="36"/>
  <c r="CF39" i="36"/>
  <c r="CE39" i="36"/>
  <c r="CD39" i="36"/>
  <c r="CC39" i="36"/>
  <c r="CB39" i="36"/>
  <c r="CA39" i="36"/>
  <c r="BZ39" i="36"/>
  <c r="D45" i="3" s="1"/>
  <c r="CK53" i="36"/>
  <c r="CJ53" i="36"/>
  <c r="CI53" i="36"/>
  <c r="CH53" i="36"/>
  <c r="CG53" i="36"/>
  <c r="CF53" i="36"/>
  <c r="CE53" i="36"/>
  <c r="CD53" i="36"/>
  <c r="CC53" i="36"/>
  <c r="CB53" i="36"/>
  <c r="CA53" i="36"/>
  <c r="BZ53" i="36"/>
  <c r="CK6" i="36"/>
  <c r="CJ6" i="36"/>
  <c r="CI6" i="36"/>
  <c r="CH6" i="36"/>
  <c r="CG6" i="36"/>
  <c r="CF6" i="36"/>
  <c r="CE6" i="36"/>
  <c r="CD6" i="36"/>
  <c r="CC6" i="36"/>
  <c r="CB6" i="36"/>
  <c r="CA6" i="36"/>
  <c r="BZ6" i="36"/>
  <c r="E70" i="3"/>
  <c r="E69" i="3"/>
  <c r="E68" i="3"/>
  <c r="E67" i="3"/>
  <c r="E66" i="3"/>
  <c r="E65" i="3"/>
  <c r="E64" i="3"/>
  <c r="E63" i="3"/>
  <c r="E62" i="3"/>
  <c r="E61" i="3"/>
  <c r="E58" i="3"/>
  <c r="E57" i="3"/>
  <c r="E56" i="3"/>
  <c r="E55" i="3"/>
  <c r="E54" i="3"/>
  <c r="E53" i="3"/>
  <c r="E52" i="3"/>
  <c r="E51" i="3"/>
  <c r="E50" i="3"/>
  <c r="E49" i="3"/>
  <c r="E48" i="3"/>
  <c r="E47" i="3"/>
  <c r="E44" i="3"/>
  <c r="E43" i="3"/>
  <c r="E42" i="3"/>
  <c r="E41" i="3"/>
  <c r="E40" i="3"/>
  <c r="E39" i="3"/>
  <c r="E38" i="3"/>
  <c r="E37" i="3"/>
  <c r="E36" i="3"/>
  <c r="E35" i="3"/>
  <c r="E34" i="3"/>
  <c r="E33" i="3"/>
  <c r="E32" i="3"/>
  <c r="E29" i="3"/>
  <c r="E28" i="3"/>
  <c r="E27" i="3"/>
  <c r="E26" i="3"/>
  <c r="E25" i="3"/>
  <c r="E24" i="3"/>
  <c r="E23" i="3"/>
  <c r="E22" i="3"/>
  <c r="E21" i="3"/>
  <c r="E20" i="3"/>
  <c r="E19" i="3"/>
  <c r="E18" i="3"/>
  <c r="E17" i="3"/>
  <c r="E16" i="3"/>
  <c r="E15" i="3"/>
  <c r="E14" i="3"/>
  <c r="E11" i="3"/>
  <c r="BE63" i="9"/>
  <c r="BE62" i="9"/>
  <c r="BE61" i="9"/>
  <c r="BE60" i="9"/>
  <c r="BE59" i="9"/>
  <c r="BE58" i="9"/>
  <c r="BE57" i="9"/>
  <c r="BE56" i="9"/>
  <c r="BE55" i="9"/>
  <c r="BE54" i="9"/>
  <c r="BE52" i="9"/>
  <c r="BE51" i="9"/>
  <c r="BE50" i="9"/>
  <c r="BE49" i="9"/>
  <c r="BE48" i="9"/>
  <c r="BE47" i="9"/>
  <c r="BE46" i="9"/>
  <c r="BE45" i="9"/>
  <c r="BE44" i="9"/>
  <c r="BE43" i="9"/>
  <c r="BE42" i="9"/>
  <c r="BE41" i="9"/>
  <c r="BE40" i="9"/>
  <c r="BE38" i="9"/>
  <c r="BE37" i="9"/>
  <c r="BE36" i="9"/>
  <c r="BE35" i="9"/>
  <c r="BE34" i="9"/>
  <c r="BE33" i="9"/>
  <c r="BE32" i="9"/>
  <c r="BE31" i="9"/>
  <c r="BE30" i="9"/>
  <c r="BE29" i="9"/>
  <c r="BE28" i="9"/>
  <c r="BE27" i="9"/>
  <c r="BE26" i="9"/>
  <c r="BE25" i="9"/>
  <c r="BE22" i="9"/>
  <c r="BE21" i="9"/>
  <c r="BE20" i="9"/>
  <c r="BE19" i="9"/>
  <c r="BE18" i="9"/>
  <c r="BE17" i="9"/>
  <c r="BE16" i="9"/>
  <c r="BE15" i="9"/>
  <c r="BE14" i="9"/>
  <c r="BE13" i="9"/>
  <c r="BE12" i="9"/>
  <c r="BE11" i="9"/>
  <c r="BE10" i="9"/>
  <c r="BE9" i="9"/>
  <c r="BE8" i="9"/>
  <c r="BE7" i="9"/>
  <c r="BD63" i="9"/>
  <c r="BD62" i="9"/>
  <c r="BD61" i="9"/>
  <c r="BD60" i="9"/>
  <c r="BD59" i="9"/>
  <c r="BD58" i="9"/>
  <c r="BD57" i="9"/>
  <c r="BD56" i="9"/>
  <c r="BD55" i="9"/>
  <c r="BD54" i="9"/>
  <c r="BD52" i="9"/>
  <c r="BD51" i="9"/>
  <c r="BD50" i="9"/>
  <c r="BD49" i="9"/>
  <c r="BD48" i="9"/>
  <c r="BD47" i="9"/>
  <c r="BD46" i="9"/>
  <c r="BD45" i="9"/>
  <c r="BD44" i="9"/>
  <c r="BD43" i="9"/>
  <c r="BD42" i="9"/>
  <c r="BD41" i="9"/>
  <c r="BD40" i="9"/>
  <c r="BD38" i="9"/>
  <c r="BD37" i="9"/>
  <c r="BD36" i="9"/>
  <c r="BD35" i="9"/>
  <c r="BD34" i="9"/>
  <c r="BD33" i="9"/>
  <c r="BD32" i="9"/>
  <c r="BD31" i="9"/>
  <c r="BD30" i="9"/>
  <c r="BD29" i="9"/>
  <c r="BD28" i="9"/>
  <c r="BD27" i="9"/>
  <c r="BD26" i="9"/>
  <c r="BD25" i="9"/>
  <c r="BD23" i="9"/>
  <c r="BD22" i="9"/>
  <c r="BD21" i="9"/>
  <c r="BD20" i="9"/>
  <c r="BD19" i="9"/>
  <c r="BD18" i="9"/>
  <c r="BD17" i="9"/>
  <c r="BD16" i="9"/>
  <c r="BD15" i="9"/>
  <c r="BD14" i="9"/>
  <c r="BD13" i="9"/>
  <c r="BD12" i="9"/>
  <c r="BD11" i="9"/>
  <c r="BD10" i="9"/>
  <c r="BD9" i="9"/>
  <c r="BD8" i="9"/>
  <c r="BD7" i="9"/>
  <c r="BI7" i="1"/>
  <c r="BE5" i="9" s="1"/>
  <c r="BH54" i="1"/>
  <c r="BG54" i="1"/>
  <c r="BH40" i="1"/>
  <c r="BG40" i="1"/>
  <c r="BH25" i="1"/>
  <c r="BG25" i="1"/>
  <c r="BH7" i="1"/>
  <c r="BD5" i="9" s="1"/>
  <c r="BG7" i="1"/>
  <c r="BC7" i="9"/>
  <c r="BC8" i="9"/>
  <c r="BC9" i="9"/>
  <c r="BC10" i="9"/>
  <c r="BC11" i="9"/>
  <c r="BC12" i="9"/>
  <c r="BC13" i="9"/>
  <c r="BC14" i="9"/>
  <c r="BC15" i="9"/>
  <c r="BC16" i="9"/>
  <c r="BC17" i="9"/>
  <c r="BC18" i="9"/>
  <c r="BC19" i="9"/>
  <c r="BC20" i="9"/>
  <c r="BC21" i="9"/>
  <c r="BC22" i="9"/>
  <c r="BB25" i="9"/>
  <c r="BC25" i="9"/>
  <c r="BB26" i="9"/>
  <c r="BC26" i="9"/>
  <c r="BC27" i="9"/>
  <c r="BC28" i="9"/>
  <c r="BC29" i="9"/>
  <c r="BB30" i="9"/>
  <c r="BC30" i="9"/>
  <c r="BC31" i="9"/>
  <c r="BC32" i="9"/>
  <c r="BC33" i="9"/>
  <c r="BB34" i="9"/>
  <c r="BC34" i="9"/>
  <c r="BC35" i="9"/>
  <c r="BC36" i="9"/>
  <c r="BB37" i="9"/>
  <c r="BC37" i="9"/>
  <c r="BC38" i="9"/>
  <c r="BC40" i="9"/>
  <c r="BC41" i="9"/>
  <c r="BC42" i="9"/>
  <c r="BC43" i="9"/>
  <c r="BC44" i="9"/>
  <c r="BC45" i="9"/>
  <c r="BC46" i="9"/>
  <c r="BC47" i="9"/>
  <c r="BB48" i="9"/>
  <c r="BC48" i="9"/>
  <c r="BC49" i="9"/>
  <c r="BC50" i="9"/>
  <c r="BC51" i="9"/>
  <c r="BC54" i="9"/>
  <c r="BC55" i="9"/>
  <c r="BC56" i="9"/>
  <c r="BB57" i="9"/>
  <c r="BC57" i="9"/>
  <c r="BC58" i="9"/>
  <c r="BC59" i="9"/>
  <c r="BC60" i="9"/>
  <c r="BC61" i="9"/>
  <c r="BC62" i="9"/>
  <c r="BC63" i="9"/>
  <c r="BB9" i="4"/>
  <c r="BB10" i="4"/>
  <c r="BB9" i="9" s="1"/>
  <c r="BB11" i="4"/>
  <c r="BB10" i="9" s="1"/>
  <c r="BB12" i="4"/>
  <c r="BB13" i="4"/>
  <c r="BB14" i="4"/>
  <c r="BB13" i="9" s="1"/>
  <c r="BB15" i="4"/>
  <c r="BB16" i="4"/>
  <c r="BB17" i="4"/>
  <c r="BB16" i="9" s="1"/>
  <c r="BB18" i="4"/>
  <c r="BB17" i="9" s="1"/>
  <c r="BB19" i="4"/>
  <c r="BB18" i="9" s="1"/>
  <c r="BB20" i="4"/>
  <c r="BB19" i="9" s="1"/>
  <c r="BB21" i="4"/>
  <c r="BB22" i="4"/>
  <c r="BB21" i="9" s="1"/>
  <c r="BB23" i="4"/>
  <c r="BB22" i="9" s="1"/>
  <c r="BB27" i="4"/>
  <c r="BB28" i="4"/>
  <c r="BB27" i="9" s="1"/>
  <c r="BB29" i="4"/>
  <c r="BB28" i="9" s="1"/>
  <c r="BB30" i="4"/>
  <c r="BB29" i="9" s="1"/>
  <c r="BB31" i="4"/>
  <c r="BB32" i="4"/>
  <c r="BB31" i="9" s="1"/>
  <c r="BB33" i="4"/>
  <c r="BB34" i="4"/>
  <c r="BB35" i="4"/>
  <c r="BB36" i="4"/>
  <c r="BB35" i="9" s="1"/>
  <c r="BB37" i="4"/>
  <c r="BB36" i="9" s="1"/>
  <c r="BB41" i="4"/>
  <c r="BB40" i="9" s="1"/>
  <c r="BB42" i="4"/>
  <c r="BB41" i="9" s="1"/>
  <c r="BB43" i="4"/>
  <c r="BB42" i="9" s="1"/>
  <c r="BB44" i="4"/>
  <c r="BB43" i="9" s="1"/>
  <c r="BB45" i="4"/>
  <c r="BB44" i="9" s="1"/>
  <c r="BB46" i="4"/>
  <c r="BB45" i="9" s="1"/>
  <c r="BB47" i="4"/>
  <c r="BB46" i="9" s="1"/>
  <c r="BB48" i="4"/>
  <c r="BB47" i="9" s="1"/>
  <c r="BB50" i="4"/>
  <c r="BB51" i="4"/>
  <c r="BB52" i="4"/>
  <c r="BB51" i="9" s="1"/>
  <c r="BB55" i="4"/>
  <c r="BB54" i="9" s="1"/>
  <c r="BB56" i="4"/>
  <c r="BB55" i="9" s="1"/>
  <c r="BB57" i="4"/>
  <c r="BB56" i="9" s="1"/>
  <c r="BB58" i="4"/>
  <c r="BB59" i="4"/>
  <c r="BB58" i="9" s="1"/>
  <c r="BB60" i="4"/>
  <c r="BB59" i="9" s="1"/>
  <c r="BB61" i="4"/>
  <c r="BB60" i="9" s="1"/>
  <c r="BB62" i="4"/>
  <c r="BB61" i="9" s="1"/>
  <c r="BB63" i="4"/>
  <c r="BB62" i="9" s="1"/>
  <c r="BB64" i="4"/>
  <c r="BB63" i="9" s="1"/>
  <c r="BB8" i="4"/>
  <c r="BB7" i="9" s="1"/>
  <c r="BC53" i="4"/>
  <c r="BC52" i="9" s="1"/>
  <c r="BC39" i="4"/>
  <c r="BC24" i="4"/>
  <c r="BC6" i="4"/>
  <c r="BO53" i="36"/>
  <c r="BP53" i="36"/>
  <c r="BQ53" i="36"/>
  <c r="BR53" i="36"/>
  <c r="BS53" i="36"/>
  <c r="BT53" i="36"/>
  <c r="BU53" i="36"/>
  <c r="BV53" i="36"/>
  <c r="BW53" i="36"/>
  <c r="BX53" i="36"/>
  <c r="BY53" i="36"/>
  <c r="BN53" i="36"/>
  <c r="E59" i="3" s="1"/>
  <c r="BO39" i="36"/>
  <c r="BP39" i="36"/>
  <c r="BQ39" i="36"/>
  <c r="BR39" i="36"/>
  <c r="BS39" i="36"/>
  <c r="BT39" i="36"/>
  <c r="BU39" i="36"/>
  <c r="BV39" i="36"/>
  <c r="BW39" i="36"/>
  <c r="BX39" i="36"/>
  <c r="BY39" i="36"/>
  <c r="BN39" i="36"/>
  <c r="BO24" i="36"/>
  <c r="BP24" i="36"/>
  <c r="BQ24" i="36"/>
  <c r="BR24" i="36"/>
  <c r="BS24" i="36"/>
  <c r="BT24" i="36"/>
  <c r="BU24" i="36"/>
  <c r="BV24" i="36"/>
  <c r="BW24" i="36"/>
  <c r="BX24" i="36"/>
  <c r="BY24" i="36"/>
  <c r="BN24" i="36"/>
  <c r="BO6" i="36"/>
  <c r="BP6" i="36"/>
  <c r="BQ6" i="36"/>
  <c r="BR6" i="36"/>
  <c r="BS6" i="36"/>
  <c r="BT6" i="36"/>
  <c r="BU6" i="36"/>
  <c r="BV6" i="36"/>
  <c r="BW6" i="36"/>
  <c r="BX6" i="36"/>
  <c r="BY6" i="36"/>
  <c r="BN6" i="36"/>
  <c r="BC23" i="9" l="1"/>
  <c r="E45" i="3"/>
  <c r="E12" i="3"/>
  <c r="E30" i="3"/>
  <c r="BI6" i="1"/>
  <c r="BE4" i="9" s="1"/>
  <c r="BB6" i="4"/>
  <c r="BB20" i="9"/>
  <c r="BB12" i="9"/>
  <c r="BB8" i="9"/>
  <c r="BB33" i="9"/>
  <c r="BB50" i="9"/>
  <c r="BB15" i="9"/>
  <c r="BB11" i="9"/>
  <c r="BB32" i="9"/>
  <c r="BB49" i="9"/>
  <c r="BB14" i="9"/>
  <c r="BH6" i="1"/>
  <c r="BD4" i="9" s="1"/>
  <c r="BG6" i="1"/>
  <c r="BC5" i="9"/>
  <c r="BC5" i="4"/>
  <c r="BC4" i="9" l="1"/>
  <c r="BM53" i="36"/>
  <c r="BL53" i="36"/>
  <c r="BK53" i="36"/>
  <c r="BJ53" i="36"/>
  <c r="BI53" i="36"/>
  <c r="BH53" i="36"/>
  <c r="BG53" i="36"/>
  <c r="BF53" i="36"/>
  <c r="BE53" i="36"/>
  <c r="BD53" i="36"/>
  <c r="BM39" i="36"/>
  <c r="BL39" i="36"/>
  <c r="BK39" i="36"/>
  <c r="BJ39" i="36"/>
  <c r="BI39" i="36"/>
  <c r="BH39" i="36"/>
  <c r="BG39" i="36"/>
  <c r="BF39" i="36"/>
  <c r="BE39" i="36"/>
  <c r="BD39" i="36"/>
  <c r="BM6" i="36"/>
  <c r="BM24" i="36"/>
  <c r="BL24" i="36"/>
  <c r="BK24" i="36"/>
  <c r="BJ24" i="36"/>
  <c r="BI24" i="36"/>
  <c r="BH24" i="36"/>
  <c r="BG24" i="36"/>
  <c r="BF24" i="36"/>
  <c r="BE24" i="36"/>
  <c r="BD24" i="36"/>
  <c r="BL6" i="36"/>
  <c r="BK6" i="36"/>
  <c r="BJ6" i="36"/>
  <c r="BI6" i="36"/>
  <c r="BH6" i="36"/>
  <c r="BG6" i="36"/>
  <c r="BF6" i="36"/>
  <c r="BE6" i="36"/>
  <c r="BD6" i="36"/>
  <c r="BC53" i="36" l="1"/>
  <c r="BB53" i="36"/>
  <c r="BA53" i="36"/>
  <c r="AZ53" i="36"/>
  <c r="AY53" i="36"/>
  <c r="AX53" i="36"/>
  <c r="AW53" i="36"/>
  <c r="AV53" i="36"/>
  <c r="AU53" i="36"/>
  <c r="BC39" i="36"/>
  <c r="BB39" i="36"/>
  <c r="BA39" i="36"/>
  <c r="AZ39" i="36"/>
  <c r="AY39" i="36"/>
  <c r="AX39" i="36"/>
  <c r="AW39" i="36"/>
  <c r="AV39" i="36"/>
  <c r="AU39" i="36"/>
  <c r="BC24" i="36"/>
  <c r="BB24" i="36"/>
  <c r="BA24" i="36"/>
  <c r="AZ24" i="36"/>
  <c r="AY24" i="36"/>
  <c r="AX24" i="36"/>
  <c r="AW24" i="36"/>
  <c r="AV24" i="36"/>
  <c r="AU24" i="36"/>
  <c r="BC6" i="36"/>
  <c r="BB6" i="36"/>
  <c r="BA6" i="36"/>
  <c r="AZ6" i="36"/>
  <c r="AY6" i="36"/>
  <c r="AX6" i="36"/>
  <c r="AW6" i="36"/>
  <c r="AV6" i="36"/>
  <c r="AU6" i="36"/>
  <c r="AZ8" i="4"/>
  <c r="BA55" i="9" l="1"/>
  <c r="BA56" i="9"/>
  <c r="BA57" i="9"/>
  <c r="BA58" i="9"/>
  <c r="BA59" i="9"/>
  <c r="BA60" i="9"/>
  <c r="BA61" i="9"/>
  <c r="BA62" i="9"/>
  <c r="BA63" i="9"/>
  <c r="BA54" i="9"/>
  <c r="BA41" i="9"/>
  <c r="BA42" i="9"/>
  <c r="BA43" i="9"/>
  <c r="BA44" i="9"/>
  <c r="BA45" i="9"/>
  <c r="BA46" i="9"/>
  <c r="BA47" i="9"/>
  <c r="BA48" i="9"/>
  <c r="BA49" i="9"/>
  <c r="BA50" i="9"/>
  <c r="BA51" i="9"/>
  <c r="BA40" i="9"/>
  <c r="BA26" i="9"/>
  <c r="BA27" i="9"/>
  <c r="BA28" i="9"/>
  <c r="BA29" i="9"/>
  <c r="BA30" i="9"/>
  <c r="BA31" i="9"/>
  <c r="BA32" i="9"/>
  <c r="BA33" i="9"/>
  <c r="BA34" i="9"/>
  <c r="BA35" i="9"/>
  <c r="BA36" i="9"/>
  <c r="BA37" i="9"/>
  <c r="BA25" i="9"/>
  <c r="BA8" i="9"/>
  <c r="BA9" i="9"/>
  <c r="BA10" i="9"/>
  <c r="BA11" i="9"/>
  <c r="BA12" i="9"/>
  <c r="BA13" i="9"/>
  <c r="BA14" i="9"/>
  <c r="BA15" i="9"/>
  <c r="BA16" i="9"/>
  <c r="BA17" i="9"/>
  <c r="BA18" i="9"/>
  <c r="BA19" i="9"/>
  <c r="BA20" i="9"/>
  <c r="BA21" i="9"/>
  <c r="BA22" i="9"/>
  <c r="BA7" i="9"/>
  <c r="AZ7" i="9"/>
  <c r="BA6" i="4"/>
  <c r="BA24" i="4"/>
  <c r="BB24" i="4" s="1"/>
  <c r="BB5" i="4" s="1"/>
  <c r="BA39" i="4"/>
  <c r="BB39" i="4" s="1"/>
  <c r="BA53" i="4"/>
  <c r="BB53" i="4" s="1"/>
  <c r="AZ56" i="4"/>
  <c r="AZ55" i="9" s="1"/>
  <c r="AZ57" i="4"/>
  <c r="AZ56" i="9" s="1"/>
  <c r="AZ58" i="4"/>
  <c r="AZ57" i="9" s="1"/>
  <c r="AZ59" i="4"/>
  <c r="AZ58" i="9" s="1"/>
  <c r="AZ60" i="4"/>
  <c r="AZ59" i="9" s="1"/>
  <c r="AZ61" i="4"/>
  <c r="AZ60" i="9" s="1"/>
  <c r="AZ62" i="4"/>
  <c r="AZ61" i="9" s="1"/>
  <c r="AZ63" i="4"/>
  <c r="AZ62" i="9" s="1"/>
  <c r="AZ64" i="4"/>
  <c r="AZ63" i="9" s="1"/>
  <c r="AZ55" i="4"/>
  <c r="AZ42" i="4"/>
  <c r="AZ41" i="9" s="1"/>
  <c r="AZ43" i="4"/>
  <c r="AZ42" i="9" s="1"/>
  <c r="AZ44" i="4"/>
  <c r="AZ43" i="9" s="1"/>
  <c r="AZ45" i="4"/>
  <c r="AZ44" i="9" s="1"/>
  <c r="AZ46" i="4"/>
  <c r="AZ45" i="9" s="1"/>
  <c r="AZ47" i="4"/>
  <c r="AZ46" i="9" s="1"/>
  <c r="AZ48" i="4"/>
  <c r="AZ47" i="9" s="1"/>
  <c r="AZ49" i="4"/>
  <c r="AZ48" i="9" s="1"/>
  <c r="AZ50" i="4"/>
  <c r="AZ49" i="9" s="1"/>
  <c r="AZ51" i="4"/>
  <c r="AZ50" i="9" s="1"/>
  <c r="AZ52" i="4"/>
  <c r="AZ51" i="9" s="1"/>
  <c r="AZ41" i="4"/>
  <c r="AZ40" i="9" s="1"/>
  <c r="AZ27" i="4"/>
  <c r="AZ26" i="9" s="1"/>
  <c r="AZ28" i="4"/>
  <c r="AZ27" i="9" s="1"/>
  <c r="AZ29" i="4"/>
  <c r="AZ28" i="9" s="1"/>
  <c r="AZ30" i="4"/>
  <c r="AZ29" i="9" s="1"/>
  <c r="AZ31" i="4"/>
  <c r="AZ30" i="9" s="1"/>
  <c r="AZ32" i="4"/>
  <c r="AZ31" i="9" s="1"/>
  <c r="AZ33" i="4"/>
  <c r="AZ32" i="9" s="1"/>
  <c r="AZ34" i="4"/>
  <c r="AZ33" i="9" s="1"/>
  <c r="AZ35" i="4"/>
  <c r="AZ34" i="9" s="1"/>
  <c r="AZ36" i="4"/>
  <c r="AZ35" i="9" s="1"/>
  <c r="AZ37" i="4"/>
  <c r="AZ36" i="9" s="1"/>
  <c r="AZ38" i="4"/>
  <c r="AZ37" i="9" s="1"/>
  <c r="AZ26" i="4"/>
  <c r="AZ25" i="9" s="1"/>
  <c r="AZ9" i="4"/>
  <c r="AZ8" i="9" s="1"/>
  <c r="AZ10" i="4"/>
  <c r="AZ9" i="9" s="1"/>
  <c r="AZ11" i="4"/>
  <c r="AZ10" i="9" s="1"/>
  <c r="AZ12" i="4"/>
  <c r="AZ11" i="9" s="1"/>
  <c r="AZ13" i="4"/>
  <c r="AZ12" i="9" s="1"/>
  <c r="AZ14" i="4"/>
  <c r="AZ13" i="9" s="1"/>
  <c r="AZ15" i="4"/>
  <c r="AZ14" i="9" s="1"/>
  <c r="AZ16" i="4"/>
  <c r="AZ15" i="9" s="1"/>
  <c r="AZ17" i="4"/>
  <c r="AZ16" i="9" s="1"/>
  <c r="AZ18" i="4"/>
  <c r="AZ17" i="9" s="1"/>
  <c r="AZ19" i="4"/>
  <c r="AZ18" i="9" s="1"/>
  <c r="AZ20" i="4"/>
  <c r="AZ19" i="9" s="1"/>
  <c r="AZ21" i="4"/>
  <c r="AZ20" i="9" s="1"/>
  <c r="AZ22" i="4"/>
  <c r="AZ21" i="9" s="1"/>
  <c r="AZ23" i="4"/>
  <c r="AZ22" i="9" s="1"/>
  <c r="BA5" i="4" l="1"/>
  <c r="AZ6" i="4"/>
  <c r="AZ53" i="4"/>
  <c r="AZ39" i="4"/>
  <c r="AZ24" i="4"/>
  <c r="AZ54" i="9"/>
  <c r="BD54" i="1"/>
  <c r="BE54" i="1"/>
  <c r="BA52" i="9" s="1"/>
  <c r="BF54" i="1"/>
  <c r="BB52" i="9" s="1"/>
  <c r="BD40" i="1"/>
  <c r="BE40" i="1"/>
  <c r="BA38" i="9" s="1"/>
  <c r="BF40" i="1"/>
  <c r="BB38" i="9" s="1"/>
  <c r="BD25" i="1"/>
  <c r="BE25" i="1"/>
  <c r="BA23" i="9" s="1"/>
  <c r="BF25" i="1"/>
  <c r="BB23" i="9" s="1"/>
  <c r="BD7" i="1"/>
  <c r="AZ5" i="9" s="1"/>
  <c r="BE7" i="1"/>
  <c r="BA5" i="9" s="1"/>
  <c r="BF7" i="1"/>
  <c r="BB5" i="9" s="1"/>
  <c r="AZ38" i="9" l="1"/>
  <c r="AZ52" i="9"/>
  <c r="AZ23" i="9"/>
  <c r="AZ5" i="4"/>
  <c r="BE6" i="1"/>
  <c r="BA4" i="9" s="1"/>
  <c r="BF6" i="1"/>
  <c r="BB4" i="9" s="1"/>
  <c r="BD6" i="1"/>
  <c r="CB5" i="33"/>
  <c r="CC5" i="33"/>
  <c r="CD5" i="33"/>
  <c r="CE5" i="33"/>
  <c r="CB8" i="33"/>
  <c r="CC8" i="33"/>
  <c r="CD8" i="33"/>
  <c r="CE8" i="33"/>
  <c r="CB9" i="33"/>
  <c r="CC9" i="33"/>
  <c r="CD9" i="33"/>
  <c r="CE9" i="33"/>
  <c r="CB10" i="33"/>
  <c r="CC10" i="33"/>
  <c r="CD10" i="33"/>
  <c r="CE10" i="33"/>
  <c r="CB11" i="33"/>
  <c r="CC11" i="33"/>
  <c r="CD11" i="33"/>
  <c r="CE11" i="33"/>
  <c r="CB12" i="33"/>
  <c r="CC12" i="33"/>
  <c r="CD12" i="33"/>
  <c r="CE12" i="33"/>
  <c r="CB13" i="33"/>
  <c r="CC13" i="33"/>
  <c r="CD13" i="33"/>
  <c r="CE13" i="33"/>
  <c r="CB14" i="33"/>
  <c r="CC14" i="33"/>
  <c r="CD14" i="33"/>
  <c r="CE14" i="33"/>
  <c r="CB15" i="33"/>
  <c r="CC15" i="33"/>
  <c r="CD15" i="33"/>
  <c r="CE15" i="33"/>
  <c r="CB16" i="33"/>
  <c r="CC16" i="33"/>
  <c r="CD16" i="33"/>
  <c r="CE16" i="33"/>
  <c r="CB17" i="33"/>
  <c r="CC17" i="33"/>
  <c r="CD17" i="33"/>
  <c r="CE17" i="33"/>
  <c r="CB18" i="33"/>
  <c r="CC18" i="33"/>
  <c r="CD18" i="33"/>
  <c r="CE18" i="33"/>
  <c r="CB19" i="33"/>
  <c r="CC19" i="33"/>
  <c r="CD19" i="33"/>
  <c r="CE19" i="33"/>
  <c r="CB20" i="33"/>
  <c r="CC20" i="33"/>
  <c r="CD20" i="33"/>
  <c r="CE20" i="33"/>
  <c r="CB21" i="33"/>
  <c r="CC21" i="33"/>
  <c r="CD21" i="33"/>
  <c r="CE21" i="33"/>
  <c r="CB22" i="33"/>
  <c r="CC22" i="33"/>
  <c r="CD22" i="33"/>
  <c r="CE22" i="33"/>
  <c r="CB23" i="33"/>
  <c r="CC23" i="33"/>
  <c r="CD23" i="33"/>
  <c r="CE23" i="33"/>
  <c r="CB26" i="33"/>
  <c r="CC26" i="33"/>
  <c r="CD26" i="33"/>
  <c r="CE26" i="33"/>
  <c r="CB27" i="33"/>
  <c r="CC27" i="33"/>
  <c r="CD27" i="33"/>
  <c r="CE27" i="33"/>
  <c r="CB28" i="33"/>
  <c r="CC28" i="33"/>
  <c r="CD28" i="33"/>
  <c r="CE28" i="33"/>
  <c r="CB29" i="33"/>
  <c r="CC29" i="33"/>
  <c r="CD29" i="33"/>
  <c r="CE29" i="33"/>
  <c r="CB30" i="33"/>
  <c r="CC30" i="33"/>
  <c r="CD30" i="33"/>
  <c r="CE30" i="33"/>
  <c r="CB31" i="33"/>
  <c r="CC31" i="33"/>
  <c r="CD31" i="33"/>
  <c r="CE31" i="33"/>
  <c r="CB32" i="33"/>
  <c r="CC32" i="33"/>
  <c r="CD32" i="33"/>
  <c r="CE32" i="33"/>
  <c r="CB33" i="33"/>
  <c r="CC33" i="33"/>
  <c r="CD33" i="33"/>
  <c r="CE33" i="33"/>
  <c r="CB34" i="33"/>
  <c r="CC34" i="33"/>
  <c r="CD34" i="33"/>
  <c r="CE34" i="33"/>
  <c r="CB35" i="33"/>
  <c r="CC35" i="33"/>
  <c r="CD35" i="33"/>
  <c r="CE35" i="33"/>
  <c r="CB36" i="33"/>
  <c r="CC36" i="33"/>
  <c r="CD36" i="33"/>
  <c r="CE36" i="33"/>
  <c r="CB37" i="33"/>
  <c r="CC37" i="33"/>
  <c r="CD37" i="33"/>
  <c r="CE37" i="33"/>
  <c r="CB38" i="33"/>
  <c r="CC38" i="33"/>
  <c r="CD38" i="33"/>
  <c r="CE38" i="33"/>
  <c r="CB41" i="33"/>
  <c r="CC41" i="33"/>
  <c r="CD41" i="33"/>
  <c r="CE41" i="33"/>
  <c r="CB42" i="33"/>
  <c r="CC42" i="33"/>
  <c r="CD42" i="33"/>
  <c r="CE42" i="33"/>
  <c r="CB43" i="33"/>
  <c r="CC43" i="33"/>
  <c r="CD43" i="33"/>
  <c r="CE43" i="33"/>
  <c r="CB44" i="33"/>
  <c r="CC44" i="33"/>
  <c r="CD44" i="33"/>
  <c r="CE44" i="33"/>
  <c r="CB45" i="33"/>
  <c r="CC45" i="33"/>
  <c r="CD45" i="33"/>
  <c r="CE45" i="33"/>
  <c r="CB46" i="33"/>
  <c r="CC46" i="33"/>
  <c r="CD46" i="33"/>
  <c r="CE46" i="33"/>
  <c r="CB47" i="33"/>
  <c r="CC47" i="33"/>
  <c r="CD47" i="33"/>
  <c r="CE47" i="33"/>
  <c r="CB48" i="33"/>
  <c r="CC48" i="33"/>
  <c r="CD48" i="33"/>
  <c r="CE48" i="33"/>
  <c r="CB49" i="33"/>
  <c r="CC49" i="33"/>
  <c r="CD49" i="33"/>
  <c r="CE49" i="33"/>
  <c r="CB50" i="33"/>
  <c r="CC50" i="33"/>
  <c r="CD50" i="33"/>
  <c r="CE50" i="33"/>
  <c r="CB51" i="33"/>
  <c r="CC51" i="33"/>
  <c r="CD51" i="33"/>
  <c r="CE51" i="33"/>
  <c r="CB52" i="33"/>
  <c r="CC52" i="33"/>
  <c r="CD52" i="33"/>
  <c r="CE52" i="33"/>
  <c r="CB53" i="33"/>
  <c r="CC53" i="33"/>
  <c r="CD53" i="33"/>
  <c r="CE53" i="33"/>
  <c r="CB55" i="33"/>
  <c r="CC55" i="33"/>
  <c r="CD55" i="33"/>
  <c r="CE55" i="33"/>
  <c r="CB56" i="33"/>
  <c r="CC56" i="33"/>
  <c r="CD56" i="33"/>
  <c r="CE56" i="33"/>
  <c r="CB57" i="33"/>
  <c r="CC57" i="33"/>
  <c r="CD57" i="33"/>
  <c r="CE57" i="33"/>
  <c r="CB58" i="33"/>
  <c r="CC58" i="33"/>
  <c r="CD58" i="33"/>
  <c r="CE58" i="33"/>
  <c r="CB59" i="33"/>
  <c r="CC59" i="33"/>
  <c r="CD59" i="33"/>
  <c r="CE59" i="33"/>
  <c r="CB60" i="33"/>
  <c r="CC60" i="33"/>
  <c r="CD60" i="33"/>
  <c r="CE60" i="33"/>
  <c r="CB61" i="33"/>
  <c r="CC61" i="33"/>
  <c r="CD61" i="33"/>
  <c r="CE61" i="33"/>
  <c r="CB62" i="33"/>
  <c r="CC62" i="33"/>
  <c r="CD62" i="33"/>
  <c r="CE62" i="33"/>
  <c r="CB63" i="33"/>
  <c r="CC63" i="33"/>
  <c r="CD63" i="33"/>
  <c r="CE63" i="33"/>
  <c r="DQ5" i="33"/>
  <c r="DR5" i="33"/>
  <c r="DS5" i="33"/>
  <c r="DT5" i="33"/>
  <c r="DQ8" i="33"/>
  <c r="DR8" i="33"/>
  <c r="DS8" i="33"/>
  <c r="DT8" i="33"/>
  <c r="DQ9" i="33"/>
  <c r="DR9" i="33"/>
  <c r="DS9" i="33"/>
  <c r="DT9" i="33"/>
  <c r="DQ10" i="33"/>
  <c r="DR10" i="33"/>
  <c r="DS10" i="33"/>
  <c r="DT10" i="33"/>
  <c r="DQ11" i="33"/>
  <c r="DR11" i="33"/>
  <c r="DS11" i="33"/>
  <c r="DT11" i="33"/>
  <c r="DQ12" i="33"/>
  <c r="DR12" i="33"/>
  <c r="DS12" i="33"/>
  <c r="DT12" i="33"/>
  <c r="DQ13" i="33"/>
  <c r="DR13" i="33"/>
  <c r="DS13" i="33"/>
  <c r="DT13" i="33"/>
  <c r="DQ14" i="33"/>
  <c r="DR14" i="33"/>
  <c r="DS14" i="33"/>
  <c r="DT14" i="33"/>
  <c r="DQ15" i="33"/>
  <c r="DR15" i="33"/>
  <c r="DS15" i="33"/>
  <c r="DT15" i="33"/>
  <c r="DQ16" i="33"/>
  <c r="DR16" i="33"/>
  <c r="DS16" i="33"/>
  <c r="DT16" i="33"/>
  <c r="DQ17" i="33"/>
  <c r="DR17" i="33"/>
  <c r="DS17" i="33"/>
  <c r="DT17" i="33"/>
  <c r="DQ18" i="33"/>
  <c r="DR18" i="33"/>
  <c r="DS18" i="33"/>
  <c r="DT18" i="33"/>
  <c r="DQ19" i="33"/>
  <c r="DR19" i="33"/>
  <c r="DS19" i="33"/>
  <c r="DT19" i="33"/>
  <c r="DQ20" i="33"/>
  <c r="DR20" i="33"/>
  <c r="DS20" i="33"/>
  <c r="DT20" i="33"/>
  <c r="DQ21" i="33"/>
  <c r="DR21" i="33"/>
  <c r="DS21" i="33"/>
  <c r="DT21" i="33"/>
  <c r="DQ22" i="33"/>
  <c r="DR22" i="33"/>
  <c r="DS22" i="33"/>
  <c r="DT22" i="33"/>
  <c r="DQ23" i="33"/>
  <c r="DR23" i="33"/>
  <c r="DS23" i="33"/>
  <c r="DT23" i="33"/>
  <c r="DQ26" i="33"/>
  <c r="DR26" i="33"/>
  <c r="DS26" i="33"/>
  <c r="DT26" i="33"/>
  <c r="DQ27" i="33"/>
  <c r="DR27" i="33"/>
  <c r="DS27" i="33"/>
  <c r="DT27" i="33"/>
  <c r="DQ28" i="33"/>
  <c r="DR28" i="33"/>
  <c r="DS28" i="33"/>
  <c r="DT28" i="33"/>
  <c r="DQ29" i="33"/>
  <c r="DR29" i="33"/>
  <c r="DS29" i="33"/>
  <c r="DT29" i="33"/>
  <c r="DQ30" i="33"/>
  <c r="DR30" i="33"/>
  <c r="DS30" i="33"/>
  <c r="DT30" i="33"/>
  <c r="DQ31" i="33"/>
  <c r="DR31" i="33"/>
  <c r="DS31" i="33"/>
  <c r="DT31" i="33"/>
  <c r="DQ32" i="33"/>
  <c r="DR32" i="33"/>
  <c r="DS32" i="33"/>
  <c r="DT32" i="33"/>
  <c r="DQ33" i="33"/>
  <c r="DR33" i="33"/>
  <c r="DS33" i="33"/>
  <c r="DT33" i="33"/>
  <c r="DQ34" i="33"/>
  <c r="DR34" i="33"/>
  <c r="DS34" i="33"/>
  <c r="DT34" i="33"/>
  <c r="DQ35" i="33"/>
  <c r="DR35" i="33"/>
  <c r="DS35" i="33"/>
  <c r="DT35" i="33"/>
  <c r="DQ36" i="33"/>
  <c r="DR36" i="33"/>
  <c r="DS36" i="33"/>
  <c r="DT36" i="33"/>
  <c r="DQ37" i="33"/>
  <c r="DR37" i="33"/>
  <c r="DS37" i="33"/>
  <c r="DT37" i="33"/>
  <c r="DQ38" i="33"/>
  <c r="DR38" i="33"/>
  <c r="DS38" i="33"/>
  <c r="DT38" i="33"/>
  <c r="DQ41" i="33"/>
  <c r="DR41" i="33"/>
  <c r="DS41" i="33"/>
  <c r="DT41" i="33"/>
  <c r="DQ42" i="33"/>
  <c r="DR42" i="33"/>
  <c r="DS42" i="33"/>
  <c r="DT42" i="33"/>
  <c r="DQ43" i="33"/>
  <c r="DR43" i="33"/>
  <c r="DS43" i="33"/>
  <c r="DT43" i="33"/>
  <c r="DQ44" i="33"/>
  <c r="DR44" i="33"/>
  <c r="DS44" i="33"/>
  <c r="DT44" i="33"/>
  <c r="DQ45" i="33"/>
  <c r="DR45" i="33"/>
  <c r="DS45" i="33"/>
  <c r="DT45" i="33"/>
  <c r="DQ46" i="33"/>
  <c r="DR46" i="33"/>
  <c r="DS46" i="33"/>
  <c r="DT46" i="33"/>
  <c r="DQ47" i="33"/>
  <c r="DR47" i="33"/>
  <c r="DS47" i="33"/>
  <c r="DT47" i="33"/>
  <c r="DQ48" i="33"/>
  <c r="DR48" i="33"/>
  <c r="DS48" i="33"/>
  <c r="DT48" i="33"/>
  <c r="DQ49" i="33"/>
  <c r="DR49" i="33"/>
  <c r="DS49" i="33"/>
  <c r="DT49" i="33"/>
  <c r="DQ50" i="33"/>
  <c r="DR50" i="33"/>
  <c r="DS50" i="33"/>
  <c r="DT50" i="33"/>
  <c r="DQ51" i="33"/>
  <c r="DR51" i="33"/>
  <c r="DS51" i="33"/>
  <c r="DT51" i="33"/>
  <c r="DQ52" i="33"/>
  <c r="DR52" i="33"/>
  <c r="DS52" i="33"/>
  <c r="DT52" i="33"/>
  <c r="DQ53" i="33"/>
  <c r="DR53" i="33"/>
  <c r="DS53" i="33"/>
  <c r="DT53" i="33"/>
  <c r="DQ55" i="33"/>
  <c r="DR55" i="33"/>
  <c r="DS55" i="33"/>
  <c r="DT55" i="33"/>
  <c r="DQ56" i="33"/>
  <c r="DR56" i="33"/>
  <c r="DS56" i="33"/>
  <c r="DT56" i="33"/>
  <c r="DQ57" i="33"/>
  <c r="DR57" i="33"/>
  <c r="DS57" i="33"/>
  <c r="DT57" i="33"/>
  <c r="DQ58" i="33"/>
  <c r="DR58" i="33"/>
  <c r="DS58" i="33"/>
  <c r="DT58" i="33"/>
  <c r="DQ59" i="33"/>
  <c r="DR59" i="33"/>
  <c r="DS59" i="33"/>
  <c r="DT59" i="33"/>
  <c r="DQ60" i="33"/>
  <c r="DR60" i="33"/>
  <c r="DS60" i="33"/>
  <c r="DT60" i="33"/>
  <c r="DQ61" i="33"/>
  <c r="DR61" i="33"/>
  <c r="DS61" i="33"/>
  <c r="DT61" i="33"/>
  <c r="DQ62" i="33"/>
  <c r="DR62" i="33"/>
  <c r="DS62" i="33"/>
  <c r="DT62" i="33"/>
  <c r="DQ63" i="33"/>
  <c r="DR63" i="33"/>
  <c r="DS63" i="33"/>
  <c r="DT63" i="33"/>
  <c r="DQ64" i="33"/>
  <c r="DR64" i="33"/>
  <c r="DS64" i="33"/>
  <c r="DT64" i="33"/>
  <c r="FF5" i="33"/>
  <c r="FG5" i="33"/>
  <c r="FH5" i="33"/>
  <c r="FI5" i="33"/>
  <c r="FF8" i="33"/>
  <c r="FG8" i="33"/>
  <c r="FH8" i="33"/>
  <c r="FI8" i="33"/>
  <c r="FF9" i="33"/>
  <c r="FG9" i="33"/>
  <c r="FH9" i="33"/>
  <c r="FI9" i="33"/>
  <c r="FF10" i="33"/>
  <c r="FG10" i="33"/>
  <c r="FH10" i="33"/>
  <c r="FI10" i="33"/>
  <c r="FF11" i="33"/>
  <c r="FG11" i="33"/>
  <c r="FH11" i="33"/>
  <c r="FI11" i="33"/>
  <c r="FF12" i="33"/>
  <c r="FG12" i="33"/>
  <c r="FH12" i="33"/>
  <c r="FI12" i="33"/>
  <c r="FF13" i="33"/>
  <c r="FG13" i="33"/>
  <c r="FH13" i="33"/>
  <c r="FI13" i="33"/>
  <c r="FF14" i="33"/>
  <c r="FG14" i="33"/>
  <c r="FH14" i="33"/>
  <c r="FI14" i="33"/>
  <c r="FF15" i="33"/>
  <c r="FG15" i="33"/>
  <c r="FH15" i="33"/>
  <c r="FI15" i="33"/>
  <c r="FF16" i="33"/>
  <c r="FG16" i="33"/>
  <c r="FH16" i="33"/>
  <c r="FI16" i="33"/>
  <c r="FF17" i="33"/>
  <c r="FG17" i="33"/>
  <c r="FH17" i="33"/>
  <c r="FI17" i="33"/>
  <c r="FF18" i="33"/>
  <c r="FG18" i="33"/>
  <c r="FH18" i="33"/>
  <c r="FI18" i="33"/>
  <c r="FF19" i="33"/>
  <c r="FG19" i="33"/>
  <c r="FH19" i="33"/>
  <c r="FI19" i="33"/>
  <c r="FF20" i="33"/>
  <c r="FG20" i="33"/>
  <c r="FH20" i="33"/>
  <c r="FI20" i="33"/>
  <c r="FF21" i="33"/>
  <c r="FG21" i="33"/>
  <c r="FH21" i="33"/>
  <c r="FI21" i="33"/>
  <c r="FF22" i="33"/>
  <c r="FG22" i="33"/>
  <c r="FH22" i="33"/>
  <c r="FI22" i="33"/>
  <c r="FF23" i="33"/>
  <c r="FG23" i="33"/>
  <c r="FH23" i="33"/>
  <c r="FI23" i="33"/>
  <c r="FF26" i="33"/>
  <c r="FG26" i="33"/>
  <c r="FH26" i="33"/>
  <c r="FI26" i="33"/>
  <c r="FF27" i="33"/>
  <c r="FG27" i="33"/>
  <c r="FH27" i="33"/>
  <c r="FI27" i="33"/>
  <c r="FF28" i="33"/>
  <c r="FG28" i="33"/>
  <c r="FH28" i="33"/>
  <c r="FI28" i="33"/>
  <c r="FF29" i="33"/>
  <c r="FG29" i="33"/>
  <c r="FH29" i="33"/>
  <c r="FI29" i="33"/>
  <c r="FF30" i="33"/>
  <c r="FG30" i="33"/>
  <c r="FH30" i="33"/>
  <c r="FI30" i="33"/>
  <c r="FF31" i="33"/>
  <c r="FG31" i="33"/>
  <c r="FH31" i="33"/>
  <c r="FI31" i="33"/>
  <c r="FF32" i="33"/>
  <c r="FG32" i="33"/>
  <c r="FH32" i="33"/>
  <c r="FI32" i="33"/>
  <c r="FF33" i="33"/>
  <c r="FG33" i="33"/>
  <c r="FH33" i="33"/>
  <c r="FI33" i="33"/>
  <c r="FF34" i="33"/>
  <c r="FG34" i="33"/>
  <c r="FH34" i="33"/>
  <c r="FI34" i="33"/>
  <c r="FF35" i="33"/>
  <c r="FG35" i="33"/>
  <c r="FH35" i="33"/>
  <c r="FI35" i="33"/>
  <c r="FF36" i="33"/>
  <c r="FG36" i="33"/>
  <c r="FH36" i="33"/>
  <c r="FI36" i="33"/>
  <c r="FF37" i="33"/>
  <c r="FG37" i="33"/>
  <c r="FH37" i="33"/>
  <c r="FI37" i="33"/>
  <c r="FF38" i="33"/>
  <c r="FG38" i="33"/>
  <c r="FH38" i="33"/>
  <c r="FI38" i="33"/>
  <c r="FF41" i="33"/>
  <c r="FG41" i="33"/>
  <c r="FH41" i="33"/>
  <c r="FI41" i="33"/>
  <c r="FF42" i="33"/>
  <c r="FG42" i="33"/>
  <c r="FH42" i="33"/>
  <c r="FI42" i="33"/>
  <c r="FF43" i="33"/>
  <c r="FG43" i="33"/>
  <c r="FH43" i="33"/>
  <c r="FI43" i="33"/>
  <c r="FF44" i="33"/>
  <c r="FG44" i="33"/>
  <c r="FH44" i="33"/>
  <c r="FI44" i="33"/>
  <c r="FF45" i="33"/>
  <c r="FG45" i="33"/>
  <c r="FH45" i="33"/>
  <c r="FI45" i="33"/>
  <c r="FF46" i="33"/>
  <c r="FG46" i="33"/>
  <c r="FH46" i="33"/>
  <c r="FI46" i="33"/>
  <c r="FF47" i="33"/>
  <c r="FG47" i="33"/>
  <c r="FH47" i="33"/>
  <c r="FI47" i="33"/>
  <c r="FF48" i="33"/>
  <c r="FG48" i="33"/>
  <c r="FH48" i="33"/>
  <c r="FI48" i="33"/>
  <c r="FF49" i="33"/>
  <c r="FG49" i="33"/>
  <c r="FH49" i="33"/>
  <c r="FI49" i="33"/>
  <c r="FF50" i="33"/>
  <c r="FG50" i="33"/>
  <c r="FH50" i="33"/>
  <c r="FI50" i="33"/>
  <c r="FF51" i="33"/>
  <c r="FG51" i="33"/>
  <c r="FH51" i="33"/>
  <c r="FI51" i="33"/>
  <c r="FF52" i="33"/>
  <c r="FG52" i="33"/>
  <c r="FH52" i="33"/>
  <c r="FI52" i="33"/>
  <c r="FF53" i="33"/>
  <c r="FG53" i="33"/>
  <c r="FH53" i="33"/>
  <c r="FI53" i="33"/>
  <c r="FF55" i="33"/>
  <c r="FG55" i="33"/>
  <c r="FH55" i="33"/>
  <c r="FI55" i="33"/>
  <c r="FF56" i="33"/>
  <c r="FG56" i="33"/>
  <c r="FH56" i="33"/>
  <c r="FI56" i="33"/>
  <c r="FF57" i="33"/>
  <c r="FG57" i="33"/>
  <c r="FH57" i="33"/>
  <c r="FI57" i="33"/>
  <c r="FF58" i="33"/>
  <c r="FG58" i="33"/>
  <c r="FH58" i="33"/>
  <c r="FI58" i="33"/>
  <c r="FF59" i="33"/>
  <c r="FG59" i="33"/>
  <c r="FH59" i="33"/>
  <c r="FI59" i="33"/>
  <c r="FF60" i="33"/>
  <c r="FG60" i="33"/>
  <c r="FH60" i="33"/>
  <c r="FI60" i="33"/>
  <c r="FF61" i="33"/>
  <c r="FG61" i="33"/>
  <c r="FH61" i="33"/>
  <c r="FI61" i="33"/>
  <c r="FF62" i="33"/>
  <c r="FG62" i="33"/>
  <c r="FH62" i="33"/>
  <c r="FI62" i="33"/>
  <c r="FF63" i="33"/>
  <c r="FG63" i="33"/>
  <c r="FH63" i="33"/>
  <c r="FI63" i="33"/>
  <c r="FF64" i="33"/>
  <c r="FG64" i="33"/>
  <c r="FH64" i="33"/>
  <c r="FI64" i="33"/>
  <c r="GU5" i="33"/>
  <c r="GV5" i="33"/>
  <c r="GW5" i="33"/>
  <c r="GX5" i="33"/>
  <c r="GU8" i="33"/>
  <c r="GV8" i="33"/>
  <c r="GW8" i="33"/>
  <c r="GX8" i="33"/>
  <c r="GU9" i="33"/>
  <c r="GV9" i="33"/>
  <c r="GW9" i="33"/>
  <c r="GX9" i="33"/>
  <c r="GU10" i="33"/>
  <c r="GV10" i="33"/>
  <c r="GW10" i="33"/>
  <c r="GX10" i="33"/>
  <c r="GU11" i="33"/>
  <c r="GV11" i="33"/>
  <c r="GW11" i="33"/>
  <c r="GX11" i="33"/>
  <c r="GU12" i="33"/>
  <c r="GV12" i="33"/>
  <c r="GW12" i="33"/>
  <c r="GX12" i="33"/>
  <c r="GU13" i="33"/>
  <c r="GV13" i="33"/>
  <c r="GW13" i="33"/>
  <c r="GX13" i="33"/>
  <c r="GU14" i="33"/>
  <c r="GV14" i="33"/>
  <c r="GW14" i="33"/>
  <c r="GX14" i="33"/>
  <c r="GU15" i="33"/>
  <c r="GV15" i="33"/>
  <c r="GW15" i="33"/>
  <c r="GX15" i="33"/>
  <c r="GU16" i="33"/>
  <c r="GV16" i="33"/>
  <c r="GW16" i="33"/>
  <c r="GX16" i="33"/>
  <c r="GU17" i="33"/>
  <c r="GV17" i="33"/>
  <c r="GW17" i="33"/>
  <c r="GX17" i="33"/>
  <c r="GU18" i="33"/>
  <c r="GV18" i="33"/>
  <c r="GW18" i="33"/>
  <c r="GX18" i="33"/>
  <c r="GU19" i="33"/>
  <c r="GV19" i="33"/>
  <c r="GW19" i="33"/>
  <c r="GX19" i="33"/>
  <c r="GU20" i="33"/>
  <c r="GV20" i="33"/>
  <c r="GW20" i="33"/>
  <c r="GX20" i="33"/>
  <c r="GU21" i="33"/>
  <c r="GV21" i="33"/>
  <c r="GW21" i="33"/>
  <c r="GX21" i="33"/>
  <c r="GU22" i="33"/>
  <c r="GV22" i="33"/>
  <c r="GW22" i="33"/>
  <c r="GX22" i="33"/>
  <c r="GU23" i="33"/>
  <c r="GV23" i="33"/>
  <c r="GW23" i="33"/>
  <c r="GX23" i="33"/>
  <c r="GU26" i="33"/>
  <c r="GV26" i="33"/>
  <c r="GW26" i="33"/>
  <c r="GX26" i="33"/>
  <c r="GU27" i="33"/>
  <c r="GV27" i="33"/>
  <c r="GW27" i="33"/>
  <c r="GX27" i="33"/>
  <c r="GU28" i="33"/>
  <c r="GV28" i="33"/>
  <c r="GW28" i="33"/>
  <c r="GX28" i="33"/>
  <c r="GU29" i="33"/>
  <c r="GV29" i="33"/>
  <c r="GW29" i="33"/>
  <c r="GX29" i="33"/>
  <c r="GU30" i="33"/>
  <c r="GV30" i="33"/>
  <c r="GW30" i="33"/>
  <c r="GX30" i="33"/>
  <c r="GU31" i="33"/>
  <c r="GV31" i="33"/>
  <c r="GW31" i="33"/>
  <c r="GX31" i="33"/>
  <c r="GU32" i="33"/>
  <c r="GV32" i="33"/>
  <c r="GW32" i="33"/>
  <c r="GX32" i="33"/>
  <c r="GU33" i="33"/>
  <c r="GV33" i="33"/>
  <c r="GW33" i="33"/>
  <c r="GX33" i="33"/>
  <c r="GU34" i="33"/>
  <c r="GV34" i="33"/>
  <c r="GW34" i="33"/>
  <c r="GX34" i="33"/>
  <c r="GU35" i="33"/>
  <c r="GV35" i="33"/>
  <c r="GW35" i="33"/>
  <c r="GX35" i="33"/>
  <c r="GU36" i="33"/>
  <c r="GV36" i="33"/>
  <c r="GW36" i="33"/>
  <c r="GX36" i="33"/>
  <c r="GU37" i="33"/>
  <c r="GV37" i="33"/>
  <c r="GW37" i="33"/>
  <c r="GX37" i="33"/>
  <c r="GU38" i="33"/>
  <c r="GV38" i="33"/>
  <c r="GW38" i="33"/>
  <c r="GX38" i="33"/>
  <c r="GU41" i="33"/>
  <c r="GV41" i="33"/>
  <c r="GW41" i="33"/>
  <c r="GX41" i="33"/>
  <c r="GU42" i="33"/>
  <c r="GV42" i="33"/>
  <c r="GW42" i="33"/>
  <c r="GX42" i="33"/>
  <c r="GU43" i="33"/>
  <c r="GV43" i="33"/>
  <c r="GW43" i="33"/>
  <c r="GX43" i="33"/>
  <c r="GU44" i="33"/>
  <c r="GV44" i="33"/>
  <c r="GW44" i="33"/>
  <c r="GX44" i="33"/>
  <c r="GU45" i="33"/>
  <c r="GV45" i="33"/>
  <c r="GW45" i="33"/>
  <c r="GX45" i="33"/>
  <c r="GU46" i="33"/>
  <c r="GV46" i="33"/>
  <c r="GW46" i="33"/>
  <c r="GX46" i="33"/>
  <c r="GU47" i="33"/>
  <c r="GV47" i="33"/>
  <c r="GW47" i="33"/>
  <c r="GX47" i="33"/>
  <c r="GU48" i="33"/>
  <c r="GV48" i="33"/>
  <c r="GW48" i="33"/>
  <c r="GX48" i="33"/>
  <c r="GU49" i="33"/>
  <c r="GV49" i="33"/>
  <c r="GW49" i="33"/>
  <c r="GX49" i="33"/>
  <c r="GU50" i="33"/>
  <c r="GV50" i="33"/>
  <c r="GW50" i="33"/>
  <c r="GX50" i="33"/>
  <c r="GU51" i="33"/>
  <c r="GV51" i="33"/>
  <c r="GW51" i="33"/>
  <c r="GX51" i="33"/>
  <c r="GU52" i="33"/>
  <c r="GV52" i="33"/>
  <c r="GW52" i="33"/>
  <c r="GX52" i="33"/>
  <c r="GU53" i="33"/>
  <c r="GV53" i="33"/>
  <c r="GW53" i="33"/>
  <c r="GX53" i="33"/>
  <c r="GU55" i="33"/>
  <c r="GV55" i="33"/>
  <c r="GW55" i="33"/>
  <c r="GX55" i="33"/>
  <c r="GU56" i="33"/>
  <c r="GV56" i="33"/>
  <c r="GW56" i="33"/>
  <c r="GX56" i="33"/>
  <c r="GU57" i="33"/>
  <c r="GV57" i="33"/>
  <c r="GW57" i="33"/>
  <c r="GX57" i="33"/>
  <c r="GU58" i="33"/>
  <c r="GV58" i="33"/>
  <c r="GW58" i="33"/>
  <c r="GX58" i="33"/>
  <c r="GU59" i="33"/>
  <c r="GV59" i="33"/>
  <c r="GW59" i="33"/>
  <c r="GX59" i="33"/>
  <c r="GU60" i="33"/>
  <c r="GV60" i="33"/>
  <c r="GW60" i="33"/>
  <c r="GX60" i="33"/>
  <c r="GU61" i="33"/>
  <c r="GV61" i="33"/>
  <c r="GW61" i="33"/>
  <c r="GX61" i="33"/>
  <c r="GU62" i="33"/>
  <c r="GV62" i="33"/>
  <c r="GW62" i="33"/>
  <c r="GX62" i="33"/>
  <c r="GU63" i="33"/>
  <c r="GV63" i="33"/>
  <c r="GW63" i="33"/>
  <c r="GX63" i="33"/>
  <c r="GU64" i="33"/>
  <c r="GV64" i="33"/>
  <c r="GW64" i="33"/>
  <c r="GX64" i="33"/>
  <c r="IJ5" i="33"/>
  <c r="IK5" i="33"/>
  <c r="IL5" i="33"/>
  <c r="IM5" i="33"/>
  <c r="IJ8" i="33"/>
  <c r="IK8" i="33"/>
  <c r="IL8" i="33"/>
  <c r="IM8" i="33"/>
  <c r="IJ9" i="33"/>
  <c r="IK9" i="33"/>
  <c r="IL9" i="33"/>
  <c r="IM9" i="33"/>
  <c r="IJ10" i="33"/>
  <c r="IK10" i="33"/>
  <c r="IL10" i="33"/>
  <c r="IM10" i="33"/>
  <c r="IJ11" i="33"/>
  <c r="IK11" i="33"/>
  <c r="IL11" i="33"/>
  <c r="IM11" i="33"/>
  <c r="IJ12" i="33"/>
  <c r="IK12" i="33"/>
  <c r="IL12" i="33"/>
  <c r="IM12" i="33"/>
  <c r="IJ13" i="33"/>
  <c r="IK13" i="33"/>
  <c r="IL13" i="33"/>
  <c r="IM13" i="33"/>
  <c r="IJ14" i="33"/>
  <c r="IK14" i="33"/>
  <c r="IL14" i="33"/>
  <c r="IM14" i="33"/>
  <c r="IJ15" i="33"/>
  <c r="IK15" i="33"/>
  <c r="IL15" i="33"/>
  <c r="IM15" i="33"/>
  <c r="IJ16" i="33"/>
  <c r="IK16" i="33"/>
  <c r="IL16" i="33"/>
  <c r="IM16" i="33"/>
  <c r="IJ17" i="33"/>
  <c r="IK17" i="33"/>
  <c r="IL17" i="33"/>
  <c r="IM17" i="33"/>
  <c r="IJ18" i="33"/>
  <c r="IK18" i="33"/>
  <c r="IL18" i="33"/>
  <c r="IM18" i="33"/>
  <c r="IJ19" i="33"/>
  <c r="IK19" i="33"/>
  <c r="IL19" i="33"/>
  <c r="IM19" i="33"/>
  <c r="IJ20" i="33"/>
  <c r="IK20" i="33"/>
  <c r="IL20" i="33"/>
  <c r="IM20" i="33"/>
  <c r="IJ21" i="33"/>
  <c r="IK21" i="33"/>
  <c r="IL21" i="33"/>
  <c r="IM21" i="33"/>
  <c r="IJ22" i="33"/>
  <c r="IK22" i="33"/>
  <c r="IL22" i="33"/>
  <c r="IM22" i="33"/>
  <c r="IJ23" i="33"/>
  <c r="IK23" i="33"/>
  <c r="IL23" i="33"/>
  <c r="IM23" i="33"/>
  <c r="IJ26" i="33"/>
  <c r="IK26" i="33"/>
  <c r="IL26" i="33"/>
  <c r="IM26" i="33"/>
  <c r="IJ27" i="33"/>
  <c r="IK27" i="33"/>
  <c r="IL27" i="33"/>
  <c r="IM27" i="33"/>
  <c r="IJ28" i="33"/>
  <c r="IK28" i="33"/>
  <c r="IL28" i="33"/>
  <c r="IM28" i="33"/>
  <c r="IJ29" i="33"/>
  <c r="IK29" i="33"/>
  <c r="IL29" i="33"/>
  <c r="IM29" i="33"/>
  <c r="IJ30" i="33"/>
  <c r="IK30" i="33"/>
  <c r="IL30" i="33"/>
  <c r="IM30" i="33"/>
  <c r="IJ31" i="33"/>
  <c r="IK31" i="33"/>
  <c r="IL31" i="33"/>
  <c r="IM31" i="33"/>
  <c r="IJ32" i="33"/>
  <c r="IK32" i="33"/>
  <c r="IL32" i="33"/>
  <c r="IM32" i="33"/>
  <c r="IJ33" i="33"/>
  <c r="IK33" i="33"/>
  <c r="IL33" i="33"/>
  <c r="IM33" i="33"/>
  <c r="IJ34" i="33"/>
  <c r="IK34" i="33"/>
  <c r="IL34" i="33"/>
  <c r="IM34" i="33"/>
  <c r="IJ35" i="33"/>
  <c r="IK35" i="33"/>
  <c r="IL35" i="33"/>
  <c r="IM35" i="33"/>
  <c r="IJ36" i="33"/>
  <c r="IK36" i="33"/>
  <c r="IL36" i="33"/>
  <c r="IM36" i="33"/>
  <c r="IJ37" i="33"/>
  <c r="IK37" i="33"/>
  <c r="IL37" i="33"/>
  <c r="IM37" i="33"/>
  <c r="IJ38" i="33"/>
  <c r="IK38" i="33"/>
  <c r="IL38" i="33"/>
  <c r="IM38" i="33"/>
  <c r="IJ41" i="33"/>
  <c r="IK41" i="33"/>
  <c r="IL41" i="33"/>
  <c r="IM41" i="33"/>
  <c r="IJ42" i="33"/>
  <c r="IK42" i="33"/>
  <c r="IL42" i="33"/>
  <c r="IM42" i="33"/>
  <c r="IJ43" i="33"/>
  <c r="IK43" i="33"/>
  <c r="IL43" i="33"/>
  <c r="IM43" i="33"/>
  <c r="IJ44" i="33"/>
  <c r="IK44" i="33"/>
  <c r="IL44" i="33"/>
  <c r="IM44" i="33"/>
  <c r="IJ45" i="33"/>
  <c r="IK45" i="33"/>
  <c r="IL45" i="33"/>
  <c r="IM45" i="33"/>
  <c r="IJ46" i="33"/>
  <c r="IK46" i="33"/>
  <c r="IL46" i="33"/>
  <c r="IM46" i="33"/>
  <c r="IJ47" i="33"/>
  <c r="IK47" i="33"/>
  <c r="IL47" i="33"/>
  <c r="IM47" i="33"/>
  <c r="IJ48" i="33"/>
  <c r="IK48" i="33"/>
  <c r="IL48" i="33"/>
  <c r="IM48" i="33"/>
  <c r="IJ49" i="33"/>
  <c r="IK49" i="33"/>
  <c r="IL49" i="33"/>
  <c r="IM49" i="33"/>
  <c r="IJ50" i="33"/>
  <c r="IK50" i="33"/>
  <c r="IL50" i="33"/>
  <c r="IM50" i="33"/>
  <c r="IJ51" i="33"/>
  <c r="IK51" i="33"/>
  <c r="IL51" i="33"/>
  <c r="IM51" i="33"/>
  <c r="IJ52" i="33"/>
  <c r="IK52" i="33"/>
  <c r="IL52" i="33"/>
  <c r="IM52" i="33"/>
  <c r="IJ53" i="33"/>
  <c r="IK53" i="33"/>
  <c r="IL53" i="33"/>
  <c r="IM53" i="33"/>
  <c r="IJ55" i="33"/>
  <c r="IK55" i="33"/>
  <c r="IL55" i="33"/>
  <c r="IM55" i="33"/>
  <c r="IJ56" i="33"/>
  <c r="IK56" i="33"/>
  <c r="IL56" i="33"/>
  <c r="IM56" i="33"/>
  <c r="IJ57" i="33"/>
  <c r="IK57" i="33"/>
  <c r="IL57" i="33"/>
  <c r="IM57" i="33"/>
  <c r="IJ58" i="33"/>
  <c r="IK58" i="33"/>
  <c r="IL58" i="33"/>
  <c r="IM58" i="33"/>
  <c r="IJ59" i="33"/>
  <c r="IK59" i="33"/>
  <c r="IL59" i="33"/>
  <c r="IM59" i="33"/>
  <c r="IJ60" i="33"/>
  <c r="IK60" i="33"/>
  <c r="IL60" i="33"/>
  <c r="IM60" i="33"/>
  <c r="IJ61" i="33"/>
  <c r="IK61" i="33"/>
  <c r="IL61" i="33"/>
  <c r="IM61" i="33"/>
  <c r="IJ62" i="33"/>
  <c r="IK62" i="33"/>
  <c r="IL62" i="33"/>
  <c r="IM62" i="33"/>
  <c r="IJ63" i="33"/>
  <c r="IK63" i="33"/>
  <c r="IL63" i="33"/>
  <c r="IM63" i="33"/>
  <c r="IJ64" i="33"/>
  <c r="IK64" i="33"/>
  <c r="IL64" i="33"/>
  <c r="IM64" i="33"/>
  <c r="AZ4" i="9" l="1"/>
  <c r="H65" i="1"/>
  <c r="I65" i="1" s="1"/>
  <c r="J65" i="1" s="1"/>
  <c r="K65" i="1" s="1"/>
  <c r="C65" i="1"/>
  <c r="H64" i="1"/>
  <c r="I64" i="1" s="1"/>
  <c r="J64" i="1" s="1"/>
  <c r="K64" i="1" s="1"/>
  <c r="C64" i="1"/>
  <c r="H63" i="1"/>
  <c r="I63" i="1" s="1"/>
  <c r="J63" i="1" s="1"/>
  <c r="K63" i="1" s="1"/>
  <c r="C63" i="1"/>
  <c r="H62" i="1"/>
  <c r="I62" i="1" s="1"/>
  <c r="J62" i="1" s="1"/>
  <c r="K62" i="1" s="1"/>
  <c r="C62" i="1"/>
  <c r="H61" i="1"/>
  <c r="I61" i="1" s="1"/>
  <c r="J61" i="1" s="1"/>
  <c r="K61" i="1" s="1"/>
  <c r="C61" i="1"/>
  <c r="H60" i="1"/>
  <c r="I60" i="1" s="1"/>
  <c r="J60" i="1" s="1"/>
  <c r="K60" i="1" s="1"/>
  <c r="C60" i="1"/>
  <c r="H59" i="1"/>
  <c r="I59" i="1" s="1"/>
  <c r="J59" i="1" s="1"/>
  <c r="K59" i="1" s="1"/>
  <c r="C59" i="1"/>
  <c r="H58" i="1"/>
  <c r="I58" i="1" s="1"/>
  <c r="J58" i="1" s="1"/>
  <c r="K58" i="1" s="1"/>
  <c r="C58" i="1"/>
  <c r="H57" i="1"/>
  <c r="I57" i="1" s="1"/>
  <c r="J57" i="1" s="1"/>
  <c r="K57" i="1" s="1"/>
  <c r="C57" i="1"/>
  <c r="H56" i="1"/>
  <c r="I56" i="1" s="1"/>
  <c r="C56" i="1"/>
  <c r="BW54" i="1"/>
  <c r="BV54" i="1"/>
  <c r="BU54" i="1"/>
  <c r="BT54" i="1"/>
  <c r="BS54" i="1"/>
  <c r="BR54" i="1"/>
  <c r="BQ54" i="1"/>
  <c r="BP54" i="1"/>
  <c r="BO54" i="1"/>
  <c r="BN54" i="1"/>
  <c r="BL54" i="1"/>
  <c r="BK54" i="1"/>
  <c r="BC54" i="1"/>
  <c r="BB54" i="1"/>
  <c r="BA54" i="1"/>
  <c r="AZ54" i="1"/>
  <c r="AY54" i="1"/>
  <c r="AX54" i="1"/>
  <c r="AW54" i="1"/>
  <c r="AV54" i="1"/>
  <c r="AU54" i="1"/>
  <c r="AT54" i="1"/>
  <c r="AS54" i="1"/>
  <c r="AR54" i="1"/>
  <c r="AQ54" i="1"/>
  <c r="AP54" i="1"/>
  <c r="AO54" i="1"/>
  <c r="AN54" i="1"/>
  <c r="AM54" i="1"/>
  <c r="AL54" i="1"/>
  <c r="AK54" i="1"/>
  <c r="AJ54" i="1"/>
  <c r="AI54" i="1"/>
  <c r="AH54" i="1"/>
  <c r="AG54" i="1"/>
  <c r="AF54" i="1"/>
  <c r="AE54" i="1"/>
  <c r="AD54" i="1"/>
  <c r="AC54" i="1"/>
  <c r="AB54" i="1"/>
  <c r="AA54" i="1"/>
  <c r="Z54" i="1"/>
  <c r="Y54" i="1"/>
  <c r="X54" i="1"/>
  <c r="W54" i="1"/>
  <c r="V54" i="1"/>
  <c r="U54" i="1"/>
  <c r="T54" i="1"/>
  <c r="S54" i="1"/>
  <c r="R54" i="1"/>
  <c r="Q54" i="1"/>
  <c r="P54" i="1"/>
  <c r="O54" i="1"/>
  <c r="N54" i="1"/>
  <c r="M54" i="1"/>
  <c r="L54" i="1"/>
  <c r="G54" i="1"/>
  <c r="F54" i="1"/>
  <c r="E54" i="1"/>
  <c r="D54" i="1"/>
  <c r="B54" i="1"/>
  <c r="H53" i="1"/>
  <c r="I53" i="1" s="1"/>
  <c r="J53" i="1" s="1"/>
  <c r="K53" i="1" s="1"/>
  <c r="C53" i="1"/>
  <c r="H52" i="1"/>
  <c r="I52" i="1" s="1"/>
  <c r="J52" i="1" s="1"/>
  <c r="K52" i="1" s="1"/>
  <c r="C52" i="1"/>
  <c r="H51" i="1"/>
  <c r="I51" i="1" s="1"/>
  <c r="J51" i="1" s="1"/>
  <c r="K51" i="1" s="1"/>
  <c r="C51" i="1"/>
  <c r="H50" i="1"/>
  <c r="I50" i="1" s="1"/>
  <c r="J50" i="1" s="1"/>
  <c r="K50" i="1" s="1"/>
  <c r="C50" i="1"/>
  <c r="H49" i="1"/>
  <c r="I49" i="1" s="1"/>
  <c r="J49" i="1" s="1"/>
  <c r="K49" i="1" s="1"/>
  <c r="C49" i="1"/>
  <c r="H48" i="1"/>
  <c r="I48" i="1" s="1"/>
  <c r="J48" i="1" s="1"/>
  <c r="K48" i="1" s="1"/>
  <c r="C48" i="1"/>
  <c r="H47" i="1"/>
  <c r="I47" i="1" s="1"/>
  <c r="J47" i="1" s="1"/>
  <c r="K47" i="1" s="1"/>
  <c r="C47" i="1"/>
  <c r="H46" i="1"/>
  <c r="I46" i="1" s="1"/>
  <c r="J46" i="1" s="1"/>
  <c r="K46" i="1" s="1"/>
  <c r="C46" i="1"/>
  <c r="H45" i="1"/>
  <c r="I45" i="1" s="1"/>
  <c r="J45" i="1" s="1"/>
  <c r="K45" i="1" s="1"/>
  <c r="C45" i="1"/>
  <c r="H44" i="1"/>
  <c r="I44" i="1" s="1"/>
  <c r="J44" i="1" s="1"/>
  <c r="K44" i="1" s="1"/>
  <c r="C44" i="1"/>
  <c r="H43" i="1"/>
  <c r="I43" i="1" s="1"/>
  <c r="J43" i="1" s="1"/>
  <c r="K43" i="1" s="1"/>
  <c r="C43" i="1"/>
  <c r="H42" i="1"/>
  <c r="C42" i="1"/>
  <c r="BW40" i="1"/>
  <c r="BV40" i="1"/>
  <c r="BU40" i="1"/>
  <c r="BT40" i="1"/>
  <c r="BS40" i="1"/>
  <c r="BR40" i="1"/>
  <c r="BQ40" i="1"/>
  <c r="BP40" i="1"/>
  <c r="BO40" i="1"/>
  <c r="BN40" i="1"/>
  <c r="BM40" i="1"/>
  <c r="BL40" i="1"/>
  <c r="BK40" i="1"/>
  <c r="BC40" i="1"/>
  <c r="BB40" i="1"/>
  <c r="BA40" i="1"/>
  <c r="AZ40" i="1"/>
  <c r="AY40" i="1"/>
  <c r="AX40" i="1"/>
  <c r="AW40" i="1"/>
  <c r="AV40" i="1"/>
  <c r="AU40" i="1"/>
  <c r="AT40" i="1"/>
  <c r="AS40" i="1"/>
  <c r="AR40" i="1"/>
  <c r="AQ40" i="1"/>
  <c r="AP40" i="1"/>
  <c r="AO40" i="1"/>
  <c r="AN40" i="1"/>
  <c r="AM40" i="1"/>
  <c r="AL40" i="1"/>
  <c r="AK40" i="1"/>
  <c r="AJ40" i="1"/>
  <c r="AI40" i="1"/>
  <c r="AH40" i="1"/>
  <c r="AG40" i="1"/>
  <c r="AF40" i="1"/>
  <c r="AE40" i="1"/>
  <c r="AD40" i="1"/>
  <c r="AC40" i="1"/>
  <c r="AB40" i="1"/>
  <c r="AA40" i="1"/>
  <c r="Z40" i="1"/>
  <c r="Y40" i="1"/>
  <c r="X40" i="1"/>
  <c r="W40" i="1"/>
  <c r="V40" i="1"/>
  <c r="U40" i="1"/>
  <c r="T40" i="1"/>
  <c r="S40" i="1"/>
  <c r="R40" i="1"/>
  <c r="Q40" i="1"/>
  <c r="P40" i="1"/>
  <c r="O40" i="1"/>
  <c r="N40" i="1"/>
  <c r="M40" i="1"/>
  <c r="L40" i="1"/>
  <c r="G40" i="1"/>
  <c r="F40" i="1"/>
  <c r="E40" i="1"/>
  <c r="D40" i="1"/>
  <c r="B40" i="1"/>
  <c r="H39" i="1"/>
  <c r="I39" i="1" s="1"/>
  <c r="J39" i="1" s="1"/>
  <c r="K39" i="1" s="1"/>
  <c r="C39" i="1"/>
  <c r="H38" i="1"/>
  <c r="I38" i="1" s="1"/>
  <c r="J38" i="1" s="1"/>
  <c r="K38" i="1" s="1"/>
  <c r="C38" i="1"/>
  <c r="H37" i="1"/>
  <c r="I37" i="1" s="1"/>
  <c r="J37" i="1" s="1"/>
  <c r="K37" i="1" s="1"/>
  <c r="C37" i="1"/>
  <c r="H36" i="1"/>
  <c r="I36" i="1" s="1"/>
  <c r="J36" i="1" s="1"/>
  <c r="K36" i="1" s="1"/>
  <c r="C36" i="1"/>
  <c r="H35" i="1"/>
  <c r="I35" i="1" s="1"/>
  <c r="J35" i="1" s="1"/>
  <c r="K35" i="1" s="1"/>
  <c r="C35" i="1"/>
  <c r="H34" i="1"/>
  <c r="I34" i="1" s="1"/>
  <c r="J34" i="1" s="1"/>
  <c r="K34" i="1" s="1"/>
  <c r="C34" i="1"/>
  <c r="H33" i="1"/>
  <c r="I33" i="1" s="1"/>
  <c r="J33" i="1" s="1"/>
  <c r="K33" i="1" s="1"/>
  <c r="C33" i="1"/>
  <c r="H32" i="1"/>
  <c r="I32" i="1" s="1"/>
  <c r="J32" i="1" s="1"/>
  <c r="K32" i="1" s="1"/>
  <c r="C32" i="1"/>
  <c r="H31" i="1"/>
  <c r="I31" i="1" s="1"/>
  <c r="J31" i="1" s="1"/>
  <c r="K31" i="1" s="1"/>
  <c r="C31" i="1"/>
  <c r="H30" i="1"/>
  <c r="I30" i="1" s="1"/>
  <c r="J30" i="1" s="1"/>
  <c r="K30" i="1" s="1"/>
  <c r="C30" i="1"/>
  <c r="H29" i="1"/>
  <c r="I29" i="1" s="1"/>
  <c r="J29" i="1" s="1"/>
  <c r="K29" i="1" s="1"/>
  <c r="C29" i="1"/>
  <c r="H28" i="1"/>
  <c r="I28" i="1" s="1"/>
  <c r="J28" i="1" s="1"/>
  <c r="K28" i="1" s="1"/>
  <c r="C28" i="1"/>
  <c r="H27" i="1"/>
  <c r="I27" i="1" s="1"/>
  <c r="C27" i="1"/>
  <c r="BW25" i="1"/>
  <c r="BV25" i="1"/>
  <c r="BU25" i="1"/>
  <c r="BT25" i="1"/>
  <c r="BS25" i="1"/>
  <c r="BR25" i="1"/>
  <c r="BQ25" i="1"/>
  <c r="BP25" i="1"/>
  <c r="BO25" i="1"/>
  <c r="BN25" i="1"/>
  <c r="BM25" i="1"/>
  <c r="BL25" i="1"/>
  <c r="BK25" i="1"/>
  <c r="BC25" i="1"/>
  <c r="BB25" i="1"/>
  <c r="BA25" i="1"/>
  <c r="AZ25" i="1"/>
  <c r="AY25" i="1"/>
  <c r="AX25" i="1"/>
  <c r="AW25" i="1"/>
  <c r="AV25" i="1"/>
  <c r="AU25" i="1"/>
  <c r="AT25" i="1"/>
  <c r="AS25" i="1"/>
  <c r="AR25" i="1"/>
  <c r="AQ25" i="1"/>
  <c r="AP25" i="1"/>
  <c r="AO25" i="1"/>
  <c r="AN25" i="1"/>
  <c r="AM25" i="1"/>
  <c r="AL25" i="1"/>
  <c r="AK25" i="1"/>
  <c r="AJ25" i="1"/>
  <c r="AI25" i="1"/>
  <c r="AH25" i="1"/>
  <c r="AG25" i="1"/>
  <c r="AF25" i="1"/>
  <c r="AE25" i="1"/>
  <c r="AD25" i="1"/>
  <c r="AC25" i="1"/>
  <c r="AB25" i="1"/>
  <c r="AA25" i="1"/>
  <c r="Z25" i="1"/>
  <c r="Y25" i="1"/>
  <c r="X25" i="1"/>
  <c r="W25" i="1"/>
  <c r="V25" i="1"/>
  <c r="U25" i="1"/>
  <c r="T25" i="1"/>
  <c r="S25" i="1"/>
  <c r="R25" i="1"/>
  <c r="Q25" i="1"/>
  <c r="P25" i="1"/>
  <c r="O25" i="1"/>
  <c r="N25" i="1"/>
  <c r="M25" i="1"/>
  <c r="L25" i="1"/>
  <c r="G25" i="1"/>
  <c r="F25" i="1"/>
  <c r="E25" i="1"/>
  <c r="D25" i="1"/>
  <c r="B25" i="1"/>
  <c r="H24" i="1"/>
  <c r="I24" i="1" s="1"/>
  <c r="J24" i="1" s="1"/>
  <c r="K24" i="1" s="1"/>
  <c r="C24" i="1"/>
  <c r="H23" i="1"/>
  <c r="I23" i="1" s="1"/>
  <c r="J23" i="1" s="1"/>
  <c r="K23" i="1" s="1"/>
  <c r="C23" i="1"/>
  <c r="H22" i="1"/>
  <c r="I22" i="1" s="1"/>
  <c r="J22" i="1" s="1"/>
  <c r="K22" i="1" s="1"/>
  <c r="C22" i="1"/>
  <c r="H21" i="1"/>
  <c r="I21" i="1" s="1"/>
  <c r="J21" i="1" s="1"/>
  <c r="K21" i="1" s="1"/>
  <c r="C21" i="1"/>
  <c r="H20" i="1"/>
  <c r="I20" i="1" s="1"/>
  <c r="J20" i="1" s="1"/>
  <c r="K20" i="1" s="1"/>
  <c r="C20" i="1"/>
  <c r="H19" i="1"/>
  <c r="I19" i="1" s="1"/>
  <c r="J19" i="1" s="1"/>
  <c r="K19" i="1" s="1"/>
  <c r="C19" i="1"/>
  <c r="H18" i="1"/>
  <c r="I18" i="1" s="1"/>
  <c r="J18" i="1" s="1"/>
  <c r="K18" i="1" s="1"/>
  <c r="C18" i="1"/>
  <c r="H17" i="1"/>
  <c r="I17" i="1" s="1"/>
  <c r="J17" i="1" s="1"/>
  <c r="K17" i="1" s="1"/>
  <c r="C17" i="1"/>
  <c r="H16" i="1"/>
  <c r="I16" i="1" s="1"/>
  <c r="J16" i="1" s="1"/>
  <c r="K16" i="1" s="1"/>
  <c r="C16" i="1"/>
  <c r="H15" i="1"/>
  <c r="I15" i="1" s="1"/>
  <c r="J15" i="1" s="1"/>
  <c r="K15" i="1" s="1"/>
  <c r="C15" i="1"/>
  <c r="H14" i="1"/>
  <c r="I14" i="1" s="1"/>
  <c r="J14" i="1" s="1"/>
  <c r="K14" i="1" s="1"/>
  <c r="C14" i="1"/>
  <c r="H13" i="1"/>
  <c r="I13" i="1" s="1"/>
  <c r="J13" i="1" s="1"/>
  <c r="K13" i="1" s="1"/>
  <c r="C13" i="1"/>
  <c r="H12" i="1"/>
  <c r="I12" i="1" s="1"/>
  <c r="J12" i="1" s="1"/>
  <c r="K12" i="1" s="1"/>
  <c r="C12" i="1"/>
  <c r="H11" i="1"/>
  <c r="I11" i="1" s="1"/>
  <c r="J11" i="1" s="1"/>
  <c r="K11" i="1" s="1"/>
  <c r="C11" i="1"/>
  <c r="H10" i="1"/>
  <c r="I10" i="1" s="1"/>
  <c r="J10" i="1" s="1"/>
  <c r="K10" i="1" s="1"/>
  <c r="C10" i="1"/>
  <c r="H9" i="1"/>
  <c r="I9" i="1" s="1"/>
  <c r="C9" i="1"/>
  <c r="BW7" i="1"/>
  <c r="BV7" i="1"/>
  <c r="BU7" i="1"/>
  <c r="BT7" i="1"/>
  <c r="BS7" i="1"/>
  <c r="BR7" i="1"/>
  <c r="BQ7" i="1"/>
  <c r="BP7" i="1"/>
  <c r="BO7" i="1"/>
  <c r="BN7" i="1"/>
  <c r="BM7" i="1"/>
  <c r="BL7" i="1"/>
  <c r="BK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G7" i="1"/>
  <c r="F7" i="1"/>
  <c r="E7" i="1"/>
  <c r="D7" i="1"/>
  <c r="B7" i="1"/>
  <c r="AD6" i="1" l="1"/>
  <c r="BQ6" i="1"/>
  <c r="M6" i="1"/>
  <c r="U6" i="1"/>
  <c r="AC6" i="1"/>
  <c r="AK6" i="1"/>
  <c r="AS6" i="1"/>
  <c r="BA6" i="1"/>
  <c r="BP6" i="1"/>
  <c r="BB6" i="1"/>
  <c r="C54" i="1"/>
  <c r="AZ6" i="1"/>
  <c r="BW6" i="1"/>
  <c r="L6" i="1"/>
  <c r="T6" i="1"/>
  <c r="AB6" i="1"/>
  <c r="AJ6" i="1"/>
  <c r="AR6" i="1"/>
  <c r="BO6" i="1"/>
  <c r="V6" i="1"/>
  <c r="D6" i="1"/>
  <c r="N6" i="1"/>
  <c r="AT6" i="1"/>
  <c r="F6" i="1"/>
  <c r="AL6" i="1"/>
  <c r="H40" i="1"/>
  <c r="E6" i="1"/>
  <c r="Q6" i="1"/>
  <c r="Y6" i="1"/>
  <c r="AG6" i="1"/>
  <c r="AO6" i="1"/>
  <c r="AW6" i="1"/>
  <c r="BL6" i="1"/>
  <c r="BT6" i="1"/>
  <c r="AA6" i="1"/>
  <c r="AI6" i="1"/>
  <c r="AQ6" i="1"/>
  <c r="AY6" i="1"/>
  <c r="BN6" i="1"/>
  <c r="BV6" i="1"/>
  <c r="S6" i="1"/>
  <c r="C40" i="1"/>
  <c r="AE6" i="1"/>
  <c r="H25" i="1"/>
  <c r="C7" i="1"/>
  <c r="BC6" i="1"/>
  <c r="B6" i="1"/>
  <c r="W6" i="1"/>
  <c r="BR6" i="1"/>
  <c r="C25" i="1"/>
  <c r="O6" i="1"/>
  <c r="P6" i="1"/>
  <c r="X6" i="1"/>
  <c r="AF6" i="1"/>
  <c r="AN6" i="1"/>
  <c r="AV6" i="1"/>
  <c r="BK6" i="1"/>
  <c r="BS6" i="1"/>
  <c r="AM6" i="1"/>
  <c r="G6" i="1"/>
  <c r="AU6" i="1"/>
  <c r="R6" i="1"/>
  <c r="Z6" i="1"/>
  <c r="AH6" i="1"/>
  <c r="AP6" i="1"/>
  <c r="AX6" i="1"/>
  <c r="BM6" i="1"/>
  <c r="BU6" i="1"/>
  <c r="I7" i="1"/>
  <c r="J9" i="1"/>
  <c r="I54" i="1"/>
  <c r="I25" i="1"/>
  <c r="J27" i="1"/>
  <c r="I42" i="1"/>
  <c r="H54" i="1"/>
  <c r="J56" i="1"/>
  <c r="H7" i="1"/>
  <c r="C6" i="1" l="1"/>
  <c r="J54" i="1"/>
  <c r="K56" i="1"/>
  <c r="K54" i="1" s="1"/>
  <c r="I40" i="1"/>
  <c r="I6" i="1" s="1"/>
  <c r="J42" i="1"/>
  <c r="K27" i="1"/>
  <c r="K25" i="1" s="1"/>
  <c r="J25" i="1"/>
  <c r="J7" i="1"/>
  <c r="K9" i="1"/>
  <c r="K7" i="1" s="1"/>
  <c r="H6" i="1"/>
  <c r="J40" i="1" l="1"/>
  <c r="J6" i="1" s="1"/>
  <c r="K42" i="1"/>
  <c r="K40" i="1" s="1"/>
  <c r="K6" i="1" s="1"/>
  <c r="BO67" i="32" l="1"/>
  <c r="BP67" i="32"/>
  <c r="BQ67" i="32"/>
  <c r="BR67" i="32"/>
  <c r="BS67" i="32"/>
  <c r="BT67" i="32"/>
  <c r="BU67" i="32"/>
  <c r="BV67" i="32"/>
  <c r="BW67" i="32"/>
  <c r="BX67" i="32"/>
  <c r="BY67" i="32"/>
  <c r="BZ67" i="32"/>
  <c r="CA67" i="32"/>
  <c r="CB67" i="32"/>
  <c r="CC67" i="32"/>
  <c r="AM64" i="33" s="1"/>
  <c r="JY64" i="33" s="1"/>
  <c r="CD67" i="32"/>
  <c r="AN64" i="33" s="1"/>
  <c r="JZ64" i="33" s="1"/>
  <c r="CE67" i="32"/>
  <c r="AO64" i="33" s="1"/>
  <c r="KA64" i="33" s="1"/>
  <c r="CF67" i="32"/>
  <c r="AP64" i="33" s="1"/>
  <c r="KB64" i="33" s="1"/>
  <c r="BN67" i="32"/>
  <c r="BM67" i="32"/>
  <c r="CC58" i="32"/>
  <c r="AM55" i="33" s="1"/>
  <c r="JY55" i="33" s="1"/>
  <c r="CD58" i="32"/>
  <c r="AN55" i="33" s="1"/>
  <c r="JZ55" i="33" s="1"/>
  <c r="CE58" i="32"/>
  <c r="AO55" i="33" s="1"/>
  <c r="KA55" i="33" s="1"/>
  <c r="CF58" i="32"/>
  <c r="AP55" i="33" s="1"/>
  <c r="KB55" i="33" s="1"/>
  <c r="CC59" i="32"/>
  <c r="AM56" i="33" s="1"/>
  <c r="JY56" i="33" s="1"/>
  <c r="CD59" i="32"/>
  <c r="AN56" i="33" s="1"/>
  <c r="JZ56" i="33" s="1"/>
  <c r="CE59" i="32"/>
  <c r="AO56" i="33" s="1"/>
  <c r="KA56" i="33" s="1"/>
  <c r="CF59" i="32"/>
  <c r="AP56" i="33" s="1"/>
  <c r="KB56" i="33" s="1"/>
  <c r="CC60" i="32"/>
  <c r="AM57" i="33" s="1"/>
  <c r="JY57" i="33" s="1"/>
  <c r="CD60" i="32"/>
  <c r="AN57" i="33" s="1"/>
  <c r="JZ57" i="33" s="1"/>
  <c r="CE60" i="32"/>
  <c r="AO57" i="33" s="1"/>
  <c r="KA57" i="33" s="1"/>
  <c r="CF60" i="32"/>
  <c r="AP57" i="33" s="1"/>
  <c r="KB57" i="33" s="1"/>
  <c r="CC61" i="32"/>
  <c r="AM58" i="33" s="1"/>
  <c r="JY58" i="33" s="1"/>
  <c r="CD61" i="32"/>
  <c r="AN58" i="33" s="1"/>
  <c r="JZ58" i="33" s="1"/>
  <c r="CE61" i="32"/>
  <c r="AO58" i="33" s="1"/>
  <c r="KA58" i="33" s="1"/>
  <c r="CF61" i="32"/>
  <c r="AP58" i="33" s="1"/>
  <c r="KB58" i="33" s="1"/>
  <c r="CC62" i="32"/>
  <c r="AM59" i="33" s="1"/>
  <c r="JY59" i="33" s="1"/>
  <c r="CD62" i="32"/>
  <c r="AN59" i="33" s="1"/>
  <c r="JZ59" i="33" s="1"/>
  <c r="CE62" i="32"/>
  <c r="AO59" i="33" s="1"/>
  <c r="KA59" i="33" s="1"/>
  <c r="CF62" i="32"/>
  <c r="AP59" i="33" s="1"/>
  <c r="KB59" i="33" s="1"/>
  <c r="CC63" i="32"/>
  <c r="AM60" i="33" s="1"/>
  <c r="JY60" i="33" s="1"/>
  <c r="CD63" i="32"/>
  <c r="AN60" i="33" s="1"/>
  <c r="JZ60" i="33" s="1"/>
  <c r="CE63" i="32"/>
  <c r="AO60" i="33" s="1"/>
  <c r="KA60" i="33" s="1"/>
  <c r="CF63" i="32"/>
  <c r="AP60" i="33" s="1"/>
  <c r="KB60" i="33" s="1"/>
  <c r="CC64" i="32"/>
  <c r="AM61" i="33" s="1"/>
  <c r="JY61" i="33" s="1"/>
  <c r="CD64" i="32"/>
  <c r="AN61" i="33" s="1"/>
  <c r="JZ61" i="33" s="1"/>
  <c r="CE64" i="32"/>
  <c r="AO61" i="33" s="1"/>
  <c r="KA61" i="33" s="1"/>
  <c r="CF64" i="32"/>
  <c r="AP61" i="33" s="1"/>
  <c r="KB61" i="33" s="1"/>
  <c r="CC65" i="32"/>
  <c r="AM62" i="33" s="1"/>
  <c r="JY62" i="33" s="1"/>
  <c r="CD65" i="32"/>
  <c r="AN62" i="33" s="1"/>
  <c r="JZ62" i="33" s="1"/>
  <c r="CE65" i="32"/>
  <c r="AO62" i="33" s="1"/>
  <c r="KA62" i="33" s="1"/>
  <c r="CF65" i="32"/>
  <c r="AP62" i="33" s="1"/>
  <c r="KB62" i="33" s="1"/>
  <c r="CC66" i="32"/>
  <c r="AM63" i="33" s="1"/>
  <c r="JY63" i="33" s="1"/>
  <c r="CD66" i="32"/>
  <c r="AN63" i="33" s="1"/>
  <c r="JZ63" i="33" s="1"/>
  <c r="CE66" i="32"/>
  <c r="AO63" i="33" s="1"/>
  <c r="KA63" i="33" s="1"/>
  <c r="CF66" i="32"/>
  <c r="AP63" i="33" s="1"/>
  <c r="KB63" i="33" s="1"/>
  <c r="CC28" i="32"/>
  <c r="AM26" i="33" s="1"/>
  <c r="JY26" i="33" s="1"/>
  <c r="CD28" i="32"/>
  <c r="AN26" i="33" s="1"/>
  <c r="JZ26" i="33" s="1"/>
  <c r="CE28" i="32"/>
  <c r="AO26" i="33" s="1"/>
  <c r="KA26" i="33" s="1"/>
  <c r="CF28" i="32"/>
  <c r="AP26" i="33" s="1"/>
  <c r="KB26" i="33" s="1"/>
  <c r="CC29" i="32"/>
  <c r="AM27" i="33" s="1"/>
  <c r="JY27" i="33" s="1"/>
  <c r="CD29" i="32"/>
  <c r="AN27" i="33" s="1"/>
  <c r="JZ27" i="33" s="1"/>
  <c r="CE29" i="32"/>
  <c r="AO27" i="33" s="1"/>
  <c r="KA27" i="33" s="1"/>
  <c r="CF29" i="32"/>
  <c r="AP27" i="33" s="1"/>
  <c r="KB27" i="33" s="1"/>
  <c r="CC30" i="32"/>
  <c r="AM28" i="33" s="1"/>
  <c r="JY28" i="33" s="1"/>
  <c r="CD30" i="32"/>
  <c r="AN28" i="33" s="1"/>
  <c r="JZ28" i="33" s="1"/>
  <c r="CE30" i="32"/>
  <c r="AO28" i="33" s="1"/>
  <c r="KA28" i="33" s="1"/>
  <c r="CF30" i="32"/>
  <c r="AP28" i="33" s="1"/>
  <c r="KB28" i="33" s="1"/>
  <c r="CC31" i="32"/>
  <c r="AM29" i="33" s="1"/>
  <c r="JY29" i="33" s="1"/>
  <c r="CD31" i="32"/>
  <c r="AN29" i="33" s="1"/>
  <c r="JZ29" i="33" s="1"/>
  <c r="CE31" i="32"/>
  <c r="AO29" i="33" s="1"/>
  <c r="KA29" i="33" s="1"/>
  <c r="CF31" i="32"/>
  <c r="AP29" i="33" s="1"/>
  <c r="KB29" i="33" s="1"/>
  <c r="CC32" i="32"/>
  <c r="AM30" i="33" s="1"/>
  <c r="JY30" i="33" s="1"/>
  <c r="CD32" i="32"/>
  <c r="AN30" i="33" s="1"/>
  <c r="JZ30" i="33" s="1"/>
  <c r="CE32" i="32"/>
  <c r="AO30" i="33" s="1"/>
  <c r="KA30" i="33" s="1"/>
  <c r="CF32" i="32"/>
  <c r="AP30" i="33" s="1"/>
  <c r="KB30" i="33" s="1"/>
  <c r="CC33" i="32"/>
  <c r="AM31" i="33" s="1"/>
  <c r="JY31" i="33" s="1"/>
  <c r="CD33" i="32"/>
  <c r="AN31" i="33" s="1"/>
  <c r="JZ31" i="33" s="1"/>
  <c r="CE33" i="32"/>
  <c r="AO31" i="33" s="1"/>
  <c r="KA31" i="33" s="1"/>
  <c r="CF33" i="32"/>
  <c r="AP31" i="33" s="1"/>
  <c r="KB31" i="33" s="1"/>
  <c r="CC34" i="32"/>
  <c r="AM32" i="33" s="1"/>
  <c r="JY32" i="33" s="1"/>
  <c r="CD34" i="32"/>
  <c r="AN32" i="33" s="1"/>
  <c r="JZ32" i="33" s="1"/>
  <c r="CE34" i="32"/>
  <c r="AO32" i="33" s="1"/>
  <c r="KA32" i="33" s="1"/>
  <c r="CF34" i="32"/>
  <c r="AP32" i="33" s="1"/>
  <c r="KB32" i="33" s="1"/>
  <c r="CC35" i="32"/>
  <c r="AM33" i="33" s="1"/>
  <c r="JY33" i="33" s="1"/>
  <c r="CD35" i="32"/>
  <c r="AN33" i="33" s="1"/>
  <c r="JZ33" i="33" s="1"/>
  <c r="CE35" i="32"/>
  <c r="AO33" i="33" s="1"/>
  <c r="KA33" i="33" s="1"/>
  <c r="CF35" i="32"/>
  <c r="AP33" i="33" s="1"/>
  <c r="KB33" i="33" s="1"/>
  <c r="CC36" i="32"/>
  <c r="AM34" i="33" s="1"/>
  <c r="JY34" i="33" s="1"/>
  <c r="CD36" i="32"/>
  <c r="AN34" i="33" s="1"/>
  <c r="JZ34" i="33" s="1"/>
  <c r="CE36" i="32"/>
  <c r="AO34" i="33" s="1"/>
  <c r="KA34" i="33" s="1"/>
  <c r="CF36" i="32"/>
  <c r="AP34" i="33" s="1"/>
  <c r="KB34" i="33" s="1"/>
  <c r="CC37" i="32"/>
  <c r="AM35" i="33" s="1"/>
  <c r="JY35" i="33" s="1"/>
  <c r="CD37" i="32"/>
  <c r="AN35" i="33" s="1"/>
  <c r="JZ35" i="33" s="1"/>
  <c r="CE37" i="32"/>
  <c r="AO35" i="33" s="1"/>
  <c r="KA35" i="33" s="1"/>
  <c r="CF37" i="32"/>
  <c r="AP35" i="33" s="1"/>
  <c r="KB35" i="33" s="1"/>
  <c r="CC38" i="32"/>
  <c r="AM36" i="33" s="1"/>
  <c r="JY36" i="33" s="1"/>
  <c r="CD38" i="32"/>
  <c r="AN36" i="33" s="1"/>
  <c r="JZ36" i="33" s="1"/>
  <c r="CE38" i="32"/>
  <c r="AO36" i="33" s="1"/>
  <c r="KA36" i="33" s="1"/>
  <c r="CF38" i="32"/>
  <c r="AP36" i="33" s="1"/>
  <c r="KB36" i="33" s="1"/>
  <c r="CC39" i="32"/>
  <c r="AM37" i="33" s="1"/>
  <c r="JY37" i="33" s="1"/>
  <c r="CD39" i="32"/>
  <c r="AN37" i="33" s="1"/>
  <c r="JZ37" i="33" s="1"/>
  <c r="CE39" i="32"/>
  <c r="AO37" i="33" s="1"/>
  <c r="KA37" i="33" s="1"/>
  <c r="CF39" i="32"/>
  <c r="AP37" i="33" s="1"/>
  <c r="KB37" i="33" s="1"/>
  <c r="CC40" i="32"/>
  <c r="AM38" i="33" s="1"/>
  <c r="JY38" i="33" s="1"/>
  <c r="CD40" i="32"/>
  <c r="AN38" i="33" s="1"/>
  <c r="JZ38" i="33" s="1"/>
  <c r="CE40" i="32"/>
  <c r="AO38" i="33" s="1"/>
  <c r="KA38" i="33" s="1"/>
  <c r="CF40" i="32"/>
  <c r="AP38" i="33" s="1"/>
  <c r="KB38" i="33" s="1"/>
  <c r="CC41" i="32"/>
  <c r="CD41" i="32"/>
  <c r="CE41" i="32"/>
  <c r="CF41" i="32"/>
  <c r="CC44" i="32"/>
  <c r="AM41" i="33" s="1"/>
  <c r="JY41" i="33" s="1"/>
  <c r="CD44" i="32"/>
  <c r="AN41" i="33" s="1"/>
  <c r="JZ41" i="33" s="1"/>
  <c r="CE44" i="32"/>
  <c r="AO41" i="33" s="1"/>
  <c r="KA41" i="33" s="1"/>
  <c r="CF44" i="32"/>
  <c r="AP41" i="33" s="1"/>
  <c r="KB41" i="33" s="1"/>
  <c r="CC45" i="32"/>
  <c r="AM42" i="33" s="1"/>
  <c r="JY42" i="33" s="1"/>
  <c r="CD45" i="32"/>
  <c r="AN42" i="33" s="1"/>
  <c r="JZ42" i="33" s="1"/>
  <c r="CE45" i="32"/>
  <c r="AO42" i="33" s="1"/>
  <c r="KA42" i="33" s="1"/>
  <c r="CF45" i="32"/>
  <c r="AP42" i="33" s="1"/>
  <c r="KB42" i="33" s="1"/>
  <c r="CC46" i="32"/>
  <c r="AM43" i="33" s="1"/>
  <c r="JY43" i="33" s="1"/>
  <c r="CD46" i="32"/>
  <c r="AN43" i="33" s="1"/>
  <c r="JZ43" i="33" s="1"/>
  <c r="CE46" i="32"/>
  <c r="AO43" i="33" s="1"/>
  <c r="KA43" i="33" s="1"/>
  <c r="CF46" i="32"/>
  <c r="AP43" i="33" s="1"/>
  <c r="KB43" i="33" s="1"/>
  <c r="CC47" i="32"/>
  <c r="AM44" i="33" s="1"/>
  <c r="JY44" i="33" s="1"/>
  <c r="CD47" i="32"/>
  <c r="AN44" i="33" s="1"/>
  <c r="JZ44" i="33" s="1"/>
  <c r="CE47" i="32"/>
  <c r="AO44" i="33" s="1"/>
  <c r="KA44" i="33" s="1"/>
  <c r="CF47" i="32"/>
  <c r="AP44" i="33" s="1"/>
  <c r="KB44" i="33" s="1"/>
  <c r="CC48" i="32"/>
  <c r="AM45" i="33" s="1"/>
  <c r="JY45" i="33" s="1"/>
  <c r="CD48" i="32"/>
  <c r="AN45" i="33" s="1"/>
  <c r="JZ45" i="33" s="1"/>
  <c r="CE48" i="32"/>
  <c r="AO45" i="33" s="1"/>
  <c r="KA45" i="33" s="1"/>
  <c r="CF48" i="32"/>
  <c r="AP45" i="33" s="1"/>
  <c r="KB45" i="33" s="1"/>
  <c r="CC49" i="32"/>
  <c r="AM46" i="33" s="1"/>
  <c r="JY46" i="33" s="1"/>
  <c r="CD49" i="32"/>
  <c r="AN46" i="33" s="1"/>
  <c r="JZ46" i="33" s="1"/>
  <c r="CE49" i="32"/>
  <c r="AO46" i="33" s="1"/>
  <c r="KA46" i="33" s="1"/>
  <c r="CF49" i="32"/>
  <c r="AP46" i="33" s="1"/>
  <c r="KB46" i="33" s="1"/>
  <c r="CC50" i="32"/>
  <c r="AM47" i="33" s="1"/>
  <c r="JY47" i="33" s="1"/>
  <c r="CD50" i="32"/>
  <c r="AN47" i="33" s="1"/>
  <c r="JZ47" i="33" s="1"/>
  <c r="CE50" i="32"/>
  <c r="AO47" i="33" s="1"/>
  <c r="KA47" i="33" s="1"/>
  <c r="CF50" i="32"/>
  <c r="AP47" i="33" s="1"/>
  <c r="KB47" i="33" s="1"/>
  <c r="CC51" i="32"/>
  <c r="AM48" i="33" s="1"/>
  <c r="JY48" i="33" s="1"/>
  <c r="CD51" i="32"/>
  <c r="AN48" i="33" s="1"/>
  <c r="JZ48" i="33" s="1"/>
  <c r="CE51" i="32"/>
  <c r="AO48" i="33" s="1"/>
  <c r="KA48" i="33" s="1"/>
  <c r="CF51" i="32"/>
  <c r="AP48" i="33" s="1"/>
  <c r="KB48" i="33" s="1"/>
  <c r="CC52" i="32"/>
  <c r="AM49" i="33" s="1"/>
  <c r="JY49" i="33" s="1"/>
  <c r="CD52" i="32"/>
  <c r="AN49" i="33" s="1"/>
  <c r="JZ49" i="33" s="1"/>
  <c r="CE52" i="32"/>
  <c r="AO49" i="33" s="1"/>
  <c r="KA49" i="33" s="1"/>
  <c r="CF52" i="32"/>
  <c r="CC53" i="32"/>
  <c r="AM50" i="33" s="1"/>
  <c r="JY50" i="33" s="1"/>
  <c r="CD53" i="32"/>
  <c r="AN50" i="33" s="1"/>
  <c r="JZ50" i="33" s="1"/>
  <c r="CE53" i="32"/>
  <c r="AO50" i="33" s="1"/>
  <c r="KA50" i="33" s="1"/>
  <c r="CF53" i="32"/>
  <c r="AP50" i="33" s="1"/>
  <c r="KB50" i="33" s="1"/>
  <c r="CC54" i="32"/>
  <c r="AM51" i="33" s="1"/>
  <c r="JY51" i="33" s="1"/>
  <c r="CD54" i="32"/>
  <c r="AN51" i="33" s="1"/>
  <c r="JZ51" i="33" s="1"/>
  <c r="CE54" i="32"/>
  <c r="AO51" i="33" s="1"/>
  <c r="KA51" i="33" s="1"/>
  <c r="CF54" i="32"/>
  <c r="AP51" i="33" s="1"/>
  <c r="KB51" i="33" s="1"/>
  <c r="CC55" i="32"/>
  <c r="AM52" i="33" s="1"/>
  <c r="JY52" i="33" s="1"/>
  <c r="CD55" i="32"/>
  <c r="AN52" i="33" s="1"/>
  <c r="JZ52" i="33" s="1"/>
  <c r="CE55" i="32"/>
  <c r="AO52" i="33" s="1"/>
  <c r="KA52" i="33" s="1"/>
  <c r="CF55" i="32"/>
  <c r="AP52" i="33" s="1"/>
  <c r="KB52" i="33" s="1"/>
  <c r="CC56" i="32"/>
  <c r="AM53" i="33" s="1"/>
  <c r="JY53" i="33" s="1"/>
  <c r="CD56" i="32"/>
  <c r="AN53" i="33" s="1"/>
  <c r="JZ53" i="33" s="1"/>
  <c r="CE56" i="32"/>
  <c r="AO53" i="33" s="1"/>
  <c r="KA53" i="33" s="1"/>
  <c r="CF56" i="32"/>
  <c r="AP53" i="33" s="1"/>
  <c r="KB53" i="33" s="1"/>
  <c r="CC9" i="32"/>
  <c r="AM8" i="33" s="1"/>
  <c r="JY8" i="33" s="1"/>
  <c r="CD9" i="32"/>
  <c r="AN8" i="33" s="1"/>
  <c r="JZ8" i="33" s="1"/>
  <c r="CE9" i="32"/>
  <c r="AO8" i="33" s="1"/>
  <c r="KA8" i="33" s="1"/>
  <c r="CF9" i="32"/>
  <c r="AP8" i="33" s="1"/>
  <c r="KB8" i="33" s="1"/>
  <c r="CC10" i="32"/>
  <c r="AM9" i="33" s="1"/>
  <c r="JY9" i="33" s="1"/>
  <c r="CD10" i="32"/>
  <c r="AN9" i="33" s="1"/>
  <c r="JZ9" i="33" s="1"/>
  <c r="CE10" i="32"/>
  <c r="AO9" i="33" s="1"/>
  <c r="KA9" i="33" s="1"/>
  <c r="CF10" i="32"/>
  <c r="AP9" i="33" s="1"/>
  <c r="KB9" i="33" s="1"/>
  <c r="CC11" i="32"/>
  <c r="AM10" i="33" s="1"/>
  <c r="JY10" i="33" s="1"/>
  <c r="CD11" i="32"/>
  <c r="AN10" i="33" s="1"/>
  <c r="JZ10" i="33" s="1"/>
  <c r="CE11" i="32"/>
  <c r="AO10" i="33" s="1"/>
  <c r="KA10" i="33" s="1"/>
  <c r="CF11" i="32"/>
  <c r="AP10" i="33" s="1"/>
  <c r="KB10" i="33" s="1"/>
  <c r="CC12" i="32"/>
  <c r="AM11" i="33" s="1"/>
  <c r="JY11" i="33" s="1"/>
  <c r="CD12" i="32"/>
  <c r="AN11" i="33" s="1"/>
  <c r="JZ11" i="33" s="1"/>
  <c r="CE12" i="32"/>
  <c r="AO11" i="33" s="1"/>
  <c r="KA11" i="33" s="1"/>
  <c r="CF12" i="32"/>
  <c r="AP11" i="33" s="1"/>
  <c r="KB11" i="33" s="1"/>
  <c r="CC13" i="32"/>
  <c r="AM12" i="33" s="1"/>
  <c r="JY12" i="33" s="1"/>
  <c r="CD13" i="32"/>
  <c r="AN12" i="33" s="1"/>
  <c r="JZ12" i="33" s="1"/>
  <c r="CE13" i="32"/>
  <c r="AO12" i="33" s="1"/>
  <c r="KA12" i="33" s="1"/>
  <c r="CF13" i="32"/>
  <c r="AP12" i="33" s="1"/>
  <c r="KB12" i="33" s="1"/>
  <c r="CC14" i="32"/>
  <c r="AM13" i="33" s="1"/>
  <c r="JY13" i="33" s="1"/>
  <c r="CD14" i="32"/>
  <c r="AN13" i="33" s="1"/>
  <c r="JZ13" i="33" s="1"/>
  <c r="CE14" i="32"/>
  <c r="AO13" i="33" s="1"/>
  <c r="KA13" i="33" s="1"/>
  <c r="CF14" i="32"/>
  <c r="AP13" i="33" s="1"/>
  <c r="KB13" i="33" s="1"/>
  <c r="CC15" i="32"/>
  <c r="AM14" i="33" s="1"/>
  <c r="JY14" i="33" s="1"/>
  <c r="CD15" i="32"/>
  <c r="AN14" i="33" s="1"/>
  <c r="JZ14" i="33" s="1"/>
  <c r="CE15" i="32"/>
  <c r="AO14" i="33" s="1"/>
  <c r="KA14" i="33" s="1"/>
  <c r="CF15" i="32"/>
  <c r="AP14" i="33" s="1"/>
  <c r="KB14" i="33" s="1"/>
  <c r="CC16" i="32"/>
  <c r="AM15" i="33" s="1"/>
  <c r="JY15" i="33" s="1"/>
  <c r="CD16" i="32"/>
  <c r="AN15" i="33" s="1"/>
  <c r="JZ15" i="33" s="1"/>
  <c r="CE16" i="32"/>
  <c r="AO15" i="33" s="1"/>
  <c r="KA15" i="33" s="1"/>
  <c r="CF16" i="32"/>
  <c r="AP15" i="33" s="1"/>
  <c r="KB15" i="33" s="1"/>
  <c r="CC17" i="32"/>
  <c r="AM16" i="33" s="1"/>
  <c r="JY16" i="33" s="1"/>
  <c r="CD17" i="32"/>
  <c r="AN16" i="33" s="1"/>
  <c r="JZ16" i="33" s="1"/>
  <c r="CE17" i="32"/>
  <c r="AO16" i="33" s="1"/>
  <c r="KA16" i="33" s="1"/>
  <c r="CF17" i="32"/>
  <c r="AP16" i="33" s="1"/>
  <c r="KB16" i="33" s="1"/>
  <c r="CC18" i="32"/>
  <c r="AM17" i="33" s="1"/>
  <c r="JY17" i="33" s="1"/>
  <c r="CD18" i="32"/>
  <c r="AN17" i="33" s="1"/>
  <c r="JZ17" i="33" s="1"/>
  <c r="CE18" i="32"/>
  <c r="AO17" i="33" s="1"/>
  <c r="KA17" i="33" s="1"/>
  <c r="CF18" i="32"/>
  <c r="AP17" i="33" s="1"/>
  <c r="KB17" i="33" s="1"/>
  <c r="CC19" i="32"/>
  <c r="AM18" i="33" s="1"/>
  <c r="JY18" i="33" s="1"/>
  <c r="CD19" i="32"/>
  <c r="AN18" i="33" s="1"/>
  <c r="JZ18" i="33" s="1"/>
  <c r="CE19" i="32"/>
  <c r="AO18" i="33" s="1"/>
  <c r="KA18" i="33" s="1"/>
  <c r="CF19" i="32"/>
  <c r="AP18" i="33" s="1"/>
  <c r="KB18" i="33" s="1"/>
  <c r="CC20" i="32"/>
  <c r="AM19" i="33" s="1"/>
  <c r="JY19" i="33" s="1"/>
  <c r="CD20" i="32"/>
  <c r="AN19" i="33" s="1"/>
  <c r="JZ19" i="33" s="1"/>
  <c r="CE20" i="32"/>
  <c r="AO19" i="33" s="1"/>
  <c r="KA19" i="33" s="1"/>
  <c r="CF20" i="32"/>
  <c r="AP19" i="33" s="1"/>
  <c r="KB19" i="33" s="1"/>
  <c r="CC21" i="32"/>
  <c r="AM20" i="33" s="1"/>
  <c r="JY20" i="33" s="1"/>
  <c r="CD21" i="32"/>
  <c r="AN20" i="33" s="1"/>
  <c r="JZ20" i="33" s="1"/>
  <c r="CE21" i="32"/>
  <c r="AO20" i="33" s="1"/>
  <c r="KA20" i="33" s="1"/>
  <c r="CF21" i="32"/>
  <c r="AP20" i="33" s="1"/>
  <c r="KB20" i="33" s="1"/>
  <c r="CC22" i="32"/>
  <c r="AM21" i="33" s="1"/>
  <c r="JY21" i="33" s="1"/>
  <c r="CD22" i="32"/>
  <c r="AN21" i="33" s="1"/>
  <c r="JZ21" i="33" s="1"/>
  <c r="CE22" i="32"/>
  <c r="AO21" i="33" s="1"/>
  <c r="KA21" i="33" s="1"/>
  <c r="CF22" i="32"/>
  <c r="AP21" i="33" s="1"/>
  <c r="KB21" i="33" s="1"/>
  <c r="CC23" i="32"/>
  <c r="AM22" i="33" s="1"/>
  <c r="JY22" i="33" s="1"/>
  <c r="CD23" i="32"/>
  <c r="AN22" i="33" s="1"/>
  <c r="JZ22" i="33" s="1"/>
  <c r="CE23" i="32"/>
  <c r="AO22" i="33" s="1"/>
  <c r="KA22" i="33" s="1"/>
  <c r="CF23" i="32"/>
  <c r="AP22" i="33" s="1"/>
  <c r="KB22" i="33" s="1"/>
  <c r="CC24" i="32"/>
  <c r="AM23" i="33" s="1"/>
  <c r="JY23" i="33" s="1"/>
  <c r="CD24" i="32"/>
  <c r="AN23" i="33" s="1"/>
  <c r="JZ23" i="33" s="1"/>
  <c r="CE24" i="32"/>
  <c r="AO23" i="33" s="1"/>
  <c r="KA23" i="33" s="1"/>
  <c r="CF24" i="32"/>
  <c r="AP23" i="33" s="1"/>
  <c r="KB23" i="33" s="1"/>
  <c r="CC25" i="32"/>
  <c r="CD25" i="32"/>
  <c r="CE25" i="32"/>
  <c r="CF25" i="32"/>
  <c r="CC5" i="32"/>
  <c r="AM5" i="33" s="1"/>
  <c r="JY5" i="33" s="1"/>
  <c r="CD5" i="32"/>
  <c r="AN5" i="33" s="1"/>
  <c r="JZ5" i="33" s="1"/>
  <c r="CE5" i="32"/>
  <c r="AO5" i="33" s="1"/>
  <c r="KA5" i="33" s="1"/>
  <c r="CF5" i="32"/>
  <c r="AP5" i="33" s="1"/>
  <c r="KB5" i="33" s="1"/>
  <c r="CC6" i="32"/>
  <c r="CD6" i="32"/>
  <c r="CE6" i="32"/>
  <c r="CF6" i="32"/>
  <c r="JZ42" i="32"/>
  <c r="KA42" i="32"/>
  <c r="KB42" i="32"/>
  <c r="KC42" i="32"/>
  <c r="JZ26" i="32"/>
  <c r="KA26" i="32"/>
  <c r="KB26" i="32"/>
  <c r="KC26" i="32"/>
  <c r="JZ7" i="32"/>
  <c r="KA7" i="32"/>
  <c r="KB7" i="32"/>
  <c r="KC7" i="32"/>
  <c r="IK42" i="32"/>
  <c r="IL42" i="32"/>
  <c r="IM42" i="32"/>
  <c r="IN42" i="32"/>
  <c r="IN26" i="32"/>
  <c r="IK26" i="32"/>
  <c r="IL26" i="32"/>
  <c r="IM26" i="32"/>
  <c r="IK7" i="32"/>
  <c r="IL7" i="32"/>
  <c r="IM7" i="32"/>
  <c r="IN7" i="32"/>
  <c r="GV42" i="32"/>
  <c r="GW42" i="32"/>
  <c r="GX42" i="32"/>
  <c r="GY42" i="32"/>
  <c r="GV26" i="32"/>
  <c r="GW26" i="32"/>
  <c r="GX26" i="32"/>
  <c r="GY26" i="32"/>
  <c r="GV7" i="32"/>
  <c r="GW7" i="32"/>
  <c r="GX7" i="32"/>
  <c r="GY7" i="32"/>
  <c r="CE26" i="32" l="1"/>
  <c r="CD26" i="32"/>
  <c r="CC26" i="32"/>
  <c r="CF42" i="32"/>
  <c r="CE42" i="32"/>
  <c r="CD42" i="32"/>
  <c r="CC42" i="32"/>
  <c r="CF26" i="32"/>
  <c r="AP49" i="33"/>
  <c r="KB49" i="33" s="1"/>
  <c r="FG7" i="32"/>
  <c r="FH7" i="32"/>
  <c r="FI7" i="32"/>
  <c r="FJ7" i="32"/>
  <c r="FG26" i="32"/>
  <c r="FH26" i="32"/>
  <c r="FI26" i="32"/>
  <c r="FJ26" i="32"/>
  <c r="FG42" i="32"/>
  <c r="FH42" i="32"/>
  <c r="FI42" i="32"/>
  <c r="FJ42" i="32"/>
  <c r="DR42" i="32"/>
  <c r="DS42" i="32"/>
  <c r="DT42" i="32"/>
  <c r="DU42" i="32"/>
  <c r="DR26" i="32"/>
  <c r="DS26" i="32"/>
  <c r="DT26" i="32"/>
  <c r="DU26" i="32"/>
  <c r="DQ7" i="32"/>
  <c r="DR7" i="32"/>
  <c r="DS7" i="32"/>
  <c r="DT7" i="32"/>
  <c r="DU7" i="32"/>
  <c r="DD7" i="32"/>
  <c r="DE7" i="32"/>
  <c r="DF7" i="32"/>
  <c r="DG7" i="32"/>
  <c r="DH7" i="32"/>
  <c r="DI7" i="32"/>
  <c r="DJ7" i="32"/>
  <c r="DK7" i="32"/>
  <c r="DL7" i="32"/>
  <c r="DM7" i="32"/>
  <c r="DN7" i="32"/>
  <c r="DO7" i="32"/>
  <c r="DP7" i="32"/>
  <c r="DC7" i="32"/>
  <c r="BA5" i="32"/>
  <c r="BB5" i="32"/>
  <c r="BC5" i="32"/>
  <c r="BD5" i="32"/>
  <c r="BE5" i="32"/>
  <c r="BF5" i="32"/>
  <c r="BG5" i="32"/>
  <c r="BH5" i="32"/>
  <c r="BI5" i="32"/>
  <c r="BJ5" i="32"/>
  <c r="BK5" i="32"/>
  <c r="BL5" i="32"/>
  <c r="BM5" i="32"/>
  <c r="BN5" i="32"/>
  <c r="BO5" i="32"/>
  <c r="BP5" i="32"/>
  <c r="BQ5" i="32"/>
  <c r="BR5" i="32"/>
  <c r="BS5" i="32"/>
  <c r="BT5" i="32"/>
  <c r="BU5" i="32"/>
  <c r="BV5" i="32"/>
  <c r="BW5" i="32"/>
  <c r="BX5" i="32"/>
  <c r="BY5" i="32"/>
  <c r="BZ5" i="32"/>
  <c r="CA5" i="32"/>
  <c r="CB5" i="32"/>
  <c r="BA25" i="32"/>
  <c r="BB25" i="32"/>
  <c r="BC25" i="32"/>
  <c r="BD25" i="32"/>
  <c r="BE25" i="32"/>
  <c r="BF25" i="32"/>
  <c r="BG25" i="32"/>
  <c r="BH25" i="32"/>
  <c r="BI25" i="32"/>
  <c r="BJ25" i="32"/>
  <c r="BK25" i="32"/>
  <c r="BL25" i="32"/>
  <c r="BM25" i="32"/>
  <c r="BN25" i="32"/>
  <c r="BO25" i="32"/>
  <c r="BP25" i="32"/>
  <c r="BQ25" i="32"/>
  <c r="BR25" i="32"/>
  <c r="BS25" i="32"/>
  <c r="BT25" i="32"/>
  <c r="BU25" i="32"/>
  <c r="BV25" i="32"/>
  <c r="BW25" i="32"/>
  <c r="BX25" i="32"/>
  <c r="BY25" i="32"/>
  <c r="BZ25" i="32"/>
  <c r="CA25" i="32"/>
  <c r="CB25" i="32"/>
  <c r="BA41" i="32"/>
  <c r="BB41" i="32"/>
  <c r="BC41" i="32"/>
  <c r="BD41" i="32"/>
  <c r="BE41" i="32"/>
  <c r="BF41" i="32"/>
  <c r="BG41" i="32"/>
  <c r="BH41" i="32"/>
  <c r="BI41" i="32"/>
  <c r="BJ41" i="32"/>
  <c r="BK41" i="32"/>
  <c r="BL41" i="32"/>
  <c r="BM41" i="32"/>
  <c r="BN41" i="32"/>
  <c r="BO41" i="32"/>
  <c r="BP41" i="32"/>
  <c r="BQ41" i="32"/>
  <c r="BR41" i="32"/>
  <c r="BS41" i="32"/>
  <c r="BT41" i="32"/>
  <c r="BU41" i="32"/>
  <c r="BV41" i="32"/>
  <c r="BW41" i="32"/>
  <c r="BX41" i="32"/>
  <c r="BY41" i="32"/>
  <c r="BZ41" i="32"/>
  <c r="CA41" i="32"/>
  <c r="CB41" i="32"/>
  <c r="AN7" i="32"/>
  <c r="GU6" i="33" s="1"/>
  <c r="AO7" i="32"/>
  <c r="GV6" i="33" s="1"/>
  <c r="AP7" i="32"/>
  <c r="GW6" i="33" s="1"/>
  <c r="AQ7" i="32"/>
  <c r="GX6" i="33" s="1"/>
  <c r="AN26" i="32"/>
  <c r="FF24" i="33" s="1"/>
  <c r="AO26" i="32"/>
  <c r="AN24" i="33" s="1"/>
  <c r="AP26" i="32"/>
  <c r="AO24" i="33" s="1"/>
  <c r="AQ26" i="32"/>
  <c r="IM24" i="33" s="1"/>
  <c r="AN42" i="32"/>
  <c r="FF39" i="33" s="1"/>
  <c r="AO42" i="32"/>
  <c r="FG39" i="33" s="1"/>
  <c r="AP42" i="32"/>
  <c r="GW39" i="33" s="1"/>
  <c r="AQ42" i="32"/>
  <c r="IM39" i="33" s="1"/>
  <c r="K7" i="32"/>
  <c r="L7" i="32"/>
  <c r="M7" i="32"/>
  <c r="N7" i="32"/>
  <c r="O7" i="32"/>
  <c r="P7" i="32"/>
  <c r="Q7" i="32"/>
  <c r="R7" i="32"/>
  <c r="S7" i="32"/>
  <c r="T7" i="32"/>
  <c r="U7" i="32"/>
  <c r="V7" i="32"/>
  <c r="W7" i="32"/>
  <c r="Y7" i="32"/>
  <c r="Z7" i="32"/>
  <c r="AA7" i="32"/>
  <c r="AB7" i="32"/>
  <c r="AC7" i="32"/>
  <c r="AD7" i="32"/>
  <c r="AE7" i="32"/>
  <c r="AF7" i="32"/>
  <c r="AG7" i="32"/>
  <c r="AH7" i="32"/>
  <c r="AI7" i="32"/>
  <c r="AJ7" i="32"/>
  <c r="AK7" i="32"/>
  <c r="AL7" i="32"/>
  <c r="AM7" i="32"/>
  <c r="CC39" i="33" l="1"/>
  <c r="DR24" i="33"/>
  <c r="CB39" i="33"/>
  <c r="DQ24" i="33"/>
  <c r="IJ6" i="33"/>
  <c r="FF6" i="33"/>
  <c r="CD24" i="33"/>
  <c r="GU24" i="33"/>
  <c r="CC24" i="33"/>
  <c r="IK24" i="33"/>
  <c r="DS39" i="33"/>
  <c r="DS6" i="33"/>
  <c r="DR39" i="33"/>
  <c r="DR6" i="33"/>
  <c r="AN39" i="33"/>
  <c r="CB24" i="33"/>
  <c r="DQ39" i="33"/>
  <c r="DQ6" i="33"/>
  <c r="FH39" i="33"/>
  <c r="FH24" i="33"/>
  <c r="FG6" i="33"/>
  <c r="IK39" i="33"/>
  <c r="IJ24" i="33"/>
  <c r="IJ39" i="33"/>
  <c r="CD39" i="33"/>
  <c r="DS24" i="33"/>
  <c r="IK6" i="33"/>
  <c r="GU39" i="33"/>
  <c r="GX24" i="33"/>
  <c r="FI6" i="33"/>
  <c r="IM6" i="33"/>
  <c r="IL39" i="33"/>
  <c r="GV39" i="33"/>
  <c r="AO39" i="33"/>
  <c r="CE6" i="33"/>
  <c r="CF7" i="32"/>
  <c r="AP6" i="33" s="1"/>
  <c r="FI39" i="33"/>
  <c r="IL6" i="33"/>
  <c r="GX39" i="33"/>
  <c r="CD6" i="33"/>
  <c r="CE7" i="32"/>
  <c r="AO6" i="33" s="1"/>
  <c r="CE39" i="33"/>
  <c r="DT24" i="33"/>
  <c r="AM24" i="33"/>
  <c r="GV24" i="33"/>
  <c r="FG24" i="33"/>
  <c r="AP39" i="33"/>
  <c r="CC6" i="33"/>
  <c r="CD7" i="32"/>
  <c r="AN6" i="33" s="1"/>
  <c r="FI24" i="33"/>
  <c r="IL24" i="33"/>
  <c r="AP24" i="33"/>
  <c r="CB6" i="33"/>
  <c r="CC7" i="32"/>
  <c r="AM6" i="33" s="1"/>
  <c r="JY6" i="33" s="1"/>
  <c r="FH6" i="33"/>
  <c r="CE24" i="33"/>
  <c r="DT39" i="33"/>
  <c r="DT6" i="33"/>
  <c r="GW24" i="33"/>
  <c r="AM39" i="33"/>
  <c r="JZ6" i="33" l="1"/>
  <c r="JZ24" i="33"/>
  <c r="KA39" i="33"/>
  <c r="KA6" i="33"/>
  <c r="JZ39" i="33"/>
  <c r="JY39" i="33"/>
  <c r="JY24" i="33"/>
  <c r="KA24" i="33"/>
  <c r="KB39" i="33"/>
  <c r="KB6" i="33"/>
  <c r="KB24" i="33"/>
  <c r="AT53" i="36" l="1"/>
  <c r="AS53" i="36"/>
  <c r="AR53" i="36"/>
  <c r="AQ53" i="36"/>
  <c r="AP53" i="36"/>
  <c r="AO53" i="36"/>
  <c r="AN53" i="36"/>
  <c r="AM53" i="36"/>
  <c r="AL53" i="36"/>
  <c r="AT39" i="36"/>
  <c r="AS39" i="36"/>
  <c r="AR39" i="36"/>
  <c r="AQ39" i="36"/>
  <c r="AP39" i="36"/>
  <c r="AO39" i="36"/>
  <c r="AN39" i="36"/>
  <c r="AM39" i="36"/>
  <c r="AL39" i="36"/>
  <c r="AT24" i="36"/>
  <c r="AS24" i="36"/>
  <c r="AR24" i="36"/>
  <c r="AQ24" i="36"/>
  <c r="AP24" i="36"/>
  <c r="AO24" i="36"/>
  <c r="AN24" i="36"/>
  <c r="AM24" i="36"/>
  <c r="AL24" i="36"/>
  <c r="AT6" i="36"/>
  <c r="AS6" i="36"/>
  <c r="AR6" i="36"/>
  <c r="AQ6" i="36"/>
  <c r="AP6" i="36"/>
  <c r="AO6" i="36"/>
  <c r="AN6" i="36"/>
  <c r="AM6" i="36"/>
  <c r="AL6" i="36"/>
  <c r="AC39" i="36" l="1"/>
  <c r="AD39" i="36"/>
  <c r="AE39" i="36"/>
  <c r="AF39" i="36"/>
  <c r="AG39" i="36"/>
  <c r="AH39" i="36"/>
  <c r="AI39" i="36"/>
  <c r="AJ39" i="36"/>
  <c r="AK39" i="36"/>
  <c r="AC53" i="36"/>
  <c r="AD53" i="36"/>
  <c r="AE53" i="36"/>
  <c r="AF53" i="36"/>
  <c r="AG53" i="36"/>
  <c r="AH53" i="36"/>
  <c r="AI53" i="36"/>
  <c r="AJ53" i="36"/>
  <c r="AK53" i="36"/>
  <c r="AC6" i="36"/>
  <c r="AD6" i="36"/>
  <c r="AE6" i="36"/>
  <c r="AF6" i="36"/>
  <c r="AG6" i="36"/>
  <c r="AH6" i="36"/>
  <c r="AI6" i="36"/>
  <c r="AJ6" i="36"/>
  <c r="AK6" i="36"/>
  <c r="AC24" i="36"/>
  <c r="AD24" i="36"/>
  <c r="AE24" i="36"/>
  <c r="AF24" i="36"/>
  <c r="AG24" i="36"/>
  <c r="AH24" i="36"/>
  <c r="AI24" i="36"/>
  <c r="AJ24" i="36"/>
  <c r="AK24" i="36"/>
  <c r="AY7" i="9"/>
  <c r="AY8" i="9"/>
  <c r="AY9" i="9"/>
  <c r="AY10" i="9"/>
  <c r="AY11" i="9"/>
  <c r="AY12" i="9"/>
  <c r="AY13" i="9"/>
  <c r="AY14" i="9"/>
  <c r="AY15" i="9"/>
  <c r="AY16" i="9"/>
  <c r="AY17" i="9"/>
  <c r="AY18" i="9"/>
  <c r="AY19" i="9"/>
  <c r="AY20" i="9"/>
  <c r="AY21" i="9"/>
  <c r="AY22" i="9"/>
  <c r="AY25" i="9"/>
  <c r="AY26" i="9"/>
  <c r="AY27" i="9"/>
  <c r="AY28" i="9"/>
  <c r="AY29" i="9"/>
  <c r="AY30" i="9"/>
  <c r="AY31" i="9"/>
  <c r="AY32" i="9"/>
  <c r="AY33" i="9"/>
  <c r="AY34" i="9"/>
  <c r="AY35" i="9"/>
  <c r="AY36" i="9"/>
  <c r="AY37" i="9"/>
  <c r="AY40" i="9"/>
  <c r="AY41" i="9"/>
  <c r="AX42" i="9"/>
  <c r="AY42" i="9"/>
  <c r="AY43" i="9"/>
  <c r="AY44" i="9"/>
  <c r="AY45" i="9"/>
  <c r="AY46" i="9"/>
  <c r="AY47" i="9"/>
  <c r="AY48" i="9"/>
  <c r="AY49" i="9"/>
  <c r="AY50" i="9"/>
  <c r="AY51" i="9"/>
  <c r="AY54" i="9"/>
  <c r="AY55" i="9"/>
  <c r="AY56" i="9"/>
  <c r="AY57" i="9"/>
  <c r="AY58" i="9"/>
  <c r="AY59" i="9"/>
  <c r="AY60" i="9"/>
  <c r="AY61" i="9"/>
  <c r="AY62" i="9"/>
  <c r="AY63" i="9"/>
  <c r="AY6" i="4"/>
  <c r="AY24" i="4"/>
  <c r="AY23" i="9" s="1"/>
  <c r="AY39" i="4"/>
  <c r="AY38" i="9" s="1"/>
  <c r="AY53" i="4"/>
  <c r="AY52" i="9" s="1"/>
  <c r="AX56" i="4"/>
  <c r="AX55" i="9" s="1"/>
  <c r="AX57" i="4"/>
  <c r="AX56" i="9" s="1"/>
  <c r="AX58" i="4"/>
  <c r="AX57" i="9" s="1"/>
  <c r="AX59" i="4"/>
  <c r="AX58" i="9" s="1"/>
  <c r="AX60" i="4"/>
  <c r="AX59" i="9" s="1"/>
  <c r="AX61" i="4"/>
  <c r="AX60" i="9" s="1"/>
  <c r="AX62" i="4"/>
  <c r="AX61" i="9" s="1"/>
  <c r="AX63" i="4"/>
  <c r="AX62" i="9" s="1"/>
  <c r="AX64" i="4"/>
  <c r="AX63" i="9" s="1"/>
  <c r="AX55" i="4"/>
  <c r="AX54" i="9" s="1"/>
  <c r="AX42" i="4"/>
  <c r="AX41" i="9" s="1"/>
  <c r="AX44" i="4"/>
  <c r="AX43" i="9" s="1"/>
  <c r="AX45" i="4"/>
  <c r="AX44" i="9" s="1"/>
  <c r="AX46" i="4"/>
  <c r="AX45" i="9" s="1"/>
  <c r="AX47" i="4"/>
  <c r="AX46" i="9" s="1"/>
  <c r="AX48" i="4"/>
  <c r="AX47" i="9" s="1"/>
  <c r="AX49" i="4"/>
  <c r="AX48" i="9" s="1"/>
  <c r="AX50" i="4"/>
  <c r="AX49" i="9" s="1"/>
  <c r="AX51" i="4"/>
  <c r="AX50" i="9" s="1"/>
  <c r="AX52" i="4"/>
  <c r="AX51" i="9" s="1"/>
  <c r="AX41" i="4"/>
  <c r="AX27" i="4"/>
  <c r="AX26" i="9" s="1"/>
  <c r="AX28" i="4"/>
  <c r="AX27" i="9" s="1"/>
  <c r="AX29" i="4"/>
  <c r="AX28" i="9" s="1"/>
  <c r="AX30" i="4"/>
  <c r="AX29" i="9" s="1"/>
  <c r="AX31" i="4"/>
  <c r="AX30" i="9" s="1"/>
  <c r="AX32" i="4"/>
  <c r="AX31" i="9" s="1"/>
  <c r="AX33" i="4"/>
  <c r="AX32" i="9" s="1"/>
  <c r="AX34" i="4"/>
  <c r="AX33" i="9" s="1"/>
  <c r="AX35" i="4"/>
  <c r="AX34" i="9" s="1"/>
  <c r="AX36" i="4"/>
  <c r="AX35" i="9" s="1"/>
  <c r="AX37" i="4"/>
  <c r="AX36" i="9" s="1"/>
  <c r="AX38" i="4"/>
  <c r="AX37" i="9" s="1"/>
  <c r="AX26" i="4"/>
  <c r="AX25" i="9" s="1"/>
  <c r="AX10" i="4"/>
  <c r="AX9" i="9" s="1"/>
  <c r="AX11" i="4"/>
  <c r="AX10" i="9" s="1"/>
  <c r="AX12" i="4"/>
  <c r="AX11" i="9" s="1"/>
  <c r="AX13" i="4"/>
  <c r="AX12" i="9" s="1"/>
  <c r="AX14" i="4"/>
  <c r="AX13" i="9" s="1"/>
  <c r="AX15" i="4"/>
  <c r="AX14" i="9" s="1"/>
  <c r="AX16" i="4"/>
  <c r="AX15" i="9" s="1"/>
  <c r="AX17" i="4"/>
  <c r="AX16" i="9" s="1"/>
  <c r="AX18" i="4"/>
  <c r="AX17" i="9" s="1"/>
  <c r="AX19" i="4"/>
  <c r="AX18" i="9" s="1"/>
  <c r="AX20" i="4"/>
  <c r="AX19" i="9" s="1"/>
  <c r="AX21" i="4"/>
  <c r="AX20" i="9" s="1"/>
  <c r="AX22" i="4"/>
  <c r="AX21" i="9" s="1"/>
  <c r="AX23" i="4"/>
  <c r="AX22" i="9" s="1"/>
  <c r="AX9" i="4"/>
  <c r="AX8" i="9" s="1"/>
  <c r="AX8" i="4"/>
  <c r="AX7" i="9" s="1"/>
  <c r="AX39" i="4" l="1"/>
  <c r="AX38" i="9" s="1"/>
  <c r="AY5" i="4"/>
  <c r="AY4" i="9" s="1"/>
  <c r="AX6" i="4"/>
  <c r="AY5" i="9"/>
  <c r="AX24" i="4"/>
  <c r="AX23" i="9" s="1"/>
  <c r="AX40" i="9"/>
  <c r="AX53" i="4"/>
  <c r="AX52" i="9" s="1"/>
  <c r="AW8" i="9"/>
  <c r="AW9" i="9"/>
  <c r="AW10" i="9"/>
  <c r="AW11" i="9"/>
  <c r="AW12" i="9"/>
  <c r="AW13" i="9"/>
  <c r="AW14" i="9"/>
  <c r="AW15" i="9"/>
  <c r="AW16" i="9"/>
  <c r="AW17" i="9"/>
  <c r="AW18" i="9"/>
  <c r="AW19" i="9"/>
  <c r="AW20" i="9"/>
  <c r="AW21" i="9"/>
  <c r="AW22" i="9"/>
  <c r="AW25" i="9"/>
  <c r="AW26" i="9"/>
  <c r="AW27" i="9"/>
  <c r="AW28" i="9"/>
  <c r="AW29" i="9"/>
  <c r="AW30" i="9"/>
  <c r="AW31" i="9"/>
  <c r="AW32" i="9"/>
  <c r="AW33" i="9"/>
  <c r="AW34" i="9"/>
  <c r="AW35" i="9"/>
  <c r="AW36" i="9"/>
  <c r="AW37" i="9"/>
  <c r="AW40" i="9"/>
  <c r="AW41" i="9"/>
  <c r="AW42" i="9"/>
  <c r="AW43" i="9"/>
  <c r="AW44" i="9"/>
  <c r="AW45" i="9"/>
  <c r="AW46" i="9"/>
  <c r="AW47" i="9"/>
  <c r="AW48" i="9"/>
  <c r="AW49" i="9"/>
  <c r="AW50" i="9"/>
  <c r="AW51" i="9"/>
  <c r="AW54" i="9"/>
  <c r="AW55" i="9"/>
  <c r="AW56" i="9"/>
  <c r="AW57" i="9"/>
  <c r="AW58" i="9"/>
  <c r="AW59" i="9"/>
  <c r="AW60" i="9"/>
  <c r="AW61" i="9"/>
  <c r="AW62" i="9"/>
  <c r="AW63" i="9"/>
  <c r="AW7" i="9"/>
  <c r="AX5" i="4" l="1"/>
  <c r="AX4" i="9" s="1"/>
  <c r="AX5" i="9"/>
  <c r="AP51" i="30"/>
  <c r="AP37" i="30"/>
  <c r="AP22" i="30"/>
  <c r="AP4" i="30"/>
  <c r="AH51" i="30"/>
  <c r="AH37" i="30"/>
  <c r="AH22" i="30"/>
  <c r="AH4" i="30"/>
  <c r="AW51" i="30"/>
  <c r="AW37" i="30"/>
  <c r="AW22" i="30"/>
  <c r="AW4" i="30"/>
  <c r="AT51" i="30"/>
  <c r="AU51" i="30"/>
  <c r="AV51" i="30"/>
  <c r="AX51" i="30"/>
  <c r="AY51" i="30"/>
  <c r="AZ51" i="30"/>
  <c r="BA51" i="30"/>
  <c r="AT37" i="30"/>
  <c r="AU37" i="30"/>
  <c r="AV37" i="30"/>
  <c r="AX37" i="30"/>
  <c r="AY37" i="30"/>
  <c r="AZ37" i="30"/>
  <c r="BA37" i="30"/>
  <c r="AT22" i="30"/>
  <c r="AU22" i="30"/>
  <c r="AV22" i="30"/>
  <c r="AX22" i="30"/>
  <c r="AY22" i="30"/>
  <c r="AZ22" i="30"/>
  <c r="BA22" i="30"/>
  <c r="AT4" i="30"/>
  <c r="AU4" i="30"/>
  <c r="AV4" i="30"/>
  <c r="AX4" i="30"/>
  <c r="AY4" i="30"/>
  <c r="AZ4" i="30"/>
  <c r="BA4" i="30"/>
  <c r="AL51" i="30"/>
  <c r="AM51" i="30"/>
  <c r="AN51" i="30"/>
  <c r="AO51" i="30"/>
  <c r="AQ51" i="30"/>
  <c r="AR51" i="30"/>
  <c r="AS51" i="30"/>
  <c r="AL37" i="30"/>
  <c r="AM37" i="30"/>
  <c r="AN37" i="30"/>
  <c r="AO37" i="30"/>
  <c r="AQ37" i="30"/>
  <c r="AR37" i="30"/>
  <c r="AS37" i="30"/>
  <c r="AL22" i="30"/>
  <c r="AM22" i="30"/>
  <c r="AN22" i="30"/>
  <c r="AO22" i="30"/>
  <c r="AQ22" i="30"/>
  <c r="AR22" i="30"/>
  <c r="AS22" i="30"/>
  <c r="AL4" i="30"/>
  <c r="AM4" i="30"/>
  <c r="AN4" i="30"/>
  <c r="AO4" i="30"/>
  <c r="AQ4" i="30"/>
  <c r="AR4" i="30"/>
  <c r="AS4" i="30"/>
  <c r="AD51" i="30"/>
  <c r="AE51" i="30"/>
  <c r="AF51" i="30"/>
  <c r="AG51" i="30"/>
  <c r="AI51" i="30"/>
  <c r="AJ51" i="30"/>
  <c r="AK51" i="30"/>
  <c r="AD37" i="30"/>
  <c r="AE37" i="30"/>
  <c r="AF37" i="30"/>
  <c r="AG37" i="30"/>
  <c r="AI37" i="30"/>
  <c r="AJ37" i="30"/>
  <c r="AK37" i="30"/>
  <c r="AD22" i="30"/>
  <c r="AE22" i="30"/>
  <c r="AF22" i="30"/>
  <c r="AG22" i="30"/>
  <c r="AI22" i="30"/>
  <c r="AJ22" i="30"/>
  <c r="AK22" i="30"/>
  <c r="AD4" i="30"/>
  <c r="AE4" i="30"/>
  <c r="AF4" i="30"/>
  <c r="AG4" i="30"/>
  <c r="AI4" i="30"/>
  <c r="AJ4" i="30"/>
  <c r="AK4" i="30"/>
  <c r="BA3" i="30" l="1"/>
  <c r="AD3" i="30"/>
  <c r="AK3" i="30"/>
  <c r="AS3" i="30"/>
  <c r="AN3" i="30"/>
  <c r="AP3" i="30"/>
  <c r="AH3" i="30"/>
  <c r="AW3" i="30"/>
  <c r="AZ3" i="30"/>
  <c r="AX3" i="30"/>
  <c r="AV3" i="30"/>
  <c r="AU3" i="30"/>
  <c r="AT3" i="30"/>
  <c r="AY3" i="30"/>
  <c r="AQ3" i="30"/>
  <c r="AO3" i="30"/>
  <c r="AR3" i="30"/>
  <c r="AL3" i="30"/>
  <c r="AM3" i="30"/>
  <c r="AJ3" i="30"/>
  <c r="AG3" i="30"/>
  <c r="AF3" i="30"/>
  <c r="AI3" i="30"/>
  <c r="AE3" i="30"/>
  <c r="C53" i="36" l="1"/>
  <c r="D53" i="36"/>
  <c r="E53" i="36"/>
  <c r="F53" i="36"/>
  <c r="G53" i="36"/>
  <c r="H53" i="36"/>
  <c r="I53" i="36"/>
  <c r="J53" i="36"/>
  <c r="B53" i="36"/>
  <c r="C39" i="36"/>
  <c r="D39" i="36"/>
  <c r="E39" i="36"/>
  <c r="F39" i="36"/>
  <c r="G39" i="36"/>
  <c r="H39" i="36"/>
  <c r="I39" i="36"/>
  <c r="J39" i="36"/>
  <c r="B39" i="36"/>
  <c r="C24" i="36"/>
  <c r="D24" i="36"/>
  <c r="E24" i="36"/>
  <c r="F24" i="36"/>
  <c r="G24" i="36"/>
  <c r="H24" i="36"/>
  <c r="I24" i="36"/>
  <c r="J24" i="36"/>
  <c r="B24" i="36"/>
  <c r="C6" i="36"/>
  <c r="D6" i="36"/>
  <c r="E6" i="36"/>
  <c r="F6" i="36"/>
  <c r="G6" i="36"/>
  <c r="H6" i="36"/>
  <c r="I6" i="36"/>
  <c r="J6" i="36"/>
  <c r="B6" i="36"/>
  <c r="L53" i="36"/>
  <c r="M53" i="36"/>
  <c r="N53" i="36"/>
  <c r="O53" i="36"/>
  <c r="P53" i="36"/>
  <c r="Q53" i="36"/>
  <c r="R53" i="36"/>
  <c r="S53" i="36"/>
  <c r="K53" i="36"/>
  <c r="L39" i="36"/>
  <c r="M39" i="36"/>
  <c r="N39" i="36"/>
  <c r="O39" i="36"/>
  <c r="P39" i="36"/>
  <c r="Q39" i="36"/>
  <c r="R39" i="36"/>
  <c r="S39" i="36"/>
  <c r="K39" i="36"/>
  <c r="L24" i="36"/>
  <c r="M24" i="36"/>
  <c r="N24" i="36"/>
  <c r="O24" i="36"/>
  <c r="P24" i="36"/>
  <c r="Q24" i="36"/>
  <c r="R24" i="36"/>
  <c r="S24" i="36"/>
  <c r="K24" i="36"/>
  <c r="L6" i="36"/>
  <c r="M6" i="36"/>
  <c r="N6" i="36"/>
  <c r="O6" i="36"/>
  <c r="P6" i="36"/>
  <c r="Q6" i="36"/>
  <c r="R6" i="36"/>
  <c r="S6" i="36"/>
  <c r="K6" i="36"/>
  <c r="U53" i="36"/>
  <c r="V53" i="36"/>
  <c r="W53" i="36"/>
  <c r="X53" i="36"/>
  <c r="Y53" i="36"/>
  <c r="Z53" i="36"/>
  <c r="AA53" i="36"/>
  <c r="AB53" i="36"/>
  <c r="T53" i="36"/>
  <c r="U39" i="36"/>
  <c r="V39" i="36"/>
  <c r="W39" i="36"/>
  <c r="X39" i="36"/>
  <c r="Y39" i="36"/>
  <c r="Z39" i="36"/>
  <c r="AA39" i="36"/>
  <c r="AB39" i="36"/>
  <c r="T39" i="36"/>
  <c r="U24" i="36"/>
  <c r="V24" i="36"/>
  <c r="W24" i="36"/>
  <c r="X24" i="36"/>
  <c r="Y24" i="36"/>
  <c r="Z24" i="36"/>
  <c r="AA24" i="36"/>
  <c r="AB24" i="36"/>
  <c r="T24" i="36"/>
  <c r="U6" i="36"/>
  <c r="V6" i="36"/>
  <c r="W6" i="36"/>
  <c r="X6" i="36"/>
  <c r="Y6" i="36"/>
  <c r="Z6" i="36"/>
  <c r="AA6" i="36"/>
  <c r="AB6" i="36"/>
  <c r="T6" i="36"/>
  <c r="AP6" i="19" l="1"/>
  <c r="AQ6" i="19"/>
  <c r="AR6" i="19"/>
  <c r="AS6" i="19"/>
  <c r="AT6" i="19"/>
  <c r="AP53" i="19"/>
  <c r="AQ53" i="19"/>
  <c r="AR53" i="19"/>
  <c r="AS53" i="19"/>
  <c r="AT53" i="19"/>
  <c r="AP39" i="19"/>
  <c r="AQ39" i="19"/>
  <c r="AR39" i="19"/>
  <c r="AS39" i="19"/>
  <c r="AT39" i="19"/>
  <c r="AP24" i="19"/>
  <c r="AQ24" i="19"/>
  <c r="AR24" i="19"/>
  <c r="AS24" i="19"/>
  <c r="AT24" i="19"/>
  <c r="AO53" i="19"/>
  <c r="AO39" i="19"/>
  <c r="AO24" i="19"/>
  <c r="AO6" i="19"/>
  <c r="AV42" i="9" l="1"/>
  <c r="AV64" i="4" l="1"/>
  <c r="AV63" i="9" s="1"/>
  <c r="AV63" i="4"/>
  <c r="AV62" i="9" s="1"/>
  <c r="AV62" i="4"/>
  <c r="AV61" i="9" s="1"/>
  <c r="AV61" i="4"/>
  <c r="AV60" i="9" s="1"/>
  <c r="AV60" i="4"/>
  <c r="AV59" i="9" s="1"/>
  <c r="AV59" i="4"/>
  <c r="AV58" i="9" s="1"/>
  <c r="AV58" i="4"/>
  <c r="AV57" i="9" s="1"/>
  <c r="AV57" i="4"/>
  <c r="AV56" i="9" s="1"/>
  <c r="AV56" i="4"/>
  <c r="AV55" i="9" s="1"/>
  <c r="AV55" i="4"/>
  <c r="AV54" i="9" s="1"/>
  <c r="AV52" i="4"/>
  <c r="AV51" i="9" s="1"/>
  <c r="AV51" i="4"/>
  <c r="AV50" i="9" s="1"/>
  <c r="AV50" i="4"/>
  <c r="AV49" i="9" s="1"/>
  <c r="AV49" i="4"/>
  <c r="AV48" i="9" s="1"/>
  <c r="AV48" i="4"/>
  <c r="AV47" i="9" s="1"/>
  <c r="AV47" i="4"/>
  <c r="AV46" i="9" s="1"/>
  <c r="AV46" i="4"/>
  <c r="AV45" i="9" s="1"/>
  <c r="AV45" i="4"/>
  <c r="AV44" i="9" s="1"/>
  <c r="AV44" i="4"/>
  <c r="AV43" i="9" s="1"/>
  <c r="AV42" i="4"/>
  <c r="AV41" i="9" s="1"/>
  <c r="AV41" i="4"/>
  <c r="AV40" i="9" s="1"/>
  <c r="AV38" i="4"/>
  <c r="AV37" i="9" s="1"/>
  <c r="AV37" i="4"/>
  <c r="AV36" i="9" s="1"/>
  <c r="AV36" i="4"/>
  <c r="AV35" i="9" s="1"/>
  <c r="AV35" i="4"/>
  <c r="AV34" i="9" s="1"/>
  <c r="AV34" i="4"/>
  <c r="AV33" i="9" s="1"/>
  <c r="AV33" i="4"/>
  <c r="AV32" i="9" s="1"/>
  <c r="AV32" i="4"/>
  <c r="AV31" i="9" s="1"/>
  <c r="AV31" i="4"/>
  <c r="AV30" i="9" s="1"/>
  <c r="AV30" i="4"/>
  <c r="AV29" i="9" s="1"/>
  <c r="AV29" i="4"/>
  <c r="AV28" i="9" s="1"/>
  <c r="AV28" i="4"/>
  <c r="AV27" i="9" s="1"/>
  <c r="AV27" i="4"/>
  <c r="AV26" i="9" s="1"/>
  <c r="AV26" i="4"/>
  <c r="AV25" i="9" s="1"/>
  <c r="AV23" i="4"/>
  <c r="AV22" i="9" s="1"/>
  <c r="AV22" i="4"/>
  <c r="AV21" i="9" s="1"/>
  <c r="AV21" i="4"/>
  <c r="AV20" i="9" s="1"/>
  <c r="AV20" i="4"/>
  <c r="AV19" i="9" s="1"/>
  <c r="AV19" i="4"/>
  <c r="AV18" i="9" s="1"/>
  <c r="AV18" i="4"/>
  <c r="AV17" i="9" s="1"/>
  <c r="AV17" i="4"/>
  <c r="AV16" i="9" s="1"/>
  <c r="AV16" i="4"/>
  <c r="AV15" i="9" s="1"/>
  <c r="AV15" i="4"/>
  <c r="AV14" i="9" s="1"/>
  <c r="AV14" i="4"/>
  <c r="AV13" i="9" s="1"/>
  <c r="AV13" i="4"/>
  <c r="AV12" i="9" s="1"/>
  <c r="AV12" i="4"/>
  <c r="AV11" i="9" s="1"/>
  <c r="AV11" i="4"/>
  <c r="AV10" i="9" s="1"/>
  <c r="AV10" i="4"/>
  <c r="AV9" i="9" s="1"/>
  <c r="AV9" i="4"/>
  <c r="AV8" i="9" s="1"/>
  <c r="AV8" i="4"/>
  <c r="AV7" i="9" s="1"/>
  <c r="AW6" i="4"/>
  <c r="AW5" i="9" s="1"/>
  <c r="AW53" i="4"/>
  <c r="AW52" i="9" s="1"/>
  <c r="AW39" i="4"/>
  <c r="AW38" i="9" s="1"/>
  <c r="AW24" i="4"/>
  <c r="AW23" i="9" s="1"/>
  <c r="AV39" i="4" l="1"/>
  <c r="AV24" i="4"/>
  <c r="AV53" i="4"/>
  <c r="AV6" i="4"/>
  <c r="AW5" i="4"/>
  <c r="AW4" i="9" s="1"/>
  <c r="AV5" i="4" l="1"/>
  <c r="AC51" i="30" l="1"/>
  <c r="AB51" i="30"/>
  <c r="AA51" i="30"/>
  <c r="Z51" i="30"/>
  <c r="Y51" i="30"/>
  <c r="X51" i="30"/>
  <c r="W51" i="30"/>
  <c r="AC37" i="30"/>
  <c r="AB37" i="30"/>
  <c r="AA37" i="30"/>
  <c r="Z37" i="30"/>
  <c r="Y37" i="30"/>
  <c r="X37" i="30"/>
  <c r="W37" i="30"/>
  <c r="AC22" i="30"/>
  <c r="AB22" i="30"/>
  <c r="AA22" i="30"/>
  <c r="Z22" i="30"/>
  <c r="Y22" i="30"/>
  <c r="X22" i="30"/>
  <c r="W22" i="30"/>
  <c r="AC4" i="30"/>
  <c r="AB4" i="30"/>
  <c r="AA4" i="30"/>
  <c r="Z4" i="30"/>
  <c r="Y4" i="30"/>
  <c r="X4" i="30"/>
  <c r="W4" i="30"/>
  <c r="AN53" i="19"/>
  <c r="AM53" i="19"/>
  <c r="AL53" i="19"/>
  <c r="AK53" i="19"/>
  <c r="AJ53" i="19"/>
  <c r="AI53" i="19"/>
  <c r="AN39" i="19"/>
  <c r="AM39" i="19"/>
  <c r="AL39" i="19"/>
  <c r="AK39" i="19"/>
  <c r="AJ39" i="19"/>
  <c r="AI39" i="19"/>
  <c r="AN24" i="19"/>
  <c r="AM24" i="19"/>
  <c r="AL24" i="19"/>
  <c r="AK24" i="19"/>
  <c r="AJ24" i="19"/>
  <c r="AI24" i="19"/>
  <c r="AN6" i="19"/>
  <c r="AM6" i="19"/>
  <c r="AL6" i="19"/>
  <c r="AK6" i="19"/>
  <c r="AJ6" i="19"/>
  <c r="AI6" i="19"/>
  <c r="Z3" i="30" l="1"/>
  <c r="X3" i="30"/>
  <c r="AB3" i="30"/>
  <c r="AA3" i="30"/>
  <c r="AC3" i="30"/>
  <c r="W3" i="30"/>
  <c r="Y3" i="30"/>
  <c r="II64" i="33" l="1"/>
  <c r="IH64" i="33"/>
  <c r="IG64" i="33"/>
  <c r="IF64" i="33"/>
  <c r="IE64" i="33"/>
  <c r="ID64" i="33"/>
  <c r="IC64" i="33"/>
  <c r="IB64" i="33"/>
  <c r="IA64" i="33"/>
  <c r="HZ64" i="33"/>
  <c r="HY64" i="33"/>
  <c r="HX64" i="33"/>
  <c r="HW64" i="33"/>
  <c r="HV64" i="33"/>
  <c r="HU64" i="33"/>
  <c r="HT64" i="33"/>
  <c r="HS64" i="33"/>
  <c r="HR64" i="33"/>
  <c r="HQ64" i="33"/>
  <c r="HP64" i="33"/>
  <c r="HO64" i="33"/>
  <c r="HN64" i="33"/>
  <c r="HM64" i="33"/>
  <c r="HL64" i="33"/>
  <c r="HK64" i="33"/>
  <c r="HJ64" i="33"/>
  <c r="HI64" i="33"/>
  <c r="HH64" i="33"/>
  <c r="HG64" i="33"/>
  <c r="HF64" i="33"/>
  <c r="HE64" i="33"/>
  <c r="HD64" i="33"/>
  <c r="HC64" i="33"/>
  <c r="HB64" i="33"/>
  <c r="HA64" i="33"/>
  <c r="GZ64" i="33"/>
  <c r="II63" i="33"/>
  <c r="IH63" i="33"/>
  <c r="IG63" i="33"/>
  <c r="IF63" i="33"/>
  <c r="IE63" i="33"/>
  <c r="ID63" i="33"/>
  <c r="IC63" i="33"/>
  <c r="IB63" i="33"/>
  <c r="IA63" i="33"/>
  <c r="HZ63" i="33"/>
  <c r="HY63" i="33"/>
  <c r="HX63" i="33"/>
  <c r="HW63" i="33"/>
  <c r="HV63" i="33"/>
  <c r="HU63" i="33"/>
  <c r="HT63" i="33"/>
  <c r="HS63" i="33"/>
  <c r="HR63" i="33"/>
  <c r="HQ63" i="33"/>
  <c r="HP63" i="33"/>
  <c r="HO63" i="33"/>
  <c r="HN63" i="33"/>
  <c r="HM63" i="33"/>
  <c r="HL63" i="33"/>
  <c r="HK63" i="33"/>
  <c r="HJ63" i="33"/>
  <c r="HI63" i="33"/>
  <c r="HH63" i="33"/>
  <c r="HG63" i="33"/>
  <c r="HF63" i="33"/>
  <c r="HE63" i="33"/>
  <c r="HD63" i="33"/>
  <c r="HC63" i="33"/>
  <c r="HB63" i="33"/>
  <c r="HA63" i="33"/>
  <c r="GZ63" i="33"/>
  <c r="II62" i="33"/>
  <c r="IH62" i="33"/>
  <c r="IG62" i="33"/>
  <c r="IF62" i="33"/>
  <c r="IE62" i="33"/>
  <c r="ID62" i="33"/>
  <c r="IC62" i="33"/>
  <c r="IB62" i="33"/>
  <c r="IA62" i="33"/>
  <c r="HZ62" i="33"/>
  <c r="HY62" i="33"/>
  <c r="HX62" i="33"/>
  <c r="HW62" i="33"/>
  <c r="HV62" i="33"/>
  <c r="HU62" i="33"/>
  <c r="HT62" i="33"/>
  <c r="HS62" i="33"/>
  <c r="HR62" i="33"/>
  <c r="HQ62" i="33"/>
  <c r="HP62" i="33"/>
  <c r="HO62" i="33"/>
  <c r="HN62" i="33"/>
  <c r="HM62" i="33"/>
  <c r="HL62" i="33"/>
  <c r="HK62" i="33"/>
  <c r="HJ62" i="33"/>
  <c r="HI62" i="33"/>
  <c r="HH62" i="33"/>
  <c r="HG62" i="33"/>
  <c r="HF62" i="33"/>
  <c r="HE62" i="33"/>
  <c r="HD62" i="33"/>
  <c r="HC62" i="33"/>
  <c r="HB62" i="33"/>
  <c r="HA62" i="33"/>
  <c r="GZ62" i="33"/>
  <c r="II61" i="33"/>
  <c r="IH61" i="33"/>
  <c r="IG61" i="33"/>
  <c r="IF61" i="33"/>
  <c r="IE61" i="33"/>
  <c r="ID61" i="33"/>
  <c r="IC61" i="33"/>
  <c r="IB61" i="33"/>
  <c r="IA61" i="33"/>
  <c r="HZ61" i="33"/>
  <c r="HY61" i="33"/>
  <c r="HX61" i="33"/>
  <c r="HW61" i="33"/>
  <c r="HV61" i="33"/>
  <c r="HU61" i="33"/>
  <c r="HT61" i="33"/>
  <c r="HS61" i="33"/>
  <c r="HR61" i="33"/>
  <c r="HQ61" i="33"/>
  <c r="HP61" i="33"/>
  <c r="HO61" i="33"/>
  <c r="HN61" i="33"/>
  <c r="HM61" i="33"/>
  <c r="HL61" i="33"/>
  <c r="HK61" i="33"/>
  <c r="HJ61" i="33"/>
  <c r="HI61" i="33"/>
  <c r="HH61" i="33"/>
  <c r="HG61" i="33"/>
  <c r="HF61" i="33"/>
  <c r="HE61" i="33"/>
  <c r="HD61" i="33"/>
  <c r="HC61" i="33"/>
  <c r="HB61" i="33"/>
  <c r="HA61" i="33"/>
  <c r="GZ61" i="33"/>
  <c r="II60" i="33"/>
  <c r="IH60" i="33"/>
  <c r="IG60" i="33"/>
  <c r="IF60" i="33"/>
  <c r="IE60" i="33"/>
  <c r="ID60" i="33"/>
  <c r="IC60" i="33"/>
  <c r="IB60" i="33"/>
  <c r="IA60" i="33"/>
  <c r="HZ60" i="33"/>
  <c r="HY60" i="33"/>
  <c r="HX60" i="33"/>
  <c r="HW60" i="33"/>
  <c r="HV60" i="33"/>
  <c r="HU60" i="33"/>
  <c r="HT60" i="33"/>
  <c r="HS60" i="33"/>
  <c r="HR60" i="33"/>
  <c r="HQ60" i="33"/>
  <c r="HP60" i="33"/>
  <c r="HO60" i="33"/>
  <c r="HN60" i="33"/>
  <c r="HM60" i="33"/>
  <c r="HL60" i="33"/>
  <c r="HK60" i="33"/>
  <c r="HJ60" i="33"/>
  <c r="HI60" i="33"/>
  <c r="HH60" i="33"/>
  <c r="HG60" i="33"/>
  <c r="HF60" i="33"/>
  <c r="HE60" i="33"/>
  <c r="HD60" i="33"/>
  <c r="HC60" i="33"/>
  <c r="HB60" i="33"/>
  <c r="HA60" i="33"/>
  <c r="GZ60" i="33"/>
  <c r="II59" i="33"/>
  <c r="IH59" i="33"/>
  <c r="IG59" i="33"/>
  <c r="IF59" i="33"/>
  <c r="IE59" i="33"/>
  <c r="ID59" i="33"/>
  <c r="IC59" i="33"/>
  <c r="IB59" i="33"/>
  <c r="IA59" i="33"/>
  <c r="HZ59" i="33"/>
  <c r="HY59" i="33"/>
  <c r="HX59" i="33"/>
  <c r="HW59" i="33"/>
  <c r="HV59" i="33"/>
  <c r="HU59" i="33"/>
  <c r="HT59" i="33"/>
  <c r="HS59" i="33"/>
  <c r="HR59" i="33"/>
  <c r="HQ59" i="33"/>
  <c r="HP59" i="33"/>
  <c r="HO59" i="33"/>
  <c r="HN59" i="33"/>
  <c r="HM59" i="33"/>
  <c r="HL59" i="33"/>
  <c r="HK59" i="33"/>
  <c r="HJ59" i="33"/>
  <c r="HI59" i="33"/>
  <c r="HH59" i="33"/>
  <c r="HG59" i="33"/>
  <c r="HF59" i="33"/>
  <c r="HE59" i="33"/>
  <c r="HD59" i="33"/>
  <c r="HC59" i="33"/>
  <c r="HB59" i="33"/>
  <c r="HA59" i="33"/>
  <c r="GZ59" i="33"/>
  <c r="II58" i="33"/>
  <c r="IH58" i="33"/>
  <c r="IG58" i="33"/>
  <c r="IF58" i="33"/>
  <c r="IE58" i="33"/>
  <c r="ID58" i="33"/>
  <c r="IC58" i="33"/>
  <c r="IB58" i="33"/>
  <c r="IA58" i="33"/>
  <c r="HZ58" i="33"/>
  <c r="HY58" i="33"/>
  <c r="HX58" i="33"/>
  <c r="HW58" i="33"/>
  <c r="HV58" i="33"/>
  <c r="HU58" i="33"/>
  <c r="HT58" i="33"/>
  <c r="HS58" i="33"/>
  <c r="HR58" i="33"/>
  <c r="HQ58" i="33"/>
  <c r="HP58" i="33"/>
  <c r="HO58" i="33"/>
  <c r="HN58" i="33"/>
  <c r="HM58" i="33"/>
  <c r="HL58" i="33"/>
  <c r="HK58" i="33"/>
  <c r="HJ58" i="33"/>
  <c r="HI58" i="33"/>
  <c r="HH58" i="33"/>
  <c r="HG58" i="33"/>
  <c r="HF58" i="33"/>
  <c r="HE58" i="33"/>
  <c r="HD58" i="33"/>
  <c r="HC58" i="33"/>
  <c r="HB58" i="33"/>
  <c r="HA58" i="33"/>
  <c r="GZ58" i="33"/>
  <c r="II57" i="33"/>
  <c r="IH57" i="33"/>
  <c r="IG57" i="33"/>
  <c r="IF57" i="33"/>
  <c r="IE57" i="33"/>
  <c r="ID57" i="33"/>
  <c r="IC57" i="33"/>
  <c r="IB57" i="33"/>
  <c r="IA57" i="33"/>
  <c r="HZ57" i="33"/>
  <c r="HY57" i="33"/>
  <c r="HX57" i="33"/>
  <c r="HW57" i="33"/>
  <c r="HV57" i="33"/>
  <c r="HU57" i="33"/>
  <c r="HT57" i="33"/>
  <c r="HS57" i="33"/>
  <c r="HR57" i="33"/>
  <c r="HQ57" i="33"/>
  <c r="HP57" i="33"/>
  <c r="HO57" i="33"/>
  <c r="HN57" i="33"/>
  <c r="HM57" i="33"/>
  <c r="HL57" i="33"/>
  <c r="HK57" i="33"/>
  <c r="HJ57" i="33"/>
  <c r="HI57" i="33"/>
  <c r="HH57" i="33"/>
  <c r="HG57" i="33"/>
  <c r="HF57" i="33"/>
  <c r="HE57" i="33"/>
  <c r="HD57" i="33"/>
  <c r="HC57" i="33"/>
  <c r="HB57" i="33"/>
  <c r="HA57" i="33"/>
  <c r="GZ57" i="33"/>
  <c r="II56" i="33"/>
  <c r="IH56" i="33"/>
  <c r="IG56" i="33"/>
  <c r="IF56" i="33"/>
  <c r="IE56" i="33"/>
  <c r="ID56" i="33"/>
  <c r="IC56" i="33"/>
  <c r="IB56" i="33"/>
  <c r="IA56" i="33"/>
  <c r="HZ56" i="33"/>
  <c r="HY56" i="33"/>
  <c r="HX56" i="33"/>
  <c r="HW56" i="33"/>
  <c r="HV56" i="33"/>
  <c r="HU56" i="33"/>
  <c r="HT56" i="33"/>
  <c r="HS56" i="33"/>
  <c r="HR56" i="33"/>
  <c r="HQ56" i="33"/>
  <c r="HP56" i="33"/>
  <c r="HO56" i="33"/>
  <c r="HN56" i="33"/>
  <c r="HM56" i="33"/>
  <c r="HL56" i="33"/>
  <c r="HK56" i="33"/>
  <c r="HJ56" i="33"/>
  <c r="HI56" i="33"/>
  <c r="HH56" i="33"/>
  <c r="HG56" i="33"/>
  <c r="HF56" i="33"/>
  <c r="HE56" i="33"/>
  <c r="HD56" i="33"/>
  <c r="HC56" i="33"/>
  <c r="HB56" i="33"/>
  <c r="HA56" i="33"/>
  <c r="GZ56" i="33"/>
  <c r="II55" i="33"/>
  <c r="IH55" i="33"/>
  <c r="IG55" i="33"/>
  <c r="IF55" i="33"/>
  <c r="IE55" i="33"/>
  <c r="ID55" i="33"/>
  <c r="IC55" i="33"/>
  <c r="IB55" i="33"/>
  <c r="IA55" i="33"/>
  <c r="HZ55" i="33"/>
  <c r="HY55" i="33"/>
  <c r="HX55" i="33"/>
  <c r="HW55" i="33"/>
  <c r="HV55" i="33"/>
  <c r="HU55" i="33"/>
  <c r="HT55" i="33"/>
  <c r="HS55" i="33"/>
  <c r="HR55" i="33"/>
  <c r="HQ55" i="33"/>
  <c r="HP55" i="33"/>
  <c r="HO55" i="33"/>
  <c r="HN55" i="33"/>
  <c r="HM55" i="33"/>
  <c r="HL55" i="33"/>
  <c r="HK55" i="33"/>
  <c r="HJ55" i="33"/>
  <c r="HI55" i="33"/>
  <c r="HH55" i="33"/>
  <c r="HG55" i="33"/>
  <c r="HF55" i="33"/>
  <c r="HE55" i="33"/>
  <c r="HD55" i="33"/>
  <c r="HC55" i="33"/>
  <c r="HB55" i="33"/>
  <c r="HA55" i="33"/>
  <c r="GZ55" i="33"/>
  <c r="II53" i="33"/>
  <c r="IH53" i="33"/>
  <c r="IG53" i="33"/>
  <c r="IF53" i="33"/>
  <c r="IE53" i="33"/>
  <c r="ID53" i="33"/>
  <c r="IC53" i="33"/>
  <c r="IB53" i="33"/>
  <c r="IA53" i="33"/>
  <c r="HZ53" i="33"/>
  <c r="HY53" i="33"/>
  <c r="HX53" i="33"/>
  <c r="HW53" i="33"/>
  <c r="HV53" i="33"/>
  <c r="HU53" i="33"/>
  <c r="HT53" i="33"/>
  <c r="HS53" i="33"/>
  <c r="HR53" i="33"/>
  <c r="HQ53" i="33"/>
  <c r="HP53" i="33"/>
  <c r="HO53" i="33"/>
  <c r="HN53" i="33"/>
  <c r="HM53" i="33"/>
  <c r="HL53" i="33"/>
  <c r="HK53" i="33"/>
  <c r="HJ53" i="33"/>
  <c r="HI53" i="33"/>
  <c r="HH53" i="33"/>
  <c r="HG53" i="33"/>
  <c r="HF53" i="33"/>
  <c r="HE53" i="33"/>
  <c r="HD53" i="33"/>
  <c r="II52" i="33"/>
  <c r="IH52" i="33"/>
  <c r="IG52" i="33"/>
  <c r="IF52" i="33"/>
  <c r="IE52" i="33"/>
  <c r="ID52" i="33"/>
  <c r="IC52" i="33"/>
  <c r="IB52" i="33"/>
  <c r="IA52" i="33"/>
  <c r="HZ52" i="33"/>
  <c r="HY52" i="33"/>
  <c r="HX52" i="33"/>
  <c r="HW52" i="33"/>
  <c r="HV52" i="33"/>
  <c r="HU52" i="33"/>
  <c r="HT52" i="33"/>
  <c r="HS52" i="33"/>
  <c r="HR52" i="33"/>
  <c r="HQ52" i="33"/>
  <c r="HP52" i="33"/>
  <c r="HO52" i="33"/>
  <c r="HN52" i="33"/>
  <c r="HM52" i="33"/>
  <c r="HL52" i="33"/>
  <c r="HK52" i="33"/>
  <c r="HJ52" i="33"/>
  <c r="HI52" i="33"/>
  <c r="HH52" i="33"/>
  <c r="HG52" i="33"/>
  <c r="HF52" i="33"/>
  <c r="HE52" i="33"/>
  <c r="HD52" i="33"/>
  <c r="HC52" i="33"/>
  <c r="HB52" i="33"/>
  <c r="HA52" i="33"/>
  <c r="GZ52" i="33"/>
  <c r="II51" i="33"/>
  <c r="IH51" i="33"/>
  <c r="IG51" i="33"/>
  <c r="IF51" i="33"/>
  <c r="IE51" i="33"/>
  <c r="ID51" i="33"/>
  <c r="IC51" i="33"/>
  <c r="IB51" i="33"/>
  <c r="IA51" i="33"/>
  <c r="HZ51" i="33"/>
  <c r="HY51" i="33"/>
  <c r="HX51" i="33"/>
  <c r="HW51" i="33"/>
  <c r="HV51" i="33"/>
  <c r="HU51" i="33"/>
  <c r="HT51" i="33"/>
  <c r="HS51" i="33"/>
  <c r="HR51" i="33"/>
  <c r="HQ51" i="33"/>
  <c r="HP51" i="33"/>
  <c r="HO51" i="33"/>
  <c r="HN51" i="33"/>
  <c r="HM51" i="33"/>
  <c r="HL51" i="33"/>
  <c r="HK51" i="33"/>
  <c r="HJ51" i="33"/>
  <c r="HI51" i="33"/>
  <c r="HH51" i="33"/>
  <c r="HG51" i="33"/>
  <c r="HF51" i="33"/>
  <c r="HE51" i="33"/>
  <c r="HD51" i="33"/>
  <c r="HC51" i="33"/>
  <c r="HB51" i="33"/>
  <c r="HA51" i="33"/>
  <c r="GZ51" i="33"/>
  <c r="II50" i="33"/>
  <c r="IH50" i="33"/>
  <c r="IG50" i="33"/>
  <c r="IF50" i="33"/>
  <c r="IE50" i="33"/>
  <c r="ID50" i="33"/>
  <c r="IC50" i="33"/>
  <c r="IB50" i="33"/>
  <c r="IA50" i="33"/>
  <c r="HZ50" i="33"/>
  <c r="HY50" i="33"/>
  <c r="HX50" i="33"/>
  <c r="HW50" i="33"/>
  <c r="HV50" i="33"/>
  <c r="HU50" i="33"/>
  <c r="HT50" i="33"/>
  <c r="HS50" i="33"/>
  <c r="HR50" i="33"/>
  <c r="HQ50" i="33"/>
  <c r="HP50" i="33"/>
  <c r="HO50" i="33"/>
  <c r="HN50" i="33"/>
  <c r="HM50" i="33"/>
  <c r="HL50" i="33"/>
  <c r="HK50" i="33"/>
  <c r="HJ50" i="33"/>
  <c r="HI50" i="33"/>
  <c r="HH50" i="33"/>
  <c r="HG50" i="33"/>
  <c r="HF50" i="33"/>
  <c r="HE50" i="33"/>
  <c r="HD50" i="33"/>
  <c r="HC50" i="33"/>
  <c r="HB50" i="33"/>
  <c r="HA50" i="33"/>
  <c r="GZ50" i="33"/>
  <c r="II49" i="33"/>
  <c r="IH49" i="33"/>
  <c r="IG49" i="33"/>
  <c r="IF49" i="33"/>
  <c r="IE49" i="33"/>
  <c r="ID49" i="33"/>
  <c r="IC49" i="33"/>
  <c r="IB49" i="33"/>
  <c r="IA49" i="33"/>
  <c r="HZ49" i="33"/>
  <c r="HY49" i="33"/>
  <c r="HX49" i="33"/>
  <c r="HW49" i="33"/>
  <c r="HV49" i="33"/>
  <c r="HU49" i="33"/>
  <c r="HT49" i="33"/>
  <c r="HS49" i="33"/>
  <c r="HR49" i="33"/>
  <c r="HQ49" i="33"/>
  <c r="HP49" i="33"/>
  <c r="HO49" i="33"/>
  <c r="HN49" i="33"/>
  <c r="HM49" i="33"/>
  <c r="HL49" i="33"/>
  <c r="HK49" i="33"/>
  <c r="HJ49" i="33"/>
  <c r="HI49" i="33"/>
  <c r="HH49" i="33"/>
  <c r="HG49" i="33"/>
  <c r="HF49" i="33"/>
  <c r="HE49" i="33"/>
  <c r="HD49" i="33"/>
  <c r="HC49" i="33"/>
  <c r="HB49" i="33"/>
  <c r="HA49" i="33"/>
  <c r="GZ49" i="33"/>
  <c r="II48" i="33"/>
  <c r="IH48" i="33"/>
  <c r="IG48" i="33"/>
  <c r="IF48" i="33"/>
  <c r="IE48" i="33"/>
  <c r="ID48" i="33"/>
  <c r="IC48" i="33"/>
  <c r="IB48" i="33"/>
  <c r="IA48" i="33"/>
  <c r="HZ48" i="33"/>
  <c r="HY48" i="33"/>
  <c r="HX48" i="33"/>
  <c r="HW48" i="33"/>
  <c r="HV48" i="33"/>
  <c r="HU48" i="33"/>
  <c r="HT48" i="33"/>
  <c r="HS48" i="33"/>
  <c r="HR48" i="33"/>
  <c r="HQ48" i="33"/>
  <c r="HP48" i="33"/>
  <c r="HO48" i="33"/>
  <c r="HN48" i="33"/>
  <c r="HM48" i="33"/>
  <c r="HL48" i="33"/>
  <c r="HK48" i="33"/>
  <c r="HJ48" i="33"/>
  <c r="HI48" i="33"/>
  <c r="HH48" i="33"/>
  <c r="HG48" i="33"/>
  <c r="HF48" i="33"/>
  <c r="HE48" i="33"/>
  <c r="HD48" i="33"/>
  <c r="HC48" i="33"/>
  <c r="HB48" i="33"/>
  <c r="HA48" i="33"/>
  <c r="GZ48" i="33"/>
  <c r="II47" i="33"/>
  <c r="IH47" i="33"/>
  <c r="IG47" i="33"/>
  <c r="IF47" i="33"/>
  <c r="IE47" i="33"/>
  <c r="ID47" i="33"/>
  <c r="IC47" i="33"/>
  <c r="IB47" i="33"/>
  <c r="IA47" i="33"/>
  <c r="HZ47" i="33"/>
  <c r="HY47" i="33"/>
  <c r="HX47" i="33"/>
  <c r="HW47" i="33"/>
  <c r="HV47" i="33"/>
  <c r="HU47" i="33"/>
  <c r="HT47" i="33"/>
  <c r="HS47" i="33"/>
  <c r="HR47" i="33"/>
  <c r="HQ47" i="33"/>
  <c r="HP47" i="33"/>
  <c r="HO47" i="33"/>
  <c r="HN47" i="33"/>
  <c r="HM47" i="33"/>
  <c r="HL47" i="33"/>
  <c r="HK47" i="33"/>
  <c r="HJ47" i="33"/>
  <c r="HI47" i="33"/>
  <c r="HH47" i="33"/>
  <c r="HG47" i="33"/>
  <c r="HF47" i="33"/>
  <c r="HE47" i="33"/>
  <c r="HD47" i="33"/>
  <c r="HC47" i="33"/>
  <c r="HB47" i="33"/>
  <c r="HA47" i="33"/>
  <c r="GZ47" i="33"/>
  <c r="II46" i="33"/>
  <c r="IH46" i="33"/>
  <c r="IG46" i="33"/>
  <c r="IF46" i="33"/>
  <c r="IE46" i="33"/>
  <c r="ID46" i="33"/>
  <c r="IC46" i="33"/>
  <c r="IB46" i="33"/>
  <c r="IA46" i="33"/>
  <c r="HZ46" i="33"/>
  <c r="HY46" i="33"/>
  <c r="HX46" i="33"/>
  <c r="HW46" i="33"/>
  <c r="HV46" i="33"/>
  <c r="HU46" i="33"/>
  <c r="HT46" i="33"/>
  <c r="HS46" i="33"/>
  <c r="HR46" i="33"/>
  <c r="HQ46" i="33"/>
  <c r="HP46" i="33"/>
  <c r="HO46" i="33"/>
  <c r="HN46" i="33"/>
  <c r="HM46" i="33"/>
  <c r="HL46" i="33"/>
  <c r="HK46" i="33"/>
  <c r="HJ46" i="33"/>
  <c r="HI46" i="33"/>
  <c r="HH46" i="33"/>
  <c r="HG46" i="33"/>
  <c r="HF46" i="33"/>
  <c r="HE46" i="33"/>
  <c r="HD46" i="33"/>
  <c r="HC46" i="33"/>
  <c r="HB46" i="33"/>
  <c r="HA46" i="33"/>
  <c r="GZ46" i="33"/>
  <c r="II45" i="33"/>
  <c r="IH45" i="33"/>
  <c r="IG45" i="33"/>
  <c r="IF45" i="33"/>
  <c r="IE45" i="33"/>
  <c r="ID45" i="33"/>
  <c r="IC45" i="33"/>
  <c r="IB45" i="33"/>
  <c r="IA45" i="33"/>
  <c r="HZ45" i="33"/>
  <c r="HY45" i="33"/>
  <c r="HX45" i="33"/>
  <c r="HW45" i="33"/>
  <c r="HV45" i="33"/>
  <c r="HU45" i="33"/>
  <c r="HT45" i="33"/>
  <c r="HS45" i="33"/>
  <c r="HR45" i="33"/>
  <c r="HQ45" i="33"/>
  <c r="HP45" i="33"/>
  <c r="HO45" i="33"/>
  <c r="HN45" i="33"/>
  <c r="HM45" i="33"/>
  <c r="HL45" i="33"/>
  <c r="HK45" i="33"/>
  <c r="HJ45" i="33"/>
  <c r="HI45" i="33"/>
  <c r="HH45" i="33"/>
  <c r="HG45" i="33"/>
  <c r="HF45" i="33"/>
  <c r="HE45" i="33"/>
  <c r="HD45" i="33"/>
  <c r="HC45" i="33"/>
  <c r="HB45" i="33"/>
  <c r="HA45" i="33"/>
  <c r="GZ45" i="33"/>
  <c r="II44" i="33"/>
  <c r="IH44" i="33"/>
  <c r="IG44" i="33"/>
  <c r="IF44" i="33"/>
  <c r="IE44" i="33"/>
  <c r="ID44" i="33"/>
  <c r="IC44" i="33"/>
  <c r="IB44" i="33"/>
  <c r="IA44" i="33"/>
  <c r="HZ44" i="33"/>
  <c r="HY44" i="33"/>
  <c r="HX44" i="33"/>
  <c r="HW44" i="33"/>
  <c r="HV44" i="33"/>
  <c r="HU44" i="33"/>
  <c r="HT44" i="33"/>
  <c r="HS44" i="33"/>
  <c r="HR44" i="33"/>
  <c r="HQ44" i="33"/>
  <c r="HP44" i="33"/>
  <c r="HO44" i="33"/>
  <c r="HN44" i="33"/>
  <c r="HM44" i="33"/>
  <c r="HL44" i="33"/>
  <c r="HK44" i="33"/>
  <c r="HJ44" i="33"/>
  <c r="HI44" i="33"/>
  <c r="HH44" i="33"/>
  <c r="HG44" i="33"/>
  <c r="HF44" i="33"/>
  <c r="HE44" i="33"/>
  <c r="HD44" i="33"/>
  <c r="HC44" i="33"/>
  <c r="HB44" i="33"/>
  <c r="HA44" i="33"/>
  <c r="GZ44" i="33"/>
  <c r="II43" i="33"/>
  <c r="IH43" i="33"/>
  <c r="IG43" i="33"/>
  <c r="IF43" i="33"/>
  <c r="IE43" i="33"/>
  <c r="ID43" i="33"/>
  <c r="IC43" i="33"/>
  <c r="IB43" i="33"/>
  <c r="IA43" i="33"/>
  <c r="HZ43" i="33"/>
  <c r="HY43" i="33"/>
  <c r="HX43" i="33"/>
  <c r="HW43" i="33"/>
  <c r="HV43" i="33"/>
  <c r="HU43" i="33"/>
  <c r="HT43" i="33"/>
  <c r="HS43" i="33"/>
  <c r="HR43" i="33"/>
  <c r="HQ43" i="33"/>
  <c r="HP43" i="33"/>
  <c r="HO43" i="33"/>
  <c r="HN43" i="33"/>
  <c r="HM43" i="33"/>
  <c r="HL43" i="33"/>
  <c r="HK43" i="33"/>
  <c r="HJ43" i="33"/>
  <c r="HI43" i="33"/>
  <c r="HH43" i="33"/>
  <c r="HG43" i="33"/>
  <c r="HF43" i="33"/>
  <c r="HE43" i="33"/>
  <c r="HD43" i="33"/>
  <c r="HC43" i="33"/>
  <c r="HB43" i="33"/>
  <c r="HA43" i="33"/>
  <c r="GZ43" i="33"/>
  <c r="II42" i="33"/>
  <c r="IH42" i="33"/>
  <c r="IG42" i="33"/>
  <c r="IF42" i="33"/>
  <c r="IE42" i="33"/>
  <c r="ID42" i="33"/>
  <c r="IC42" i="33"/>
  <c r="IB42" i="33"/>
  <c r="IA42" i="33"/>
  <c r="HZ42" i="33"/>
  <c r="HY42" i="33"/>
  <c r="HX42" i="33"/>
  <c r="HW42" i="33"/>
  <c r="HV42" i="33"/>
  <c r="HU42" i="33"/>
  <c r="HT42" i="33"/>
  <c r="HS42" i="33"/>
  <c r="HR42" i="33"/>
  <c r="HQ42" i="33"/>
  <c r="HP42" i="33"/>
  <c r="HO42" i="33"/>
  <c r="HN42" i="33"/>
  <c r="HM42" i="33"/>
  <c r="HL42" i="33"/>
  <c r="HK42" i="33"/>
  <c r="HJ42" i="33"/>
  <c r="HI42" i="33"/>
  <c r="HH42" i="33"/>
  <c r="HG42" i="33"/>
  <c r="HF42" i="33"/>
  <c r="HE42" i="33"/>
  <c r="HD42" i="33"/>
  <c r="HC42" i="33"/>
  <c r="HB42" i="33"/>
  <c r="HA42" i="33"/>
  <c r="GZ42" i="33"/>
  <c r="II41" i="33"/>
  <c r="IH41" i="33"/>
  <c r="IG41" i="33"/>
  <c r="IF41" i="33"/>
  <c r="IE41" i="33"/>
  <c r="ID41" i="33"/>
  <c r="IC41" i="33"/>
  <c r="IB41" i="33"/>
  <c r="IA41" i="33"/>
  <c r="HZ41" i="33"/>
  <c r="HY41" i="33"/>
  <c r="HX41" i="33"/>
  <c r="HW41" i="33"/>
  <c r="HV41" i="33"/>
  <c r="HU41" i="33"/>
  <c r="HT41" i="33"/>
  <c r="HS41" i="33"/>
  <c r="HR41" i="33"/>
  <c r="HQ41" i="33"/>
  <c r="HP41" i="33"/>
  <c r="HO41" i="33"/>
  <c r="HN41" i="33"/>
  <c r="HM41" i="33"/>
  <c r="HL41" i="33"/>
  <c r="HK41" i="33"/>
  <c r="HJ41" i="33"/>
  <c r="HI41" i="33"/>
  <c r="HH41" i="33"/>
  <c r="HG41" i="33"/>
  <c r="HF41" i="33"/>
  <c r="HE41" i="33"/>
  <c r="HD41" i="33"/>
  <c r="HC41" i="33"/>
  <c r="HB41" i="33"/>
  <c r="HA41" i="33"/>
  <c r="GZ41" i="33"/>
  <c r="II38" i="33"/>
  <c r="IH38" i="33"/>
  <c r="IG38" i="33"/>
  <c r="IF38" i="33"/>
  <c r="IE38" i="33"/>
  <c r="ID38" i="33"/>
  <c r="IC38" i="33"/>
  <c r="IB38" i="33"/>
  <c r="IA38" i="33"/>
  <c r="HZ38" i="33"/>
  <c r="HY38" i="33"/>
  <c r="HX38" i="33"/>
  <c r="HW38" i="33"/>
  <c r="HV38" i="33"/>
  <c r="HU38" i="33"/>
  <c r="HT38" i="33"/>
  <c r="HS38" i="33"/>
  <c r="HR38" i="33"/>
  <c r="HQ38" i="33"/>
  <c r="HP38" i="33"/>
  <c r="HO38" i="33"/>
  <c r="HN38" i="33"/>
  <c r="HM38" i="33"/>
  <c r="HL38" i="33"/>
  <c r="HK38" i="33"/>
  <c r="HJ38" i="33"/>
  <c r="HI38" i="33"/>
  <c r="HH38" i="33"/>
  <c r="HG38" i="33"/>
  <c r="HF38" i="33"/>
  <c r="HE38" i="33"/>
  <c r="HD38" i="33"/>
  <c r="HC38" i="33"/>
  <c r="HB38" i="33"/>
  <c r="HA38" i="33"/>
  <c r="GZ38" i="33"/>
  <c r="II37" i="33"/>
  <c r="IH37" i="33"/>
  <c r="IG37" i="33"/>
  <c r="IF37" i="33"/>
  <c r="IE37" i="33"/>
  <c r="ID37" i="33"/>
  <c r="IC37" i="33"/>
  <c r="IB37" i="33"/>
  <c r="IA37" i="33"/>
  <c r="HZ37" i="33"/>
  <c r="HY37" i="33"/>
  <c r="HX37" i="33"/>
  <c r="HW37" i="33"/>
  <c r="HV37" i="33"/>
  <c r="HU37" i="33"/>
  <c r="HT37" i="33"/>
  <c r="HS37" i="33"/>
  <c r="HR37" i="33"/>
  <c r="HQ37" i="33"/>
  <c r="HP37" i="33"/>
  <c r="HO37" i="33"/>
  <c r="HN37" i="33"/>
  <c r="HM37" i="33"/>
  <c r="HL37" i="33"/>
  <c r="HK37" i="33"/>
  <c r="HJ37" i="33"/>
  <c r="HI37" i="33"/>
  <c r="HH37" i="33"/>
  <c r="HG37" i="33"/>
  <c r="HF37" i="33"/>
  <c r="HE37" i="33"/>
  <c r="HD37" i="33"/>
  <c r="HC37" i="33"/>
  <c r="HB37" i="33"/>
  <c r="HA37" i="33"/>
  <c r="GZ37" i="33"/>
  <c r="II36" i="33"/>
  <c r="IH36" i="33"/>
  <c r="IG36" i="33"/>
  <c r="IF36" i="33"/>
  <c r="IE36" i="33"/>
  <c r="ID36" i="33"/>
  <c r="IC36" i="33"/>
  <c r="IB36" i="33"/>
  <c r="IA36" i="33"/>
  <c r="HZ36" i="33"/>
  <c r="HY36" i="33"/>
  <c r="HX36" i="33"/>
  <c r="HW36" i="33"/>
  <c r="HV36" i="33"/>
  <c r="HU36" i="33"/>
  <c r="HT36" i="33"/>
  <c r="HS36" i="33"/>
  <c r="HR36" i="33"/>
  <c r="HQ36" i="33"/>
  <c r="HP36" i="33"/>
  <c r="HO36" i="33"/>
  <c r="HN36" i="33"/>
  <c r="HM36" i="33"/>
  <c r="HL36" i="33"/>
  <c r="HK36" i="33"/>
  <c r="HJ36" i="33"/>
  <c r="HI36" i="33"/>
  <c r="HH36" i="33"/>
  <c r="HG36" i="33"/>
  <c r="HF36" i="33"/>
  <c r="HE36" i="33"/>
  <c r="HD36" i="33"/>
  <c r="HC36" i="33"/>
  <c r="HB36" i="33"/>
  <c r="HA36" i="33"/>
  <c r="GZ36" i="33"/>
  <c r="II35" i="33"/>
  <c r="IH35" i="33"/>
  <c r="IG35" i="33"/>
  <c r="IF35" i="33"/>
  <c r="IE35" i="33"/>
  <c r="ID35" i="33"/>
  <c r="IC35" i="33"/>
  <c r="IB35" i="33"/>
  <c r="IA35" i="33"/>
  <c r="HZ35" i="33"/>
  <c r="HY35" i="33"/>
  <c r="HX35" i="33"/>
  <c r="HW35" i="33"/>
  <c r="HV35" i="33"/>
  <c r="HU35" i="33"/>
  <c r="HT35" i="33"/>
  <c r="HS35" i="33"/>
  <c r="HR35" i="33"/>
  <c r="HQ35" i="33"/>
  <c r="HP35" i="33"/>
  <c r="HO35" i="33"/>
  <c r="HN35" i="33"/>
  <c r="HM35" i="33"/>
  <c r="HL35" i="33"/>
  <c r="HK35" i="33"/>
  <c r="HJ35" i="33"/>
  <c r="HI35" i="33"/>
  <c r="HH35" i="33"/>
  <c r="HG35" i="33"/>
  <c r="HF35" i="33"/>
  <c r="HE35" i="33"/>
  <c r="HD35" i="33"/>
  <c r="HC35" i="33"/>
  <c r="HB35" i="33"/>
  <c r="HA35" i="33"/>
  <c r="GZ35" i="33"/>
  <c r="II34" i="33"/>
  <c r="IH34" i="33"/>
  <c r="IG34" i="33"/>
  <c r="IF34" i="33"/>
  <c r="IE34" i="33"/>
  <c r="ID34" i="33"/>
  <c r="IC34" i="33"/>
  <c r="IB34" i="33"/>
  <c r="IA34" i="33"/>
  <c r="HZ34" i="33"/>
  <c r="HY34" i="33"/>
  <c r="HX34" i="33"/>
  <c r="HW34" i="33"/>
  <c r="HV34" i="33"/>
  <c r="HU34" i="33"/>
  <c r="HT34" i="33"/>
  <c r="HS34" i="33"/>
  <c r="HR34" i="33"/>
  <c r="HQ34" i="33"/>
  <c r="HP34" i="33"/>
  <c r="HO34" i="33"/>
  <c r="HN34" i="33"/>
  <c r="HM34" i="33"/>
  <c r="HL34" i="33"/>
  <c r="HK34" i="33"/>
  <c r="HJ34" i="33"/>
  <c r="HI34" i="33"/>
  <c r="HH34" i="33"/>
  <c r="HG34" i="33"/>
  <c r="HF34" i="33"/>
  <c r="HE34" i="33"/>
  <c r="HD34" i="33"/>
  <c r="HC34" i="33"/>
  <c r="HB34" i="33"/>
  <c r="HA34" i="33"/>
  <c r="GZ34" i="33"/>
  <c r="II33" i="33"/>
  <c r="IH33" i="33"/>
  <c r="IG33" i="33"/>
  <c r="IF33" i="33"/>
  <c r="IE33" i="33"/>
  <c r="ID33" i="33"/>
  <c r="IC33" i="33"/>
  <c r="IB33" i="33"/>
  <c r="IA33" i="33"/>
  <c r="HZ33" i="33"/>
  <c r="HY33" i="33"/>
  <c r="HX33" i="33"/>
  <c r="HW33" i="33"/>
  <c r="HV33" i="33"/>
  <c r="HU33" i="33"/>
  <c r="HT33" i="33"/>
  <c r="HS33" i="33"/>
  <c r="HR33" i="33"/>
  <c r="HQ33" i="33"/>
  <c r="HP33" i="33"/>
  <c r="HO33" i="33"/>
  <c r="HN33" i="33"/>
  <c r="HM33" i="33"/>
  <c r="HL33" i="33"/>
  <c r="HK33" i="33"/>
  <c r="HJ33" i="33"/>
  <c r="HI33" i="33"/>
  <c r="HH33" i="33"/>
  <c r="HG33" i="33"/>
  <c r="HF33" i="33"/>
  <c r="HE33" i="33"/>
  <c r="HD33" i="33"/>
  <c r="HC33" i="33"/>
  <c r="HB33" i="33"/>
  <c r="HA33" i="33"/>
  <c r="GZ33" i="33"/>
  <c r="II32" i="33"/>
  <c r="IH32" i="33"/>
  <c r="IG32" i="33"/>
  <c r="IF32" i="33"/>
  <c r="IE32" i="33"/>
  <c r="ID32" i="33"/>
  <c r="IC32" i="33"/>
  <c r="IB32" i="33"/>
  <c r="IA32" i="33"/>
  <c r="HZ32" i="33"/>
  <c r="HY32" i="33"/>
  <c r="HX32" i="33"/>
  <c r="HW32" i="33"/>
  <c r="HV32" i="33"/>
  <c r="HU32" i="33"/>
  <c r="HT32" i="33"/>
  <c r="HS32" i="33"/>
  <c r="HR32" i="33"/>
  <c r="HQ32" i="33"/>
  <c r="HP32" i="33"/>
  <c r="HO32" i="33"/>
  <c r="HN32" i="33"/>
  <c r="HM32" i="33"/>
  <c r="HL32" i="33"/>
  <c r="HK32" i="33"/>
  <c r="HJ32" i="33"/>
  <c r="HI32" i="33"/>
  <c r="HH32" i="33"/>
  <c r="HG32" i="33"/>
  <c r="HF32" i="33"/>
  <c r="HE32" i="33"/>
  <c r="HD32" i="33"/>
  <c r="HC32" i="33"/>
  <c r="HB32" i="33"/>
  <c r="HA32" i="33"/>
  <c r="GZ32" i="33"/>
  <c r="II31" i="33"/>
  <c r="IH31" i="33"/>
  <c r="IG31" i="33"/>
  <c r="IF31" i="33"/>
  <c r="IE31" i="33"/>
  <c r="ID31" i="33"/>
  <c r="IC31" i="33"/>
  <c r="IB31" i="33"/>
  <c r="IA31" i="33"/>
  <c r="HZ31" i="33"/>
  <c r="HY31" i="33"/>
  <c r="HX31" i="33"/>
  <c r="HW31" i="33"/>
  <c r="HV31" i="33"/>
  <c r="HU31" i="33"/>
  <c r="HT31" i="33"/>
  <c r="HS31" i="33"/>
  <c r="HR31" i="33"/>
  <c r="HQ31" i="33"/>
  <c r="HP31" i="33"/>
  <c r="HO31" i="33"/>
  <c r="HN31" i="33"/>
  <c r="HM31" i="33"/>
  <c r="HL31" i="33"/>
  <c r="HK31" i="33"/>
  <c r="HJ31" i="33"/>
  <c r="HI31" i="33"/>
  <c r="HH31" i="33"/>
  <c r="HG31" i="33"/>
  <c r="HF31" i="33"/>
  <c r="HE31" i="33"/>
  <c r="HD31" i="33"/>
  <c r="HC31" i="33"/>
  <c r="HB31" i="33"/>
  <c r="HA31" i="33"/>
  <c r="GZ31" i="33"/>
  <c r="II30" i="33"/>
  <c r="IH30" i="33"/>
  <c r="IG30" i="33"/>
  <c r="IF30" i="33"/>
  <c r="IE30" i="33"/>
  <c r="ID30" i="33"/>
  <c r="IC30" i="33"/>
  <c r="IB30" i="33"/>
  <c r="IA30" i="33"/>
  <c r="HZ30" i="33"/>
  <c r="HY30" i="33"/>
  <c r="HX30" i="33"/>
  <c r="HW30" i="33"/>
  <c r="HV30" i="33"/>
  <c r="HU30" i="33"/>
  <c r="HT30" i="33"/>
  <c r="HS30" i="33"/>
  <c r="HR30" i="33"/>
  <c r="HQ30" i="33"/>
  <c r="HP30" i="33"/>
  <c r="HO30" i="33"/>
  <c r="HN30" i="33"/>
  <c r="HM30" i="33"/>
  <c r="HL30" i="33"/>
  <c r="HK30" i="33"/>
  <c r="HJ30" i="33"/>
  <c r="HI30" i="33"/>
  <c r="HH30" i="33"/>
  <c r="HG30" i="33"/>
  <c r="HF30" i="33"/>
  <c r="HE30" i="33"/>
  <c r="HD30" i="33"/>
  <c r="HC30" i="33"/>
  <c r="HB30" i="33"/>
  <c r="HA30" i="33"/>
  <c r="GZ30" i="33"/>
  <c r="II29" i="33"/>
  <c r="IH29" i="33"/>
  <c r="IG29" i="33"/>
  <c r="IF29" i="33"/>
  <c r="IE29" i="33"/>
  <c r="ID29" i="33"/>
  <c r="IC29" i="33"/>
  <c r="IB29" i="33"/>
  <c r="IA29" i="33"/>
  <c r="HZ29" i="33"/>
  <c r="HY29" i="33"/>
  <c r="HX29" i="33"/>
  <c r="HW29" i="33"/>
  <c r="HV29" i="33"/>
  <c r="HU29" i="33"/>
  <c r="HT29" i="33"/>
  <c r="HS29" i="33"/>
  <c r="HR29" i="33"/>
  <c r="HQ29" i="33"/>
  <c r="HP29" i="33"/>
  <c r="HO29" i="33"/>
  <c r="HN29" i="33"/>
  <c r="HM29" i="33"/>
  <c r="HL29" i="33"/>
  <c r="HK29" i="33"/>
  <c r="HJ29" i="33"/>
  <c r="HI29" i="33"/>
  <c r="HH29" i="33"/>
  <c r="HG29" i="33"/>
  <c r="HF29" i="33"/>
  <c r="HE29" i="33"/>
  <c r="HD29" i="33"/>
  <c r="HC29" i="33"/>
  <c r="HB29" i="33"/>
  <c r="HA29" i="33"/>
  <c r="GZ29" i="33"/>
  <c r="II28" i="33"/>
  <c r="IH28" i="33"/>
  <c r="IG28" i="33"/>
  <c r="IF28" i="33"/>
  <c r="IE28" i="33"/>
  <c r="ID28" i="33"/>
  <c r="IC28" i="33"/>
  <c r="IB28" i="33"/>
  <c r="IA28" i="33"/>
  <c r="HZ28" i="33"/>
  <c r="HY28" i="33"/>
  <c r="HX28" i="33"/>
  <c r="HW28" i="33"/>
  <c r="HV28" i="33"/>
  <c r="HU28" i="33"/>
  <c r="HT28" i="33"/>
  <c r="HS28" i="33"/>
  <c r="HR28" i="33"/>
  <c r="HQ28" i="33"/>
  <c r="HP28" i="33"/>
  <c r="HO28" i="33"/>
  <c r="HN28" i="33"/>
  <c r="HM28" i="33"/>
  <c r="HL28" i="33"/>
  <c r="HK28" i="33"/>
  <c r="HJ28" i="33"/>
  <c r="HI28" i="33"/>
  <c r="HH28" i="33"/>
  <c r="HG28" i="33"/>
  <c r="HF28" i="33"/>
  <c r="HE28" i="33"/>
  <c r="HD28" i="33"/>
  <c r="HC28" i="33"/>
  <c r="HB28" i="33"/>
  <c r="HA28" i="33"/>
  <c r="GZ28" i="33"/>
  <c r="II27" i="33"/>
  <c r="IH27" i="33"/>
  <c r="IG27" i="33"/>
  <c r="IF27" i="33"/>
  <c r="IE27" i="33"/>
  <c r="ID27" i="33"/>
  <c r="IC27" i="33"/>
  <c r="IB27" i="33"/>
  <c r="IA27" i="33"/>
  <c r="HZ27" i="33"/>
  <c r="HY27" i="33"/>
  <c r="HX27" i="33"/>
  <c r="HW27" i="33"/>
  <c r="HV27" i="33"/>
  <c r="HU27" i="33"/>
  <c r="HT27" i="33"/>
  <c r="HS27" i="33"/>
  <c r="HR27" i="33"/>
  <c r="HQ27" i="33"/>
  <c r="HP27" i="33"/>
  <c r="HO27" i="33"/>
  <c r="HN27" i="33"/>
  <c r="HM27" i="33"/>
  <c r="HL27" i="33"/>
  <c r="HK27" i="33"/>
  <c r="HJ27" i="33"/>
  <c r="HI27" i="33"/>
  <c r="HH27" i="33"/>
  <c r="HG27" i="33"/>
  <c r="HF27" i="33"/>
  <c r="HE27" i="33"/>
  <c r="HD27" i="33"/>
  <c r="HC27" i="33"/>
  <c r="HB27" i="33"/>
  <c r="HA27" i="33"/>
  <c r="GZ27" i="33"/>
  <c r="II26" i="33"/>
  <c r="IH26" i="33"/>
  <c r="IG26" i="33"/>
  <c r="IF26" i="33"/>
  <c r="IE26" i="33"/>
  <c r="ID26" i="33"/>
  <c r="IC26" i="33"/>
  <c r="IB26" i="33"/>
  <c r="IA26" i="33"/>
  <c r="HZ26" i="33"/>
  <c r="HY26" i="33"/>
  <c r="HX26" i="33"/>
  <c r="HW26" i="33"/>
  <c r="HV26" i="33"/>
  <c r="HU26" i="33"/>
  <c r="HT26" i="33"/>
  <c r="HS26" i="33"/>
  <c r="HR26" i="33"/>
  <c r="HQ26" i="33"/>
  <c r="HP26" i="33"/>
  <c r="HO26" i="33"/>
  <c r="HN26" i="33"/>
  <c r="HM26" i="33"/>
  <c r="HL26" i="33"/>
  <c r="HK26" i="33"/>
  <c r="HJ26" i="33"/>
  <c r="HI26" i="33"/>
  <c r="HH26" i="33"/>
  <c r="HG26" i="33"/>
  <c r="HF26" i="33"/>
  <c r="HE26" i="33"/>
  <c r="HD26" i="33"/>
  <c r="HC26" i="33"/>
  <c r="HB26" i="33"/>
  <c r="HA26" i="33"/>
  <c r="GZ26" i="33"/>
  <c r="II23" i="33"/>
  <c r="IH23" i="33"/>
  <c r="IG23" i="33"/>
  <c r="IF23" i="33"/>
  <c r="IE23" i="33"/>
  <c r="ID23" i="33"/>
  <c r="IC23" i="33"/>
  <c r="IB23" i="33"/>
  <c r="IA23" i="33"/>
  <c r="HZ23" i="33"/>
  <c r="HY23" i="33"/>
  <c r="HX23" i="33"/>
  <c r="HW23" i="33"/>
  <c r="HV23" i="33"/>
  <c r="HU23" i="33"/>
  <c r="HT23" i="33"/>
  <c r="HS23" i="33"/>
  <c r="HR23" i="33"/>
  <c r="HQ23" i="33"/>
  <c r="HP23" i="33"/>
  <c r="HO23" i="33"/>
  <c r="HN23" i="33"/>
  <c r="HM23" i="33"/>
  <c r="HL23" i="33"/>
  <c r="HK23" i="33"/>
  <c r="HJ23" i="33"/>
  <c r="HI23" i="33"/>
  <c r="HH23" i="33"/>
  <c r="HG23" i="33"/>
  <c r="HF23" i="33"/>
  <c r="HE23" i="33"/>
  <c r="HD23" i="33"/>
  <c r="HC23" i="33"/>
  <c r="HB23" i="33"/>
  <c r="HA23" i="33"/>
  <c r="GZ23" i="33"/>
  <c r="II22" i="33"/>
  <c r="IH22" i="33"/>
  <c r="IG22" i="33"/>
  <c r="IF22" i="33"/>
  <c r="IE22" i="33"/>
  <c r="ID22" i="33"/>
  <c r="IC22" i="33"/>
  <c r="IB22" i="33"/>
  <c r="IA22" i="33"/>
  <c r="HZ22" i="33"/>
  <c r="HY22" i="33"/>
  <c r="HX22" i="33"/>
  <c r="HW22" i="33"/>
  <c r="HV22" i="33"/>
  <c r="HU22" i="33"/>
  <c r="HT22" i="33"/>
  <c r="HS22" i="33"/>
  <c r="HR22" i="33"/>
  <c r="HQ22" i="33"/>
  <c r="HP22" i="33"/>
  <c r="HO22" i="33"/>
  <c r="HN22" i="33"/>
  <c r="HM22" i="33"/>
  <c r="HL22" i="33"/>
  <c r="HK22" i="33"/>
  <c r="HJ22" i="33"/>
  <c r="HI22" i="33"/>
  <c r="HH22" i="33"/>
  <c r="HG22" i="33"/>
  <c r="HF22" i="33"/>
  <c r="HE22" i="33"/>
  <c r="HD22" i="33"/>
  <c r="HC22" i="33"/>
  <c r="HB22" i="33"/>
  <c r="HA22" i="33"/>
  <c r="GZ22" i="33"/>
  <c r="II21" i="33"/>
  <c r="IH21" i="33"/>
  <c r="IG21" i="33"/>
  <c r="IF21" i="33"/>
  <c r="IE21" i="33"/>
  <c r="ID21" i="33"/>
  <c r="IC21" i="33"/>
  <c r="IB21" i="33"/>
  <c r="IA21" i="33"/>
  <c r="HZ21" i="33"/>
  <c r="HY21" i="33"/>
  <c r="HX21" i="33"/>
  <c r="HW21" i="33"/>
  <c r="HV21" i="33"/>
  <c r="HU21" i="33"/>
  <c r="HT21" i="33"/>
  <c r="HS21" i="33"/>
  <c r="HR21" i="33"/>
  <c r="HQ21" i="33"/>
  <c r="HP21" i="33"/>
  <c r="HO21" i="33"/>
  <c r="HN21" i="33"/>
  <c r="HM21" i="33"/>
  <c r="HL21" i="33"/>
  <c r="HK21" i="33"/>
  <c r="HJ21" i="33"/>
  <c r="HI21" i="33"/>
  <c r="HH21" i="33"/>
  <c r="HG21" i="33"/>
  <c r="HF21" i="33"/>
  <c r="HE21" i="33"/>
  <c r="HD21" i="33"/>
  <c r="HC21" i="33"/>
  <c r="HB21" i="33"/>
  <c r="HA21" i="33"/>
  <c r="GZ21" i="33"/>
  <c r="II20" i="33"/>
  <c r="IH20" i="33"/>
  <c r="IG20" i="33"/>
  <c r="IF20" i="33"/>
  <c r="IE20" i="33"/>
  <c r="ID20" i="33"/>
  <c r="IC20" i="33"/>
  <c r="IB20" i="33"/>
  <c r="IA20" i="33"/>
  <c r="HZ20" i="33"/>
  <c r="HY20" i="33"/>
  <c r="HX20" i="33"/>
  <c r="HW20" i="33"/>
  <c r="HV20" i="33"/>
  <c r="HU20" i="33"/>
  <c r="HT20" i="33"/>
  <c r="HS20" i="33"/>
  <c r="HR20" i="33"/>
  <c r="HQ20" i="33"/>
  <c r="HP20" i="33"/>
  <c r="HO20" i="33"/>
  <c r="HN20" i="33"/>
  <c r="HM20" i="33"/>
  <c r="HL20" i="33"/>
  <c r="HK20" i="33"/>
  <c r="HJ20" i="33"/>
  <c r="HI20" i="33"/>
  <c r="HH20" i="33"/>
  <c r="HG20" i="33"/>
  <c r="HF20" i="33"/>
  <c r="HE20" i="33"/>
  <c r="HD20" i="33"/>
  <c r="HC20" i="33"/>
  <c r="HB20" i="33"/>
  <c r="HA20" i="33"/>
  <c r="GZ20" i="33"/>
  <c r="II19" i="33"/>
  <c r="IH19" i="33"/>
  <c r="IG19" i="33"/>
  <c r="IF19" i="33"/>
  <c r="IE19" i="33"/>
  <c r="ID19" i="33"/>
  <c r="IC19" i="33"/>
  <c r="IB19" i="33"/>
  <c r="IA19" i="33"/>
  <c r="HZ19" i="33"/>
  <c r="HY19" i="33"/>
  <c r="HX19" i="33"/>
  <c r="HW19" i="33"/>
  <c r="HV19" i="33"/>
  <c r="HU19" i="33"/>
  <c r="HT19" i="33"/>
  <c r="HS19" i="33"/>
  <c r="HR19" i="33"/>
  <c r="HQ19" i="33"/>
  <c r="HP19" i="33"/>
  <c r="HO19" i="33"/>
  <c r="HN19" i="33"/>
  <c r="HM19" i="33"/>
  <c r="HL19" i="33"/>
  <c r="HK19" i="33"/>
  <c r="HJ19" i="33"/>
  <c r="HI19" i="33"/>
  <c r="HH19" i="33"/>
  <c r="HG19" i="33"/>
  <c r="HF19" i="33"/>
  <c r="HE19" i="33"/>
  <c r="HD19" i="33"/>
  <c r="HC19" i="33"/>
  <c r="HB19" i="33"/>
  <c r="HA19" i="33"/>
  <c r="GZ19" i="33"/>
  <c r="II18" i="33"/>
  <c r="IH18" i="33"/>
  <c r="IG18" i="33"/>
  <c r="IF18" i="33"/>
  <c r="IE18" i="33"/>
  <c r="ID18" i="33"/>
  <c r="IC18" i="33"/>
  <c r="IB18" i="33"/>
  <c r="IA18" i="33"/>
  <c r="HZ18" i="33"/>
  <c r="HY18" i="33"/>
  <c r="HX18" i="33"/>
  <c r="HW18" i="33"/>
  <c r="HV18" i="33"/>
  <c r="HU18" i="33"/>
  <c r="HT18" i="33"/>
  <c r="HS18" i="33"/>
  <c r="HR18" i="33"/>
  <c r="HQ18" i="33"/>
  <c r="HP18" i="33"/>
  <c r="HO18" i="33"/>
  <c r="HN18" i="33"/>
  <c r="HM18" i="33"/>
  <c r="HL18" i="33"/>
  <c r="HK18" i="33"/>
  <c r="HJ18" i="33"/>
  <c r="HI18" i="33"/>
  <c r="HH18" i="33"/>
  <c r="HG18" i="33"/>
  <c r="HF18" i="33"/>
  <c r="HE18" i="33"/>
  <c r="HD18" i="33"/>
  <c r="HC18" i="33"/>
  <c r="HB18" i="33"/>
  <c r="HA18" i="33"/>
  <c r="GZ18" i="33"/>
  <c r="II17" i="33"/>
  <c r="IH17" i="33"/>
  <c r="IG17" i="33"/>
  <c r="IF17" i="33"/>
  <c r="IE17" i="33"/>
  <c r="ID17" i="33"/>
  <c r="IC17" i="33"/>
  <c r="IB17" i="33"/>
  <c r="IA17" i="33"/>
  <c r="HZ17" i="33"/>
  <c r="HY17" i="33"/>
  <c r="HX17" i="33"/>
  <c r="HW17" i="33"/>
  <c r="HV17" i="33"/>
  <c r="HU17" i="33"/>
  <c r="HT17" i="33"/>
  <c r="HS17" i="33"/>
  <c r="HR17" i="33"/>
  <c r="HQ17" i="33"/>
  <c r="HP17" i="33"/>
  <c r="HO17" i="33"/>
  <c r="HN17" i="33"/>
  <c r="HM17" i="33"/>
  <c r="HL17" i="33"/>
  <c r="HK17" i="33"/>
  <c r="HJ17" i="33"/>
  <c r="HI17" i="33"/>
  <c r="HH17" i="33"/>
  <c r="HG17" i="33"/>
  <c r="HF17" i="33"/>
  <c r="HE17" i="33"/>
  <c r="HD17" i="33"/>
  <c r="HC17" i="33"/>
  <c r="HB17" i="33"/>
  <c r="HA17" i="33"/>
  <c r="GZ17" i="33"/>
  <c r="II16" i="33"/>
  <c r="IH16" i="33"/>
  <c r="IG16" i="33"/>
  <c r="IF16" i="33"/>
  <c r="IE16" i="33"/>
  <c r="ID16" i="33"/>
  <c r="IC16" i="33"/>
  <c r="IB16" i="33"/>
  <c r="IA16" i="33"/>
  <c r="HZ16" i="33"/>
  <c r="HY16" i="33"/>
  <c r="HX16" i="33"/>
  <c r="HW16" i="33"/>
  <c r="HV16" i="33"/>
  <c r="HU16" i="33"/>
  <c r="HT16" i="33"/>
  <c r="HS16" i="33"/>
  <c r="HR16" i="33"/>
  <c r="HQ16" i="33"/>
  <c r="HP16" i="33"/>
  <c r="HO16" i="33"/>
  <c r="HN16" i="33"/>
  <c r="HM16" i="33"/>
  <c r="HL16" i="33"/>
  <c r="HK16" i="33"/>
  <c r="HJ16" i="33"/>
  <c r="HI16" i="33"/>
  <c r="HH16" i="33"/>
  <c r="HG16" i="33"/>
  <c r="HF16" i="33"/>
  <c r="HE16" i="33"/>
  <c r="HD16" i="33"/>
  <c r="HC16" i="33"/>
  <c r="HB16" i="33"/>
  <c r="HA16" i="33"/>
  <c r="GZ16" i="33"/>
  <c r="II15" i="33"/>
  <c r="IH15" i="33"/>
  <c r="IG15" i="33"/>
  <c r="IF15" i="33"/>
  <c r="IE15" i="33"/>
  <c r="ID15" i="33"/>
  <c r="IC15" i="33"/>
  <c r="IB15" i="33"/>
  <c r="IA15" i="33"/>
  <c r="HZ15" i="33"/>
  <c r="HY15" i="33"/>
  <c r="HX15" i="33"/>
  <c r="HW15" i="33"/>
  <c r="HV15" i="33"/>
  <c r="HU15" i="33"/>
  <c r="HT15" i="33"/>
  <c r="HS15" i="33"/>
  <c r="HR15" i="33"/>
  <c r="HQ15" i="33"/>
  <c r="HP15" i="33"/>
  <c r="HO15" i="33"/>
  <c r="HN15" i="33"/>
  <c r="HM15" i="33"/>
  <c r="HL15" i="33"/>
  <c r="HK15" i="33"/>
  <c r="HJ15" i="33"/>
  <c r="HI15" i="33"/>
  <c r="HH15" i="33"/>
  <c r="HG15" i="33"/>
  <c r="HF15" i="33"/>
  <c r="HE15" i="33"/>
  <c r="HD15" i="33"/>
  <c r="HC15" i="33"/>
  <c r="HB15" i="33"/>
  <c r="HA15" i="33"/>
  <c r="GZ15" i="33"/>
  <c r="II14" i="33"/>
  <c r="IH14" i="33"/>
  <c r="IG14" i="33"/>
  <c r="IF14" i="33"/>
  <c r="IE14" i="33"/>
  <c r="ID14" i="33"/>
  <c r="IC14" i="33"/>
  <c r="IB14" i="33"/>
  <c r="IA14" i="33"/>
  <c r="HZ14" i="33"/>
  <c r="HY14" i="33"/>
  <c r="HX14" i="33"/>
  <c r="HW14" i="33"/>
  <c r="HV14" i="33"/>
  <c r="HU14" i="33"/>
  <c r="HT14" i="33"/>
  <c r="HS14" i="33"/>
  <c r="HR14" i="33"/>
  <c r="HQ14" i="33"/>
  <c r="HP14" i="33"/>
  <c r="HO14" i="33"/>
  <c r="HN14" i="33"/>
  <c r="HM14" i="33"/>
  <c r="HL14" i="33"/>
  <c r="HK14" i="33"/>
  <c r="HJ14" i="33"/>
  <c r="HI14" i="33"/>
  <c r="HH14" i="33"/>
  <c r="HG14" i="33"/>
  <c r="HF14" i="33"/>
  <c r="HE14" i="33"/>
  <c r="HD14" i="33"/>
  <c r="HC14" i="33"/>
  <c r="HB14" i="33"/>
  <c r="HA14" i="33"/>
  <c r="GZ14" i="33"/>
  <c r="II13" i="33"/>
  <c r="IH13" i="33"/>
  <c r="IG13" i="33"/>
  <c r="IF13" i="33"/>
  <c r="IE13" i="33"/>
  <c r="ID13" i="33"/>
  <c r="IC13" i="33"/>
  <c r="IB13" i="33"/>
  <c r="IA13" i="33"/>
  <c r="HZ13" i="33"/>
  <c r="HY13" i="33"/>
  <c r="HX13" i="33"/>
  <c r="HW13" i="33"/>
  <c r="HV13" i="33"/>
  <c r="HU13" i="33"/>
  <c r="HT13" i="33"/>
  <c r="HS13" i="33"/>
  <c r="HR13" i="33"/>
  <c r="HQ13" i="33"/>
  <c r="HP13" i="33"/>
  <c r="HO13" i="33"/>
  <c r="HN13" i="33"/>
  <c r="HM13" i="33"/>
  <c r="HL13" i="33"/>
  <c r="HK13" i="33"/>
  <c r="HJ13" i="33"/>
  <c r="HI13" i="33"/>
  <c r="HH13" i="33"/>
  <c r="HG13" i="33"/>
  <c r="HF13" i="33"/>
  <c r="HE13" i="33"/>
  <c r="HD13" i="33"/>
  <c r="HC13" i="33"/>
  <c r="HB13" i="33"/>
  <c r="HA13" i="33"/>
  <c r="GZ13" i="33"/>
  <c r="II12" i="33"/>
  <c r="IH12" i="33"/>
  <c r="IG12" i="33"/>
  <c r="IF12" i="33"/>
  <c r="IE12" i="33"/>
  <c r="ID12" i="33"/>
  <c r="IC12" i="33"/>
  <c r="IB12" i="33"/>
  <c r="IA12" i="33"/>
  <c r="HZ12" i="33"/>
  <c r="HY12" i="33"/>
  <c r="HX12" i="33"/>
  <c r="HW12" i="33"/>
  <c r="HV12" i="33"/>
  <c r="HU12" i="33"/>
  <c r="HT12" i="33"/>
  <c r="HS12" i="33"/>
  <c r="HR12" i="33"/>
  <c r="HQ12" i="33"/>
  <c r="HP12" i="33"/>
  <c r="HO12" i="33"/>
  <c r="HN12" i="33"/>
  <c r="HM12" i="33"/>
  <c r="HL12" i="33"/>
  <c r="HK12" i="33"/>
  <c r="HJ12" i="33"/>
  <c r="HI12" i="33"/>
  <c r="HH12" i="33"/>
  <c r="HG12" i="33"/>
  <c r="HF12" i="33"/>
  <c r="HE12" i="33"/>
  <c r="HD12" i="33"/>
  <c r="HC12" i="33"/>
  <c r="HB12" i="33"/>
  <c r="HA12" i="33"/>
  <c r="GZ12" i="33"/>
  <c r="II11" i="33"/>
  <c r="IH11" i="33"/>
  <c r="IG11" i="33"/>
  <c r="IF11" i="33"/>
  <c r="IE11" i="33"/>
  <c r="ID11" i="33"/>
  <c r="IC11" i="33"/>
  <c r="IB11" i="33"/>
  <c r="IA11" i="33"/>
  <c r="HZ11" i="33"/>
  <c r="HY11" i="33"/>
  <c r="HX11" i="33"/>
  <c r="HW11" i="33"/>
  <c r="HV11" i="33"/>
  <c r="HU11" i="33"/>
  <c r="HT11" i="33"/>
  <c r="HS11" i="33"/>
  <c r="HR11" i="33"/>
  <c r="HQ11" i="33"/>
  <c r="HP11" i="33"/>
  <c r="HO11" i="33"/>
  <c r="HN11" i="33"/>
  <c r="HM11" i="33"/>
  <c r="HL11" i="33"/>
  <c r="HK11" i="33"/>
  <c r="HJ11" i="33"/>
  <c r="HI11" i="33"/>
  <c r="HH11" i="33"/>
  <c r="HG11" i="33"/>
  <c r="HF11" i="33"/>
  <c r="HE11" i="33"/>
  <c r="HD11" i="33"/>
  <c r="HC11" i="33"/>
  <c r="HB11" i="33"/>
  <c r="HA11" i="33"/>
  <c r="GZ11" i="33"/>
  <c r="II10" i="33"/>
  <c r="IH10" i="33"/>
  <c r="IG10" i="33"/>
  <c r="IF10" i="33"/>
  <c r="IE10" i="33"/>
  <c r="ID10" i="33"/>
  <c r="IC10" i="33"/>
  <c r="IB10" i="33"/>
  <c r="IA10" i="33"/>
  <c r="HZ10" i="33"/>
  <c r="HY10" i="33"/>
  <c r="HX10" i="33"/>
  <c r="HW10" i="33"/>
  <c r="HV10" i="33"/>
  <c r="HU10" i="33"/>
  <c r="HT10" i="33"/>
  <c r="HS10" i="33"/>
  <c r="HR10" i="33"/>
  <c r="HQ10" i="33"/>
  <c r="HP10" i="33"/>
  <c r="HO10" i="33"/>
  <c r="HN10" i="33"/>
  <c r="HM10" i="33"/>
  <c r="HL10" i="33"/>
  <c r="HK10" i="33"/>
  <c r="HJ10" i="33"/>
  <c r="HI10" i="33"/>
  <c r="HH10" i="33"/>
  <c r="HG10" i="33"/>
  <c r="HF10" i="33"/>
  <c r="HE10" i="33"/>
  <c r="HD10" i="33"/>
  <c r="HC10" i="33"/>
  <c r="HB10" i="33"/>
  <c r="HA10" i="33"/>
  <c r="GZ10" i="33"/>
  <c r="II9" i="33"/>
  <c r="IH9" i="33"/>
  <c r="IG9" i="33"/>
  <c r="IF9" i="33"/>
  <c r="IE9" i="33"/>
  <c r="ID9" i="33"/>
  <c r="IC9" i="33"/>
  <c r="IB9" i="33"/>
  <c r="IA9" i="33"/>
  <c r="HZ9" i="33"/>
  <c r="HY9" i="33"/>
  <c r="HX9" i="33"/>
  <c r="HW9" i="33"/>
  <c r="HV9" i="33"/>
  <c r="HU9" i="33"/>
  <c r="HT9" i="33"/>
  <c r="HS9" i="33"/>
  <c r="HR9" i="33"/>
  <c r="HQ9" i="33"/>
  <c r="HP9" i="33"/>
  <c r="HO9" i="33"/>
  <c r="HN9" i="33"/>
  <c r="HM9" i="33"/>
  <c r="HL9" i="33"/>
  <c r="HK9" i="33"/>
  <c r="HJ9" i="33"/>
  <c r="HI9" i="33"/>
  <c r="HH9" i="33"/>
  <c r="HG9" i="33"/>
  <c r="HF9" i="33"/>
  <c r="HE9" i="33"/>
  <c r="HD9" i="33"/>
  <c r="HC9" i="33"/>
  <c r="HB9" i="33"/>
  <c r="HA9" i="33"/>
  <c r="GZ9" i="33"/>
  <c r="II8" i="33"/>
  <c r="IH8" i="33"/>
  <c r="IG8" i="33"/>
  <c r="IF8" i="33"/>
  <c r="IE8" i="33"/>
  <c r="ID8" i="33"/>
  <c r="IC8" i="33"/>
  <c r="IB8" i="33"/>
  <c r="IA8" i="33"/>
  <c r="HZ8" i="33"/>
  <c r="HY8" i="33"/>
  <c r="HX8" i="33"/>
  <c r="HW8" i="33"/>
  <c r="HV8" i="33"/>
  <c r="HU8" i="33"/>
  <c r="HT8" i="33"/>
  <c r="HS8" i="33"/>
  <c r="HR8" i="33"/>
  <c r="HQ8" i="33"/>
  <c r="HP8" i="33"/>
  <c r="HO8" i="33"/>
  <c r="HN8" i="33"/>
  <c r="HM8" i="33"/>
  <c r="HL8" i="33"/>
  <c r="HK8" i="33"/>
  <c r="HJ8" i="33"/>
  <c r="HI8" i="33"/>
  <c r="HH8" i="33"/>
  <c r="HG8" i="33"/>
  <c r="HF8" i="33"/>
  <c r="HE8" i="33"/>
  <c r="HD8" i="33"/>
  <c r="HC8" i="33"/>
  <c r="HB8" i="33"/>
  <c r="HA8" i="33"/>
  <c r="GZ8" i="33"/>
  <c r="II5" i="33"/>
  <c r="IH5" i="33"/>
  <c r="IG5" i="33"/>
  <c r="IF5" i="33"/>
  <c r="IE5" i="33"/>
  <c r="ID5" i="33"/>
  <c r="IC5" i="33"/>
  <c r="IB5" i="33"/>
  <c r="IA5" i="33"/>
  <c r="HZ5" i="33"/>
  <c r="HY5" i="33"/>
  <c r="HX5" i="33"/>
  <c r="HW5" i="33"/>
  <c r="HV5" i="33"/>
  <c r="HU5" i="33"/>
  <c r="HT5" i="33"/>
  <c r="HS5" i="33"/>
  <c r="HR5" i="33"/>
  <c r="HQ5" i="33"/>
  <c r="HP5" i="33"/>
  <c r="HO5" i="33"/>
  <c r="HN5" i="33"/>
  <c r="HM5" i="33"/>
  <c r="HL5" i="33"/>
  <c r="HK5" i="33"/>
  <c r="HJ5" i="33"/>
  <c r="HI5" i="33"/>
  <c r="HH5" i="33"/>
  <c r="HG5" i="33"/>
  <c r="HF5" i="33"/>
  <c r="HE5" i="33"/>
  <c r="HD5" i="33"/>
  <c r="HC5" i="33"/>
  <c r="HB5" i="33"/>
  <c r="HA5" i="33"/>
  <c r="GT64" i="33"/>
  <c r="GS64" i="33"/>
  <c r="GR64" i="33"/>
  <c r="GQ64" i="33"/>
  <c r="GP64" i="33"/>
  <c r="GO64" i="33"/>
  <c r="GN64" i="33"/>
  <c r="GM64" i="33"/>
  <c r="GL64" i="33"/>
  <c r="GK64" i="33"/>
  <c r="GJ64" i="33"/>
  <c r="GI64" i="33"/>
  <c r="GH64" i="33"/>
  <c r="GG64" i="33"/>
  <c r="GF64" i="33"/>
  <c r="GE64" i="33"/>
  <c r="GD64" i="33"/>
  <c r="GC64" i="33"/>
  <c r="GB64" i="33"/>
  <c r="GA64" i="33"/>
  <c r="FZ64" i="33"/>
  <c r="FY64" i="33"/>
  <c r="FX64" i="33"/>
  <c r="FW64" i="33"/>
  <c r="FV64" i="33"/>
  <c r="FU64" i="33"/>
  <c r="FT64" i="33"/>
  <c r="FS64" i="33"/>
  <c r="FR64" i="33"/>
  <c r="FQ64" i="33"/>
  <c r="FP64" i="33"/>
  <c r="FO64" i="33"/>
  <c r="FN64" i="33"/>
  <c r="FM64" i="33"/>
  <c r="FL64" i="33"/>
  <c r="FK64" i="33"/>
  <c r="GT63" i="33"/>
  <c r="GS63" i="33"/>
  <c r="GR63" i="33"/>
  <c r="GQ63" i="33"/>
  <c r="GP63" i="33"/>
  <c r="GO63" i="33"/>
  <c r="GN63" i="33"/>
  <c r="GM63" i="33"/>
  <c r="GL63" i="33"/>
  <c r="GK63" i="33"/>
  <c r="GJ63" i="33"/>
  <c r="GI63" i="33"/>
  <c r="GH63" i="33"/>
  <c r="GG63" i="33"/>
  <c r="GF63" i="33"/>
  <c r="GE63" i="33"/>
  <c r="GD63" i="33"/>
  <c r="GC63" i="33"/>
  <c r="GB63" i="33"/>
  <c r="GA63" i="33"/>
  <c r="FZ63" i="33"/>
  <c r="FY63" i="33"/>
  <c r="FX63" i="33"/>
  <c r="FW63" i="33"/>
  <c r="FV63" i="33"/>
  <c r="FU63" i="33"/>
  <c r="FT63" i="33"/>
  <c r="FS63" i="33"/>
  <c r="FR63" i="33"/>
  <c r="FQ63" i="33"/>
  <c r="FP63" i="33"/>
  <c r="FO63" i="33"/>
  <c r="FN63" i="33"/>
  <c r="FM63" i="33"/>
  <c r="FL63" i="33"/>
  <c r="FK63" i="33"/>
  <c r="GT62" i="33"/>
  <c r="GS62" i="33"/>
  <c r="GR62" i="33"/>
  <c r="GQ62" i="33"/>
  <c r="GP62" i="33"/>
  <c r="GO62" i="33"/>
  <c r="GN62" i="33"/>
  <c r="GM62" i="33"/>
  <c r="GL62" i="33"/>
  <c r="GK62" i="33"/>
  <c r="GJ62" i="33"/>
  <c r="GI62" i="33"/>
  <c r="GH62" i="33"/>
  <c r="GG62" i="33"/>
  <c r="GF62" i="33"/>
  <c r="GE62" i="33"/>
  <c r="GD62" i="33"/>
  <c r="GC62" i="33"/>
  <c r="GB62" i="33"/>
  <c r="GA62" i="33"/>
  <c r="FZ62" i="33"/>
  <c r="FY62" i="33"/>
  <c r="FX62" i="33"/>
  <c r="FW62" i="33"/>
  <c r="FV62" i="33"/>
  <c r="FU62" i="33"/>
  <c r="FT62" i="33"/>
  <c r="FS62" i="33"/>
  <c r="FR62" i="33"/>
  <c r="FQ62" i="33"/>
  <c r="FP62" i="33"/>
  <c r="FO62" i="33"/>
  <c r="FN62" i="33"/>
  <c r="FM62" i="33"/>
  <c r="FL62" i="33"/>
  <c r="FK62" i="33"/>
  <c r="GT61" i="33"/>
  <c r="GS61" i="33"/>
  <c r="GR61" i="33"/>
  <c r="GQ61" i="33"/>
  <c r="GP61" i="33"/>
  <c r="GO61" i="33"/>
  <c r="GN61" i="33"/>
  <c r="GM61" i="33"/>
  <c r="GL61" i="33"/>
  <c r="GK61" i="33"/>
  <c r="GJ61" i="33"/>
  <c r="GI61" i="33"/>
  <c r="GH61" i="33"/>
  <c r="GG61" i="33"/>
  <c r="GF61" i="33"/>
  <c r="GE61" i="33"/>
  <c r="GD61" i="33"/>
  <c r="GC61" i="33"/>
  <c r="GB61" i="33"/>
  <c r="GA61" i="33"/>
  <c r="FZ61" i="33"/>
  <c r="FY61" i="33"/>
  <c r="FX61" i="33"/>
  <c r="FW61" i="33"/>
  <c r="FV61" i="33"/>
  <c r="FU61" i="33"/>
  <c r="FT61" i="33"/>
  <c r="FS61" i="33"/>
  <c r="FR61" i="33"/>
  <c r="FQ61" i="33"/>
  <c r="FP61" i="33"/>
  <c r="FO61" i="33"/>
  <c r="FN61" i="33"/>
  <c r="FM61" i="33"/>
  <c r="FL61" i="33"/>
  <c r="FK61" i="33"/>
  <c r="GT60" i="33"/>
  <c r="GS60" i="33"/>
  <c r="GR60" i="33"/>
  <c r="GQ60" i="33"/>
  <c r="GP60" i="33"/>
  <c r="GO60" i="33"/>
  <c r="GN60" i="33"/>
  <c r="GM60" i="33"/>
  <c r="GL60" i="33"/>
  <c r="GK60" i="33"/>
  <c r="GJ60" i="33"/>
  <c r="GI60" i="33"/>
  <c r="GH60" i="33"/>
  <c r="GG60" i="33"/>
  <c r="GF60" i="33"/>
  <c r="GE60" i="33"/>
  <c r="GD60" i="33"/>
  <c r="GC60" i="33"/>
  <c r="GB60" i="33"/>
  <c r="GA60" i="33"/>
  <c r="FZ60" i="33"/>
  <c r="FY60" i="33"/>
  <c r="FX60" i="33"/>
  <c r="FW60" i="33"/>
  <c r="FV60" i="33"/>
  <c r="FU60" i="33"/>
  <c r="FT60" i="33"/>
  <c r="FS60" i="33"/>
  <c r="FR60" i="33"/>
  <c r="FQ60" i="33"/>
  <c r="FP60" i="33"/>
  <c r="FO60" i="33"/>
  <c r="FN60" i="33"/>
  <c r="FM60" i="33"/>
  <c r="FL60" i="33"/>
  <c r="FK60" i="33"/>
  <c r="GT59" i="33"/>
  <c r="GS59" i="33"/>
  <c r="GR59" i="33"/>
  <c r="GQ59" i="33"/>
  <c r="GP59" i="33"/>
  <c r="GO59" i="33"/>
  <c r="GN59" i="33"/>
  <c r="GM59" i="33"/>
  <c r="GL59" i="33"/>
  <c r="GK59" i="33"/>
  <c r="GJ59" i="33"/>
  <c r="GI59" i="33"/>
  <c r="GH59" i="33"/>
  <c r="GG59" i="33"/>
  <c r="GF59" i="33"/>
  <c r="GE59" i="33"/>
  <c r="GD59" i="33"/>
  <c r="GC59" i="33"/>
  <c r="GB59" i="33"/>
  <c r="GA59" i="33"/>
  <c r="FZ59" i="33"/>
  <c r="FY59" i="33"/>
  <c r="FX59" i="33"/>
  <c r="FW59" i="33"/>
  <c r="FV59" i="33"/>
  <c r="FU59" i="33"/>
  <c r="FT59" i="33"/>
  <c r="FS59" i="33"/>
  <c r="FR59" i="33"/>
  <c r="FQ59" i="33"/>
  <c r="FP59" i="33"/>
  <c r="FO59" i="33"/>
  <c r="FN59" i="33"/>
  <c r="FM59" i="33"/>
  <c r="FL59" i="33"/>
  <c r="FK59" i="33"/>
  <c r="GT58" i="33"/>
  <c r="GS58" i="33"/>
  <c r="GR58" i="33"/>
  <c r="GQ58" i="33"/>
  <c r="GP58" i="33"/>
  <c r="GO58" i="33"/>
  <c r="GN58" i="33"/>
  <c r="GM58" i="33"/>
  <c r="GL58" i="33"/>
  <c r="GK58" i="33"/>
  <c r="GJ58" i="33"/>
  <c r="GI58" i="33"/>
  <c r="GH58" i="33"/>
  <c r="GG58" i="33"/>
  <c r="GF58" i="33"/>
  <c r="GE58" i="33"/>
  <c r="GD58" i="33"/>
  <c r="GC58" i="33"/>
  <c r="GB58" i="33"/>
  <c r="GA58" i="33"/>
  <c r="FZ58" i="33"/>
  <c r="FY58" i="33"/>
  <c r="FX58" i="33"/>
  <c r="FW58" i="33"/>
  <c r="FV58" i="33"/>
  <c r="FU58" i="33"/>
  <c r="FT58" i="33"/>
  <c r="FS58" i="33"/>
  <c r="FR58" i="33"/>
  <c r="FQ58" i="33"/>
  <c r="FP58" i="33"/>
  <c r="FO58" i="33"/>
  <c r="FN58" i="33"/>
  <c r="FM58" i="33"/>
  <c r="FL58" i="33"/>
  <c r="FK58" i="33"/>
  <c r="GT57" i="33"/>
  <c r="GS57" i="33"/>
  <c r="GR57" i="33"/>
  <c r="GQ57" i="33"/>
  <c r="GP57" i="33"/>
  <c r="GO57" i="33"/>
  <c r="GN57" i="33"/>
  <c r="GM57" i="33"/>
  <c r="GL57" i="33"/>
  <c r="GK57" i="33"/>
  <c r="GJ57" i="33"/>
  <c r="GI57" i="33"/>
  <c r="GH57" i="33"/>
  <c r="GG57" i="33"/>
  <c r="GF57" i="33"/>
  <c r="GE57" i="33"/>
  <c r="GD57" i="33"/>
  <c r="GC57" i="33"/>
  <c r="GB57" i="33"/>
  <c r="GA57" i="33"/>
  <c r="FZ57" i="33"/>
  <c r="FY57" i="33"/>
  <c r="FX57" i="33"/>
  <c r="FW57" i="33"/>
  <c r="FV57" i="33"/>
  <c r="FU57" i="33"/>
  <c r="FT57" i="33"/>
  <c r="FS57" i="33"/>
  <c r="FR57" i="33"/>
  <c r="FQ57" i="33"/>
  <c r="FP57" i="33"/>
  <c r="FO57" i="33"/>
  <c r="FN57" i="33"/>
  <c r="FM57" i="33"/>
  <c r="FL57" i="33"/>
  <c r="FK57" i="33"/>
  <c r="GT56" i="33"/>
  <c r="GS56" i="33"/>
  <c r="GR56" i="33"/>
  <c r="GQ56" i="33"/>
  <c r="GP56" i="33"/>
  <c r="GO56" i="33"/>
  <c r="GN56" i="33"/>
  <c r="GM56" i="33"/>
  <c r="GL56" i="33"/>
  <c r="GK56" i="33"/>
  <c r="GJ56" i="33"/>
  <c r="GI56" i="33"/>
  <c r="GH56" i="33"/>
  <c r="GG56" i="33"/>
  <c r="GF56" i="33"/>
  <c r="GE56" i="33"/>
  <c r="GD56" i="33"/>
  <c r="GC56" i="33"/>
  <c r="GB56" i="33"/>
  <c r="GA56" i="33"/>
  <c r="FZ56" i="33"/>
  <c r="FY56" i="33"/>
  <c r="FX56" i="33"/>
  <c r="FW56" i="33"/>
  <c r="FV56" i="33"/>
  <c r="FU56" i="33"/>
  <c r="FT56" i="33"/>
  <c r="FS56" i="33"/>
  <c r="FR56" i="33"/>
  <c r="FQ56" i="33"/>
  <c r="FP56" i="33"/>
  <c r="FO56" i="33"/>
  <c r="FN56" i="33"/>
  <c r="FM56" i="33"/>
  <c r="FL56" i="33"/>
  <c r="FK56" i="33"/>
  <c r="GT55" i="33"/>
  <c r="GS55" i="33"/>
  <c r="GR55" i="33"/>
  <c r="GQ55" i="33"/>
  <c r="GP55" i="33"/>
  <c r="GO55" i="33"/>
  <c r="GN55" i="33"/>
  <c r="GM55" i="33"/>
  <c r="GL55" i="33"/>
  <c r="GK55" i="33"/>
  <c r="GJ55" i="33"/>
  <c r="GI55" i="33"/>
  <c r="GH55" i="33"/>
  <c r="GG55" i="33"/>
  <c r="GF55" i="33"/>
  <c r="GE55" i="33"/>
  <c r="GD55" i="33"/>
  <c r="GC55" i="33"/>
  <c r="GB55" i="33"/>
  <c r="GA55" i="33"/>
  <c r="FZ55" i="33"/>
  <c r="FY55" i="33"/>
  <c r="FX55" i="33"/>
  <c r="FW55" i="33"/>
  <c r="FV55" i="33"/>
  <c r="FU55" i="33"/>
  <c r="FT55" i="33"/>
  <c r="FS55" i="33"/>
  <c r="FR55" i="33"/>
  <c r="FQ55" i="33"/>
  <c r="FP55" i="33"/>
  <c r="FO55" i="33"/>
  <c r="FN55" i="33"/>
  <c r="FM55" i="33"/>
  <c r="FL55" i="33"/>
  <c r="FK55" i="33"/>
  <c r="GT53" i="33"/>
  <c r="GS53" i="33"/>
  <c r="GR53" i="33"/>
  <c r="GQ53" i="33"/>
  <c r="GP53" i="33"/>
  <c r="GO53" i="33"/>
  <c r="GN53" i="33"/>
  <c r="GM53" i="33"/>
  <c r="GL53" i="33"/>
  <c r="GK53" i="33"/>
  <c r="GJ53" i="33"/>
  <c r="GI53" i="33"/>
  <c r="GH53" i="33"/>
  <c r="GG53" i="33"/>
  <c r="GF53" i="33"/>
  <c r="GE53" i="33"/>
  <c r="GD53" i="33"/>
  <c r="GC53" i="33"/>
  <c r="GB53" i="33"/>
  <c r="GA53" i="33"/>
  <c r="FZ53" i="33"/>
  <c r="FY53" i="33"/>
  <c r="FX53" i="33"/>
  <c r="FW53" i="33"/>
  <c r="FV53" i="33"/>
  <c r="FU53" i="33"/>
  <c r="FT53" i="33"/>
  <c r="FS53" i="33"/>
  <c r="FR53" i="33"/>
  <c r="FQ53" i="33"/>
  <c r="FP53" i="33"/>
  <c r="FO53" i="33"/>
  <c r="GT52" i="33"/>
  <c r="GS52" i="33"/>
  <c r="GR52" i="33"/>
  <c r="GQ52" i="33"/>
  <c r="GP52" i="33"/>
  <c r="GO52" i="33"/>
  <c r="GN52" i="33"/>
  <c r="GM52" i="33"/>
  <c r="GL52" i="33"/>
  <c r="GK52" i="33"/>
  <c r="GJ52" i="33"/>
  <c r="GI52" i="33"/>
  <c r="GH52" i="33"/>
  <c r="GG52" i="33"/>
  <c r="GF52" i="33"/>
  <c r="GE52" i="33"/>
  <c r="GD52" i="33"/>
  <c r="GC52" i="33"/>
  <c r="GB52" i="33"/>
  <c r="GA52" i="33"/>
  <c r="FZ52" i="33"/>
  <c r="FY52" i="33"/>
  <c r="FX52" i="33"/>
  <c r="FW52" i="33"/>
  <c r="FV52" i="33"/>
  <c r="FU52" i="33"/>
  <c r="FT52" i="33"/>
  <c r="FS52" i="33"/>
  <c r="FR52" i="33"/>
  <c r="FQ52" i="33"/>
  <c r="FP52" i="33"/>
  <c r="FO52" i="33"/>
  <c r="FN52" i="33"/>
  <c r="FM52" i="33"/>
  <c r="FL52" i="33"/>
  <c r="FK52" i="33"/>
  <c r="GT51" i="33"/>
  <c r="GS51" i="33"/>
  <c r="GR51" i="33"/>
  <c r="GQ51" i="33"/>
  <c r="GP51" i="33"/>
  <c r="GO51" i="33"/>
  <c r="GN51" i="33"/>
  <c r="GM51" i="33"/>
  <c r="GL51" i="33"/>
  <c r="GK51" i="33"/>
  <c r="GJ51" i="33"/>
  <c r="GI51" i="33"/>
  <c r="GH51" i="33"/>
  <c r="GG51" i="33"/>
  <c r="GF51" i="33"/>
  <c r="GE51" i="33"/>
  <c r="GD51" i="33"/>
  <c r="GC51" i="33"/>
  <c r="GB51" i="33"/>
  <c r="GA51" i="33"/>
  <c r="FZ51" i="33"/>
  <c r="FY51" i="33"/>
  <c r="FX51" i="33"/>
  <c r="FW51" i="33"/>
  <c r="FV51" i="33"/>
  <c r="FU51" i="33"/>
  <c r="FT51" i="33"/>
  <c r="FS51" i="33"/>
  <c r="FR51" i="33"/>
  <c r="FQ51" i="33"/>
  <c r="FP51" i="33"/>
  <c r="FO51" i="33"/>
  <c r="FN51" i="33"/>
  <c r="FM51" i="33"/>
  <c r="FL51" i="33"/>
  <c r="FK51" i="33"/>
  <c r="GT50" i="33"/>
  <c r="GS50" i="33"/>
  <c r="GR50" i="33"/>
  <c r="GQ50" i="33"/>
  <c r="GP50" i="33"/>
  <c r="GO50" i="33"/>
  <c r="GN50" i="33"/>
  <c r="GM50" i="33"/>
  <c r="GL50" i="33"/>
  <c r="GK50" i="33"/>
  <c r="GJ50" i="33"/>
  <c r="GI50" i="33"/>
  <c r="GH50" i="33"/>
  <c r="GG50" i="33"/>
  <c r="GF50" i="33"/>
  <c r="GE50" i="33"/>
  <c r="GD50" i="33"/>
  <c r="GC50" i="33"/>
  <c r="GB50" i="33"/>
  <c r="GA50" i="33"/>
  <c r="FZ50" i="33"/>
  <c r="FY50" i="33"/>
  <c r="FX50" i="33"/>
  <c r="FW50" i="33"/>
  <c r="FV50" i="33"/>
  <c r="FU50" i="33"/>
  <c r="FT50" i="33"/>
  <c r="FS50" i="33"/>
  <c r="FR50" i="33"/>
  <c r="FQ50" i="33"/>
  <c r="FP50" i="33"/>
  <c r="FO50" i="33"/>
  <c r="FN50" i="33"/>
  <c r="FM50" i="33"/>
  <c r="FL50" i="33"/>
  <c r="FK50" i="33"/>
  <c r="GT49" i="33"/>
  <c r="GS49" i="33"/>
  <c r="GR49" i="33"/>
  <c r="GQ49" i="33"/>
  <c r="GP49" i="33"/>
  <c r="GO49" i="33"/>
  <c r="GN49" i="33"/>
  <c r="GM49" i="33"/>
  <c r="GL49" i="33"/>
  <c r="GK49" i="33"/>
  <c r="GJ49" i="33"/>
  <c r="GI49" i="33"/>
  <c r="GH49" i="33"/>
  <c r="GG49" i="33"/>
  <c r="GF49" i="33"/>
  <c r="GE49" i="33"/>
  <c r="GD49" i="33"/>
  <c r="GC49" i="33"/>
  <c r="GB49" i="33"/>
  <c r="GA49" i="33"/>
  <c r="FZ49" i="33"/>
  <c r="FY49" i="33"/>
  <c r="FX49" i="33"/>
  <c r="FW49" i="33"/>
  <c r="FV49" i="33"/>
  <c r="FU49" i="33"/>
  <c r="FT49" i="33"/>
  <c r="FS49" i="33"/>
  <c r="FR49" i="33"/>
  <c r="FQ49" i="33"/>
  <c r="FP49" i="33"/>
  <c r="FO49" i="33"/>
  <c r="FN49" i="33"/>
  <c r="FM49" i="33"/>
  <c r="FL49" i="33"/>
  <c r="FK49" i="33"/>
  <c r="GT48" i="33"/>
  <c r="GS48" i="33"/>
  <c r="GR48" i="33"/>
  <c r="GQ48" i="33"/>
  <c r="GP48" i="33"/>
  <c r="GO48" i="33"/>
  <c r="GN48" i="33"/>
  <c r="GM48" i="33"/>
  <c r="GL48" i="33"/>
  <c r="GK48" i="33"/>
  <c r="GJ48" i="33"/>
  <c r="GI48" i="33"/>
  <c r="GH48" i="33"/>
  <c r="GG48" i="33"/>
  <c r="GF48" i="33"/>
  <c r="GE48" i="33"/>
  <c r="GD48" i="33"/>
  <c r="GC48" i="33"/>
  <c r="GB48" i="33"/>
  <c r="GA48" i="33"/>
  <c r="FZ48" i="33"/>
  <c r="FY48" i="33"/>
  <c r="FX48" i="33"/>
  <c r="FW48" i="33"/>
  <c r="FV48" i="33"/>
  <c r="FU48" i="33"/>
  <c r="FT48" i="33"/>
  <c r="FS48" i="33"/>
  <c r="FR48" i="33"/>
  <c r="FQ48" i="33"/>
  <c r="FP48" i="33"/>
  <c r="FO48" i="33"/>
  <c r="FN48" i="33"/>
  <c r="FM48" i="33"/>
  <c r="FL48" i="33"/>
  <c r="FK48" i="33"/>
  <c r="GT47" i="33"/>
  <c r="GS47" i="33"/>
  <c r="GR47" i="33"/>
  <c r="GQ47" i="33"/>
  <c r="GP47" i="33"/>
  <c r="GO47" i="33"/>
  <c r="GN47" i="33"/>
  <c r="GM47" i="33"/>
  <c r="GL47" i="33"/>
  <c r="GK47" i="33"/>
  <c r="GJ47" i="33"/>
  <c r="GI47" i="33"/>
  <c r="GH47" i="33"/>
  <c r="GG47" i="33"/>
  <c r="GF47" i="33"/>
  <c r="GE47" i="33"/>
  <c r="GD47" i="33"/>
  <c r="GC47" i="33"/>
  <c r="GB47" i="33"/>
  <c r="GA47" i="33"/>
  <c r="FZ47" i="33"/>
  <c r="FY47" i="33"/>
  <c r="FX47" i="33"/>
  <c r="FW47" i="33"/>
  <c r="FV47" i="33"/>
  <c r="FU47" i="33"/>
  <c r="FT47" i="33"/>
  <c r="FS47" i="33"/>
  <c r="FR47" i="33"/>
  <c r="FQ47" i="33"/>
  <c r="FP47" i="33"/>
  <c r="FO47" i="33"/>
  <c r="FN47" i="33"/>
  <c r="FM47" i="33"/>
  <c r="FL47" i="33"/>
  <c r="FK47" i="33"/>
  <c r="GT46" i="33"/>
  <c r="GS46" i="33"/>
  <c r="GR46" i="33"/>
  <c r="GQ46" i="33"/>
  <c r="GP46" i="33"/>
  <c r="GO46" i="33"/>
  <c r="GN46" i="33"/>
  <c r="GM46" i="33"/>
  <c r="GL46" i="33"/>
  <c r="GK46" i="33"/>
  <c r="GJ46" i="33"/>
  <c r="GI46" i="33"/>
  <c r="GH46" i="33"/>
  <c r="GG46" i="33"/>
  <c r="GF46" i="33"/>
  <c r="GE46" i="33"/>
  <c r="GD46" i="33"/>
  <c r="GC46" i="33"/>
  <c r="GB46" i="33"/>
  <c r="GA46" i="33"/>
  <c r="FZ46" i="33"/>
  <c r="FY46" i="33"/>
  <c r="FX46" i="33"/>
  <c r="FW46" i="33"/>
  <c r="FV46" i="33"/>
  <c r="FU46" i="33"/>
  <c r="FT46" i="33"/>
  <c r="FS46" i="33"/>
  <c r="FR46" i="33"/>
  <c r="FQ46" i="33"/>
  <c r="FP46" i="33"/>
  <c r="FO46" i="33"/>
  <c r="FN46" i="33"/>
  <c r="FM46" i="33"/>
  <c r="FL46" i="33"/>
  <c r="FK46" i="33"/>
  <c r="GT45" i="33"/>
  <c r="GS45" i="33"/>
  <c r="GR45" i="33"/>
  <c r="GQ45" i="33"/>
  <c r="GP45" i="33"/>
  <c r="GO45" i="33"/>
  <c r="GN45" i="33"/>
  <c r="GM45" i="33"/>
  <c r="GL45" i="33"/>
  <c r="GK45" i="33"/>
  <c r="GJ45" i="33"/>
  <c r="GI45" i="33"/>
  <c r="GH45" i="33"/>
  <c r="GG45" i="33"/>
  <c r="GF45" i="33"/>
  <c r="GE45" i="33"/>
  <c r="GD45" i="33"/>
  <c r="GC45" i="33"/>
  <c r="GB45" i="33"/>
  <c r="GA45" i="33"/>
  <c r="FZ45" i="33"/>
  <c r="FY45" i="33"/>
  <c r="FX45" i="33"/>
  <c r="FW45" i="33"/>
  <c r="FV45" i="33"/>
  <c r="FU45" i="33"/>
  <c r="FT45" i="33"/>
  <c r="FS45" i="33"/>
  <c r="FR45" i="33"/>
  <c r="FQ45" i="33"/>
  <c r="FP45" i="33"/>
  <c r="FO45" i="33"/>
  <c r="FN45" i="33"/>
  <c r="FM45" i="33"/>
  <c r="FL45" i="33"/>
  <c r="FK45" i="33"/>
  <c r="GT44" i="33"/>
  <c r="GS44" i="33"/>
  <c r="GR44" i="33"/>
  <c r="GQ44" i="33"/>
  <c r="GP44" i="33"/>
  <c r="GO44" i="33"/>
  <c r="GN44" i="33"/>
  <c r="GM44" i="33"/>
  <c r="GL44" i="33"/>
  <c r="GK44" i="33"/>
  <c r="GJ44" i="33"/>
  <c r="GI44" i="33"/>
  <c r="GH44" i="33"/>
  <c r="GG44" i="33"/>
  <c r="GF44" i="33"/>
  <c r="GE44" i="33"/>
  <c r="GD44" i="33"/>
  <c r="GC44" i="33"/>
  <c r="GB44" i="33"/>
  <c r="GA44" i="33"/>
  <c r="FZ44" i="33"/>
  <c r="FY44" i="33"/>
  <c r="FX44" i="33"/>
  <c r="FW44" i="33"/>
  <c r="FV44" i="33"/>
  <c r="FU44" i="33"/>
  <c r="FT44" i="33"/>
  <c r="FS44" i="33"/>
  <c r="FR44" i="33"/>
  <c r="FQ44" i="33"/>
  <c r="FP44" i="33"/>
  <c r="FO44" i="33"/>
  <c r="FN44" i="33"/>
  <c r="FM44" i="33"/>
  <c r="FL44" i="33"/>
  <c r="FK44" i="33"/>
  <c r="GT43" i="33"/>
  <c r="GS43" i="33"/>
  <c r="GR43" i="33"/>
  <c r="GQ43" i="33"/>
  <c r="GP43" i="33"/>
  <c r="GO43" i="33"/>
  <c r="GN43" i="33"/>
  <c r="GM43" i="33"/>
  <c r="GL43" i="33"/>
  <c r="GK43" i="33"/>
  <c r="GJ43" i="33"/>
  <c r="GI43" i="33"/>
  <c r="GH43" i="33"/>
  <c r="GG43" i="33"/>
  <c r="GF43" i="33"/>
  <c r="GE43" i="33"/>
  <c r="GD43" i="33"/>
  <c r="GC43" i="33"/>
  <c r="GB43" i="33"/>
  <c r="GA43" i="33"/>
  <c r="FZ43" i="33"/>
  <c r="FY43" i="33"/>
  <c r="FX43" i="33"/>
  <c r="FW43" i="33"/>
  <c r="FV43" i="33"/>
  <c r="FU43" i="33"/>
  <c r="FT43" i="33"/>
  <c r="FS43" i="33"/>
  <c r="FR43" i="33"/>
  <c r="FQ43" i="33"/>
  <c r="FP43" i="33"/>
  <c r="FO43" i="33"/>
  <c r="FN43" i="33"/>
  <c r="FM43" i="33"/>
  <c r="FL43" i="33"/>
  <c r="FK43" i="33"/>
  <c r="GT42" i="33"/>
  <c r="GS42" i="33"/>
  <c r="GR42" i="33"/>
  <c r="GQ42" i="33"/>
  <c r="GP42" i="33"/>
  <c r="GO42" i="33"/>
  <c r="GN42" i="33"/>
  <c r="GM42" i="33"/>
  <c r="GL42" i="33"/>
  <c r="GK42" i="33"/>
  <c r="GJ42" i="33"/>
  <c r="GI42" i="33"/>
  <c r="GH42" i="33"/>
  <c r="GG42" i="33"/>
  <c r="GF42" i="33"/>
  <c r="GE42" i="33"/>
  <c r="GD42" i="33"/>
  <c r="GC42" i="33"/>
  <c r="GB42" i="33"/>
  <c r="GA42" i="33"/>
  <c r="FZ42" i="33"/>
  <c r="FY42" i="33"/>
  <c r="FX42" i="33"/>
  <c r="FW42" i="33"/>
  <c r="FV42" i="33"/>
  <c r="FU42" i="33"/>
  <c r="FT42" i="33"/>
  <c r="FS42" i="33"/>
  <c r="FR42" i="33"/>
  <c r="FQ42" i="33"/>
  <c r="FP42" i="33"/>
  <c r="FO42" i="33"/>
  <c r="FN42" i="33"/>
  <c r="FM42" i="33"/>
  <c r="FL42" i="33"/>
  <c r="FK42" i="33"/>
  <c r="GT41" i="33"/>
  <c r="GS41" i="33"/>
  <c r="GR41" i="33"/>
  <c r="GQ41" i="33"/>
  <c r="GP41" i="33"/>
  <c r="GO41" i="33"/>
  <c r="GN41" i="33"/>
  <c r="GM41" i="33"/>
  <c r="GL41" i="33"/>
  <c r="GK41" i="33"/>
  <c r="GJ41" i="33"/>
  <c r="GI41" i="33"/>
  <c r="GH41" i="33"/>
  <c r="GG41" i="33"/>
  <c r="GF41" i="33"/>
  <c r="GE41" i="33"/>
  <c r="GD41" i="33"/>
  <c r="GC41" i="33"/>
  <c r="GB41" i="33"/>
  <c r="GA41" i="33"/>
  <c r="FZ41" i="33"/>
  <c r="FY41" i="33"/>
  <c r="FX41" i="33"/>
  <c r="FW41" i="33"/>
  <c r="FV41" i="33"/>
  <c r="FU41" i="33"/>
  <c r="FT41" i="33"/>
  <c r="FS41" i="33"/>
  <c r="FR41" i="33"/>
  <c r="FQ41" i="33"/>
  <c r="FP41" i="33"/>
  <c r="FO41" i="33"/>
  <c r="FN41" i="33"/>
  <c r="FM41" i="33"/>
  <c r="FL41" i="33"/>
  <c r="FK41" i="33"/>
  <c r="GT38" i="33"/>
  <c r="GS38" i="33"/>
  <c r="GR38" i="33"/>
  <c r="GQ38" i="33"/>
  <c r="GP38" i="33"/>
  <c r="GO38" i="33"/>
  <c r="GN38" i="33"/>
  <c r="GM38" i="33"/>
  <c r="GL38" i="33"/>
  <c r="GK38" i="33"/>
  <c r="GJ38" i="33"/>
  <c r="GI38" i="33"/>
  <c r="GH38" i="33"/>
  <c r="GG38" i="33"/>
  <c r="GF38" i="33"/>
  <c r="GE38" i="33"/>
  <c r="GD38" i="33"/>
  <c r="GC38" i="33"/>
  <c r="GB38" i="33"/>
  <c r="GA38" i="33"/>
  <c r="FZ38" i="33"/>
  <c r="FY38" i="33"/>
  <c r="FX38" i="33"/>
  <c r="FW38" i="33"/>
  <c r="FV38" i="33"/>
  <c r="FU38" i="33"/>
  <c r="FT38" i="33"/>
  <c r="FS38" i="33"/>
  <c r="FR38" i="33"/>
  <c r="FQ38" i="33"/>
  <c r="FP38" i="33"/>
  <c r="FO38" i="33"/>
  <c r="FN38" i="33"/>
  <c r="FM38" i="33"/>
  <c r="FL38" i="33"/>
  <c r="FK38" i="33"/>
  <c r="GT37" i="33"/>
  <c r="GS37" i="33"/>
  <c r="GR37" i="33"/>
  <c r="GQ37" i="33"/>
  <c r="GP37" i="33"/>
  <c r="GO37" i="33"/>
  <c r="GN37" i="33"/>
  <c r="GM37" i="33"/>
  <c r="GL37" i="33"/>
  <c r="GK37" i="33"/>
  <c r="GJ37" i="33"/>
  <c r="GI37" i="33"/>
  <c r="GH37" i="33"/>
  <c r="GG37" i="33"/>
  <c r="GF37" i="33"/>
  <c r="GE37" i="33"/>
  <c r="GD37" i="33"/>
  <c r="GC37" i="33"/>
  <c r="GB37" i="33"/>
  <c r="GA37" i="33"/>
  <c r="FZ37" i="33"/>
  <c r="FY37" i="33"/>
  <c r="FX37" i="33"/>
  <c r="FW37" i="33"/>
  <c r="FV37" i="33"/>
  <c r="FU37" i="33"/>
  <c r="FT37" i="33"/>
  <c r="FS37" i="33"/>
  <c r="FR37" i="33"/>
  <c r="FQ37" i="33"/>
  <c r="FP37" i="33"/>
  <c r="FO37" i="33"/>
  <c r="FN37" i="33"/>
  <c r="FM37" i="33"/>
  <c r="FL37" i="33"/>
  <c r="FK37" i="33"/>
  <c r="GT36" i="33"/>
  <c r="GS36" i="33"/>
  <c r="GR36" i="33"/>
  <c r="GQ36" i="33"/>
  <c r="GP36" i="33"/>
  <c r="GO36" i="33"/>
  <c r="GN36" i="33"/>
  <c r="GM36" i="33"/>
  <c r="GL36" i="33"/>
  <c r="GK36" i="33"/>
  <c r="GJ36" i="33"/>
  <c r="GI36" i="33"/>
  <c r="GH36" i="33"/>
  <c r="GG36" i="33"/>
  <c r="GF36" i="33"/>
  <c r="GE36" i="33"/>
  <c r="GD36" i="33"/>
  <c r="GC36" i="33"/>
  <c r="GB36" i="33"/>
  <c r="GA36" i="33"/>
  <c r="FZ36" i="33"/>
  <c r="FY36" i="33"/>
  <c r="FX36" i="33"/>
  <c r="FW36" i="33"/>
  <c r="FV36" i="33"/>
  <c r="FU36" i="33"/>
  <c r="FT36" i="33"/>
  <c r="FS36" i="33"/>
  <c r="FR36" i="33"/>
  <c r="FQ36" i="33"/>
  <c r="FP36" i="33"/>
  <c r="FO36" i="33"/>
  <c r="FN36" i="33"/>
  <c r="FM36" i="33"/>
  <c r="FL36" i="33"/>
  <c r="FK36" i="33"/>
  <c r="GT35" i="33"/>
  <c r="GS35" i="33"/>
  <c r="GR35" i="33"/>
  <c r="GQ35" i="33"/>
  <c r="GP35" i="33"/>
  <c r="GO35" i="33"/>
  <c r="GN35" i="33"/>
  <c r="GM35" i="33"/>
  <c r="GL35" i="33"/>
  <c r="GK35" i="33"/>
  <c r="GJ35" i="33"/>
  <c r="GI35" i="33"/>
  <c r="GH35" i="33"/>
  <c r="GG35" i="33"/>
  <c r="GF35" i="33"/>
  <c r="GE35" i="33"/>
  <c r="GD35" i="33"/>
  <c r="GC35" i="33"/>
  <c r="GB35" i="33"/>
  <c r="GA35" i="33"/>
  <c r="FZ35" i="33"/>
  <c r="FY35" i="33"/>
  <c r="FX35" i="33"/>
  <c r="FW35" i="33"/>
  <c r="FV35" i="33"/>
  <c r="FU35" i="33"/>
  <c r="FT35" i="33"/>
  <c r="FS35" i="33"/>
  <c r="FR35" i="33"/>
  <c r="FQ35" i="33"/>
  <c r="FP35" i="33"/>
  <c r="FO35" i="33"/>
  <c r="FN35" i="33"/>
  <c r="FM35" i="33"/>
  <c r="FL35" i="33"/>
  <c r="FK35" i="33"/>
  <c r="GT34" i="33"/>
  <c r="GS34" i="33"/>
  <c r="GR34" i="33"/>
  <c r="GQ34" i="33"/>
  <c r="GP34" i="33"/>
  <c r="GO34" i="33"/>
  <c r="GN34" i="33"/>
  <c r="GM34" i="33"/>
  <c r="GL34" i="33"/>
  <c r="GK34" i="33"/>
  <c r="GJ34" i="33"/>
  <c r="GI34" i="33"/>
  <c r="GH34" i="33"/>
  <c r="GG34" i="33"/>
  <c r="GF34" i="33"/>
  <c r="GE34" i="33"/>
  <c r="GD34" i="33"/>
  <c r="GC34" i="33"/>
  <c r="GB34" i="33"/>
  <c r="GA34" i="33"/>
  <c r="FZ34" i="33"/>
  <c r="FY34" i="33"/>
  <c r="FX34" i="33"/>
  <c r="FW34" i="33"/>
  <c r="FV34" i="33"/>
  <c r="FU34" i="33"/>
  <c r="FT34" i="33"/>
  <c r="FS34" i="33"/>
  <c r="FR34" i="33"/>
  <c r="FQ34" i="33"/>
  <c r="FP34" i="33"/>
  <c r="FO34" i="33"/>
  <c r="FN34" i="33"/>
  <c r="FM34" i="33"/>
  <c r="FL34" i="33"/>
  <c r="FK34" i="33"/>
  <c r="GT33" i="33"/>
  <c r="GS33" i="33"/>
  <c r="GR33" i="33"/>
  <c r="GQ33" i="33"/>
  <c r="GP33" i="33"/>
  <c r="GO33" i="33"/>
  <c r="GN33" i="33"/>
  <c r="GM33" i="33"/>
  <c r="GL33" i="33"/>
  <c r="GK33" i="33"/>
  <c r="GJ33" i="33"/>
  <c r="GI33" i="33"/>
  <c r="GH33" i="33"/>
  <c r="GG33" i="33"/>
  <c r="GF33" i="33"/>
  <c r="GE33" i="33"/>
  <c r="GD33" i="33"/>
  <c r="GC33" i="33"/>
  <c r="GB33" i="33"/>
  <c r="GA33" i="33"/>
  <c r="FZ33" i="33"/>
  <c r="FY33" i="33"/>
  <c r="FX33" i="33"/>
  <c r="FW33" i="33"/>
  <c r="FV33" i="33"/>
  <c r="FU33" i="33"/>
  <c r="FT33" i="33"/>
  <c r="FS33" i="33"/>
  <c r="FR33" i="33"/>
  <c r="FQ33" i="33"/>
  <c r="FP33" i="33"/>
  <c r="FO33" i="33"/>
  <c r="FN33" i="33"/>
  <c r="FM33" i="33"/>
  <c r="FL33" i="33"/>
  <c r="FK33" i="33"/>
  <c r="GT32" i="33"/>
  <c r="GS32" i="33"/>
  <c r="GR32" i="33"/>
  <c r="GQ32" i="33"/>
  <c r="GP32" i="33"/>
  <c r="GO32" i="33"/>
  <c r="GN32" i="33"/>
  <c r="GM32" i="33"/>
  <c r="GL32" i="33"/>
  <c r="GK32" i="33"/>
  <c r="GJ32" i="33"/>
  <c r="GI32" i="33"/>
  <c r="GH32" i="33"/>
  <c r="GG32" i="33"/>
  <c r="GF32" i="33"/>
  <c r="GE32" i="33"/>
  <c r="GD32" i="33"/>
  <c r="GC32" i="33"/>
  <c r="GB32" i="33"/>
  <c r="GA32" i="33"/>
  <c r="FZ32" i="33"/>
  <c r="FY32" i="33"/>
  <c r="FX32" i="33"/>
  <c r="FW32" i="33"/>
  <c r="FV32" i="33"/>
  <c r="FU32" i="33"/>
  <c r="FT32" i="33"/>
  <c r="FS32" i="33"/>
  <c r="FR32" i="33"/>
  <c r="FQ32" i="33"/>
  <c r="FP32" i="33"/>
  <c r="FO32" i="33"/>
  <c r="FN32" i="33"/>
  <c r="FM32" i="33"/>
  <c r="FL32" i="33"/>
  <c r="FK32" i="33"/>
  <c r="GT31" i="33"/>
  <c r="GS31" i="33"/>
  <c r="GR31" i="33"/>
  <c r="GQ31" i="33"/>
  <c r="GP31" i="33"/>
  <c r="GO31" i="33"/>
  <c r="GN31" i="33"/>
  <c r="GM31" i="33"/>
  <c r="GL31" i="33"/>
  <c r="GK31" i="33"/>
  <c r="GJ31" i="33"/>
  <c r="GI31" i="33"/>
  <c r="GH31" i="33"/>
  <c r="GG31" i="33"/>
  <c r="GF31" i="33"/>
  <c r="GE31" i="33"/>
  <c r="GD31" i="33"/>
  <c r="GC31" i="33"/>
  <c r="GB31" i="33"/>
  <c r="GA31" i="33"/>
  <c r="FZ31" i="33"/>
  <c r="FY31" i="33"/>
  <c r="FX31" i="33"/>
  <c r="FW31" i="33"/>
  <c r="FV31" i="33"/>
  <c r="FU31" i="33"/>
  <c r="FT31" i="33"/>
  <c r="FS31" i="33"/>
  <c r="FR31" i="33"/>
  <c r="FQ31" i="33"/>
  <c r="FP31" i="33"/>
  <c r="FO31" i="33"/>
  <c r="FN31" i="33"/>
  <c r="FM31" i="33"/>
  <c r="FL31" i="33"/>
  <c r="FK31" i="33"/>
  <c r="GT30" i="33"/>
  <c r="GS30" i="33"/>
  <c r="GR30" i="33"/>
  <c r="GQ30" i="33"/>
  <c r="GP30" i="33"/>
  <c r="GO30" i="33"/>
  <c r="GN30" i="33"/>
  <c r="GM30" i="33"/>
  <c r="GL30" i="33"/>
  <c r="GK30" i="33"/>
  <c r="GJ30" i="33"/>
  <c r="GI30" i="33"/>
  <c r="GH30" i="33"/>
  <c r="GG30" i="33"/>
  <c r="GF30" i="33"/>
  <c r="GE30" i="33"/>
  <c r="GD30" i="33"/>
  <c r="GC30" i="33"/>
  <c r="GB30" i="33"/>
  <c r="GA30" i="33"/>
  <c r="FZ30" i="33"/>
  <c r="FY30" i="33"/>
  <c r="FX30" i="33"/>
  <c r="FW30" i="33"/>
  <c r="FV30" i="33"/>
  <c r="FU30" i="33"/>
  <c r="FT30" i="33"/>
  <c r="FS30" i="33"/>
  <c r="FR30" i="33"/>
  <c r="FQ30" i="33"/>
  <c r="FP30" i="33"/>
  <c r="FO30" i="33"/>
  <c r="FN30" i="33"/>
  <c r="FM30" i="33"/>
  <c r="FL30" i="33"/>
  <c r="FK30" i="33"/>
  <c r="GT29" i="33"/>
  <c r="GS29" i="33"/>
  <c r="GR29" i="33"/>
  <c r="GQ29" i="33"/>
  <c r="GP29" i="33"/>
  <c r="GO29" i="33"/>
  <c r="GN29" i="33"/>
  <c r="GM29" i="33"/>
  <c r="GL29" i="33"/>
  <c r="GK29" i="33"/>
  <c r="GJ29" i="33"/>
  <c r="GI29" i="33"/>
  <c r="GH29" i="33"/>
  <c r="GG29" i="33"/>
  <c r="GF29" i="33"/>
  <c r="GE29" i="33"/>
  <c r="GD29" i="33"/>
  <c r="GC29" i="33"/>
  <c r="GB29" i="33"/>
  <c r="GA29" i="33"/>
  <c r="FZ29" i="33"/>
  <c r="FY29" i="33"/>
  <c r="FX29" i="33"/>
  <c r="FW29" i="33"/>
  <c r="FV29" i="33"/>
  <c r="FU29" i="33"/>
  <c r="FT29" i="33"/>
  <c r="FS29" i="33"/>
  <c r="FR29" i="33"/>
  <c r="FQ29" i="33"/>
  <c r="FP29" i="33"/>
  <c r="FO29" i="33"/>
  <c r="FN29" i="33"/>
  <c r="FM29" i="33"/>
  <c r="FL29" i="33"/>
  <c r="FK29" i="33"/>
  <c r="GT28" i="33"/>
  <c r="GS28" i="33"/>
  <c r="GR28" i="33"/>
  <c r="GQ28" i="33"/>
  <c r="GP28" i="33"/>
  <c r="GO28" i="33"/>
  <c r="GN28" i="33"/>
  <c r="GM28" i="33"/>
  <c r="GL28" i="33"/>
  <c r="GK28" i="33"/>
  <c r="GJ28" i="33"/>
  <c r="GI28" i="33"/>
  <c r="GH28" i="33"/>
  <c r="GG28" i="33"/>
  <c r="GF28" i="33"/>
  <c r="GE28" i="33"/>
  <c r="GD28" i="33"/>
  <c r="GC28" i="33"/>
  <c r="GB28" i="33"/>
  <c r="GA28" i="33"/>
  <c r="FZ28" i="33"/>
  <c r="FY28" i="33"/>
  <c r="FX28" i="33"/>
  <c r="FW28" i="33"/>
  <c r="FV28" i="33"/>
  <c r="FU28" i="33"/>
  <c r="FT28" i="33"/>
  <c r="FS28" i="33"/>
  <c r="FR28" i="33"/>
  <c r="FQ28" i="33"/>
  <c r="FP28" i="33"/>
  <c r="FO28" i="33"/>
  <c r="FN28" i="33"/>
  <c r="FM28" i="33"/>
  <c r="FL28" i="33"/>
  <c r="FK28" i="33"/>
  <c r="GT27" i="33"/>
  <c r="GS27" i="33"/>
  <c r="GR27" i="33"/>
  <c r="GQ27" i="33"/>
  <c r="GP27" i="33"/>
  <c r="GO27" i="33"/>
  <c r="GN27" i="33"/>
  <c r="GM27" i="33"/>
  <c r="GL27" i="33"/>
  <c r="GK27" i="33"/>
  <c r="GJ27" i="33"/>
  <c r="GI27" i="33"/>
  <c r="GH27" i="33"/>
  <c r="GG27" i="33"/>
  <c r="GF27" i="33"/>
  <c r="GE27" i="33"/>
  <c r="GD27" i="33"/>
  <c r="GC27" i="33"/>
  <c r="GB27" i="33"/>
  <c r="GA27" i="33"/>
  <c r="FZ27" i="33"/>
  <c r="FY27" i="33"/>
  <c r="FX27" i="33"/>
  <c r="FW27" i="33"/>
  <c r="FV27" i="33"/>
  <c r="FU27" i="33"/>
  <c r="FT27" i="33"/>
  <c r="FS27" i="33"/>
  <c r="FR27" i="33"/>
  <c r="FQ27" i="33"/>
  <c r="FP27" i="33"/>
  <c r="FO27" i="33"/>
  <c r="FN27" i="33"/>
  <c r="FM27" i="33"/>
  <c r="FL27" i="33"/>
  <c r="FK27" i="33"/>
  <c r="GT26" i="33"/>
  <c r="GS26" i="33"/>
  <c r="GR26" i="33"/>
  <c r="GQ26" i="33"/>
  <c r="GP26" i="33"/>
  <c r="GO26" i="33"/>
  <c r="GN26" i="33"/>
  <c r="GM26" i="33"/>
  <c r="GL26" i="33"/>
  <c r="GK26" i="33"/>
  <c r="GJ26" i="33"/>
  <c r="GI26" i="33"/>
  <c r="GH26" i="33"/>
  <c r="GG26" i="33"/>
  <c r="GF26" i="33"/>
  <c r="GE26" i="33"/>
  <c r="GD26" i="33"/>
  <c r="GC26" i="33"/>
  <c r="GB26" i="33"/>
  <c r="GA26" i="33"/>
  <c r="FZ26" i="33"/>
  <c r="FY26" i="33"/>
  <c r="FX26" i="33"/>
  <c r="FW26" i="33"/>
  <c r="FV26" i="33"/>
  <c r="FU26" i="33"/>
  <c r="FT26" i="33"/>
  <c r="FS26" i="33"/>
  <c r="FR26" i="33"/>
  <c r="FQ26" i="33"/>
  <c r="FP26" i="33"/>
  <c r="FO26" i="33"/>
  <c r="FN26" i="33"/>
  <c r="FM26" i="33"/>
  <c r="FL26" i="33"/>
  <c r="FK26" i="33"/>
  <c r="GT23" i="33"/>
  <c r="GS23" i="33"/>
  <c r="GR23" i="33"/>
  <c r="GQ23" i="33"/>
  <c r="GP23" i="33"/>
  <c r="GO23" i="33"/>
  <c r="GN23" i="33"/>
  <c r="GM23" i="33"/>
  <c r="GL23" i="33"/>
  <c r="GK23" i="33"/>
  <c r="GJ23" i="33"/>
  <c r="GI23" i="33"/>
  <c r="GH23" i="33"/>
  <c r="GG23" i="33"/>
  <c r="GF23" i="33"/>
  <c r="GE23" i="33"/>
  <c r="GD23" i="33"/>
  <c r="GC23" i="33"/>
  <c r="GB23" i="33"/>
  <c r="GA23" i="33"/>
  <c r="FZ23" i="33"/>
  <c r="FY23" i="33"/>
  <c r="FX23" i="33"/>
  <c r="FW23" i="33"/>
  <c r="FV23" i="33"/>
  <c r="FU23" i="33"/>
  <c r="FT23" i="33"/>
  <c r="FS23" i="33"/>
  <c r="FR23" i="33"/>
  <c r="FQ23" i="33"/>
  <c r="FP23" i="33"/>
  <c r="FO23" i="33"/>
  <c r="FN23" i="33"/>
  <c r="FM23" i="33"/>
  <c r="FL23" i="33"/>
  <c r="FK23" i="33"/>
  <c r="GT22" i="33"/>
  <c r="GS22" i="33"/>
  <c r="GR22" i="33"/>
  <c r="GQ22" i="33"/>
  <c r="GP22" i="33"/>
  <c r="GO22" i="33"/>
  <c r="GN22" i="33"/>
  <c r="GM22" i="33"/>
  <c r="GL22" i="33"/>
  <c r="GK22" i="33"/>
  <c r="GJ22" i="33"/>
  <c r="GI22" i="33"/>
  <c r="GH22" i="33"/>
  <c r="GG22" i="33"/>
  <c r="GF22" i="33"/>
  <c r="GE22" i="33"/>
  <c r="GD22" i="33"/>
  <c r="GC22" i="33"/>
  <c r="GB22" i="33"/>
  <c r="GA22" i="33"/>
  <c r="FZ22" i="33"/>
  <c r="FY22" i="33"/>
  <c r="FX22" i="33"/>
  <c r="FW22" i="33"/>
  <c r="FV22" i="33"/>
  <c r="FU22" i="33"/>
  <c r="FT22" i="33"/>
  <c r="FS22" i="33"/>
  <c r="FR22" i="33"/>
  <c r="FQ22" i="33"/>
  <c r="FP22" i="33"/>
  <c r="FO22" i="33"/>
  <c r="FN22" i="33"/>
  <c r="FM22" i="33"/>
  <c r="FL22" i="33"/>
  <c r="FK22" i="33"/>
  <c r="GT21" i="33"/>
  <c r="GS21" i="33"/>
  <c r="GR21" i="33"/>
  <c r="GQ21" i="33"/>
  <c r="GP21" i="33"/>
  <c r="GO21" i="33"/>
  <c r="GN21" i="33"/>
  <c r="GM21" i="33"/>
  <c r="GL21" i="33"/>
  <c r="GK21" i="33"/>
  <c r="GJ21" i="33"/>
  <c r="GI21" i="33"/>
  <c r="GH21" i="33"/>
  <c r="GG21" i="33"/>
  <c r="GF21" i="33"/>
  <c r="GE21" i="33"/>
  <c r="GD21" i="33"/>
  <c r="GC21" i="33"/>
  <c r="GB21" i="33"/>
  <c r="GA21" i="33"/>
  <c r="FZ21" i="33"/>
  <c r="FY21" i="33"/>
  <c r="FX21" i="33"/>
  <c r="FW21" i="33"/>
  <c r="FV21" i="33"/>
  <c r="FU21" i="33"/>
  <c r="FT21" i="33"/>
  <c r="FS21" i="33"/>
  <c r="FR21" i="33"/>
  <c r="FQ21" i="33"/>
  <c r="FP21" i="33"/>
  <c r="FO21" i="33"/>
  <c r="FN21" i="33"/>
  <c r="FM21" i="33"/>
  <c r="FL21" i="33"/>
  <c r="FK21" i="33"/>
  <c r="GT20" i="33"/>
  <c r="GS20" i="33"/>
  <c r="GR20" i="33"/>
  <c r="GQ20" i="33"/>
  <c r="GP20" i="33"/>
  <c r="GO20" i="33"/>
  <c r="GN20" i="33"/>
  <c r="GM20" i="33"/>
  <c r="GL20" i="33"/>
  <c r="GK20" i="33"/>
  <c r="GJ20" i="33"/>
  <c r="GI20" i="33"/>
  <c r="GH20" i="33"/>
  <c r="GG20" i="33"/>
  <c r="GF20" i="33"/>
  <c r="GE20" i="33"/>
  <c r="GD20" i="33"/>
  <c r="GC20" i="33"/>
  <c r="GB20" i="33"/>
  <c r="GA20" i="33"/>
  <c r="FZ20" i="33"/>
  <c r="FY20" i="33"/>
  <c r="FX20" i="33"/>
  <c r="FW20" i="33"/>
  <c r="FV20" i="33"/>
  <c r="FU20" i="33"/>
  <c r="FT20" i="33"/>
  <c r="FS20" i="33"/>
  <c r="FR20" i="33"/>
  <c r="FQ20" i="33"/>
  <c r="FP20" i="33"/>
  <c r="FO20" i="33"/>
  <c r="FN20" i="33"/>
  <c r="FM20" i="33"/>
  <c r="FL20" i="33"/>
  <c r="FK20" i="33"/>
  <c r="GT19" i="33"/>
  <c r="GS19" i="33"/>
  <c r="GR19" i="33"/>
  <c r="GQ19" i="33"/>
  <c r="GP19" i="33"/>
  <c r="GO19" i="33"/>
  <c r="GN19" i="33"/>
  <c r="GM19" i="33"/>
  <c r="GL19" i="33"/>
  <c r="GK19" i="33"/>
  <c r="GJ19" i="33"/>
  <c r="GI19" i="33"/>
  <c r="GH19" i="33"/>
  <c r="GG19" i="33"/>
  <c r="GF19" i="33"/>
  <c r="GE19" i="33"/>
  <c r="GD19" i="33"/>
  <c r="GC19" i="33"/>
  <c r="GB19" i="33"/>
  <c r="GA19" i="33"/>
  <c r="FZ19" i="33"/>
  <c r="FY19" i="33"/>
  <c r="FX19" i="33"/>
  <c r="FW19" i="33"/>
  <c r="FV19" i="33"/>
  <c r="FU19" i="33"/>
  <c r="FT19" i="33"/>
  <c r="FS19" i="33"/>
  <c r="FR19" i="33"/>
  <c r="FQ19" i="33"/>
  <c r="FP19" i="33"/>
  <c r="FO19" i="33"/>
  <c r="FN19" i="33"/>
  <c r="FM19" i="33"/>
  <c r="FL19" i="33"/>
  <c r="FK19" i="33"/>
  <c r="GT18" i="33"/>
  <c r="GS18" i="33"/>
  <c r="GR18" i="33"/>
  <c r="GQ18" i="33"/>
  <c r="GP18" i="33"/>
  <c r="GO18" i="33"/>
  <c r="GN18" i="33"/>
  <c r="GM18" i="33"/>
  <c r="GL18" i="33"/>
  <c r="GK18" i="33"/>
  <c r="GJ18" i="33"/>
  <c r="GI18" i="33"/>
  <c r="GH18" i="33"/>
  <c r="GG18" i="33"/>
  <c r="GF18" i="33"/>
  <c r="GE18" i="33"/>
  <c r="GD18" i="33"/>
  <c r="GC18" i="33"/>
  <c r="GB18" i="33"/>
  <c r="GA18" i="33"/>
  <c r="FZ18" i="33"/>
  <c r="FY18" i="33"/>
  <c r="FX18" i="33"/>
  <c r="FW18" i="33"/>
  <c r="FV18" i="33"/>
  <c r="FU18" i="33"/>
  <c r="FT18" i="33"/>
  <c r="FS18" i="33"/>
  <c r="FR18" i="33"/>
  <c r="FQ18" i="33"/>
  <c r="FP18" i="33"/>
  <c r="FO18" i="33"/>
  <c r="FN18" i="33"/>
  <c r="FM18" i="33"/>
  <c r="FL18" i="33"/>
  <c r="FK18" i="33"/>
  <c r="GT17" i="33"/>
  <c r="GS17" i="33"/>
  <c r="GR17" i="33"/>
  <c r="GQ17" i="33"/>
  <c r="GP17" i="33"/>
  <c r="GO17" i="33"/>
  <c r="GN17" i="33"/>
  <c r="GM17" i="33"/>
  <c r="GL17" i="33"/>
  <c r="GK17" i="33"/>
  <c r="GJ17" i="33"/>
  <c r="GI17" i="33"/>
  <c r="GH17" i="33"/>
  <c r="GG17" i="33"/>
  <c r="GF17" i="33"/>
  <c r="GE17" i="33"/>
  <c r="GD17" i="33"/>
  <c r="GC17" i="33"/>
  <c r="GB17" i="33"/>
  <c r="GA17" i="33"/>
  <c r="FZ17" i="33"/>
  <c r="FY17" i="33"/>
  <c r="FX17" i="33"/>
  <c r="FW17" i="33"/>
  <c r="FV17" i="33"/>
  <c r="FU17" i="33"/>
  <c r="FT17" i="33"/>
  <c r="FS17" i="33"/>
  <c r="FR17" i="33"/>
  <c r="FQ17" i="33"/>
  <c r="FP17" i="33"/>
  <c r="FO17" i="33"/>
  <c r="FN17" i="33"/>
  <c r="FM17" i="33"/>
  <c r="FL17" i="33"/>
  <c r="FK17" i="33"/>
  <c r="GT16" i="33"/>
  <c r="GS16" i="33"/>
  <c r="GR16" i="33"/>
  <c r="GQ16" i="33"/>
  <c r="GP16" i="33"/>
  <c r="GO16" i="33"/>
  <c r="GN16" i="33"/>
  <c r="GM16" i="33"/>
  <c r="GL16" i="33"/>
  <c r="GK16" i="33"/>
  <c r="GJ16" i="33"/>
  <c r="GI16" i="33"/>
  <c r="GH16" i="33"/>
  <c r="GG16" i="33"/>
  <c r="GF16" i="33"/>
  <c r="GE16" i="33"/>
  <c r="GD16" i="33"/>
  <c r="GC16" i="33"/>
  <c r="GB16" i="33"/>
  <c r="GA16" i="33"/>
  <c r="FZ16" i="33"/>
  <c r="FY16" i="33"/>
  <c r="FX16" i="33"/>
  <c r="FW16" i="33"/>
  <c r="FV16" i="33"/>
  <c r="FU16" i="33"/>
  <c r="FT16" i="33"/>
  <c r="FS16" i="33"/>
  <c r="FR16" i="33"/>
  <c r="FQ16" i="33"/>
  <c r="FP16" i="33"/>
  <c r="FO16" i="33"/>
  <c r="FN16" i="33"/>
  <c r="FM16" i="33"/>
  <c r="FL16" i="33"/>
  <c r="FK16" i="33"/>
  <c r="GT15" i="33"/>
  <c r="GS15" i="33"/>
  <c r="GR15" i="33"/>
  <c r="GQ15" i="33"/>
  <c r="GP15" i="33"/>
  <c r="GO15" i="33"/>
  <c r="GN15" i="33"/>
  <c r="GM15" i="33"/>
  <c r="GL15" i="33"/>
  <c r="GK15" i="33"/>
  <c r="GJ15" i="33"/>
  <c r="GI15" i="33"/>
  <c r="GH15" i="33"/>
  <c r="GG15" i="33"/>
  <c r="GF15" i="33"/>
  <c r="GE15" i="33"/>
  <c r="GD15" i="33"/>
  <c r="GC15" i="33"/>
  <c r="GB15" i="33"/>
  <c r="GA15" i="33"/>
  <c r="FZ15" i="33"/>
  <c r="FY15" i="33"/>
  <c r="FX15" i="33"/>
  <c r="FW15" i="33"/>
  <c r="FV15" i="33"/>
  <c r="FU15" i="33"/>
  <c r="FT15" i="33"/>
  <c r="FS15" i="33"/>
  <c r="FR15" i="33"/>
  <c r="FQ15" i="33"/>
  <c r="FP15" i="33"/>
  <c r="FO15" i="33"/>
  <c r="FN15" i="33"/>
  <c r="FM15" i="33"/>
  <c r="FL15" i="33"/>
  <c r="FK15" i="33"/>
  <c r="GT14" i="33"/>
  <c r="GS14" i="33"/>
  <c r="GR14" i="33"/>
  <c r="GQ14" i="33"/>
  <c r="GP14" i="33"/>
  <c r="GO14" i="33"/>
  <c r="GN14" i="33"/>
  <c r="GM14" i="33"/>
  <c r="GL14" i="33"/>
  <c r="GK14" i="33"/>
  <c r="GJ14" i="33"/>
  <c r="GI14" i="33"/>
  <c r="GH14" i="33"/>
  <c r="GG14" i="33"/>
  <c r="GF14" i="33"/>
  <c r="GE14" i="33"/>
  <c r="GD14" i="33"/>
  <c r="GC14" i="33"/>
  <c r="GB14" i="33"/>
  <c r="GA14" i="33"/>
  <c r="FZ14" i="33"/>
  <c r="FY14" i="33"/>
  <c r="FX14" i="33"/>
  <c r="FW14" i="33"/>
  <c r="FV14" i="33"/>
  <c r="FU14" i="33"/>
  <c r="FT14" i="33"/>
  <c r="FS14" i="33"/>
  <c r="FR14" i="33"/>
  <c r="FQ14" i="33"/>
  <c r="FP14" i="33"/>
  <c r="FO14" i="33"/>
  <c r="FN14" i="33"/>
  <c r="FM14" i="33"/>
  <c r="FL14" i="33"/>
  <c r="FK14" i="33"/>
  <c r="GT13" i="33"/>
  <c r="GS13" i="33"/>
  <c r="GR13" i="33"/>
  <c r="GQ13" i="33"/>
  <c r="GP13" i="33"/>
  <c r="GO13" i="33"/>
  <c r="GN13" i="33"/>
  <c r="GM13" i="33"/>
  <c r="GL13" i="33"/>
  <c r="GK13" i="33"/>
  <c r="GJ13" i="33"/>
  <c r="GI13" i="33"/>
  <c r="GH13" i="33"/>
  <c r="GG13" i="33"/>
  <c r="GF13" i="33"/>
  <c r="GE13" i="33"/>
  <c r="GD13" i="33"/>
  <c r="GC13" i="33"/>
  <c r="GB13" i="33"/>
  <c r="GA13" i="33"/>
  <c r="FZ13" i="33"/>
  <c r="FY13" i="33"/>
  <c r="FX13" i="33"/>
  <c r="FW13" i="33"/>
  <c r="FV13" i="33"/>
  <c r="FU13" i="33"/>
  <c r="FT13" i="33"/>
  <c r="FS13" i="33"/>
  <c r="FR13" i="33"/>
  <c r="FQ13" i="33"/>
  <c r="FP13" i="33"/>
  <c r="FO13" i="33"/>
  <c r="FN13" i="33"/>
  <c r="FM13" i="33"/>
  <c r="FL13" i="33"/>
  <c r="FK13" i="33"/>
  <c r="GT12" i="33"/>
  <c r="GS12" i="33"/>
  <c r="GR12" i="33"/>
  <c r="GQ12" i="33"/>
  <c r="GP12" i="33"/>
  <c r="GO12" i="33"/>
  <c r="GN12" i="33"/>
  <c r="GM12" i="33"/>
  <c r="GL12" i="33"/>
  <c r="GK12" i="33"/>
  <c r="GJ12" i="33"/>
  <c r="GI12" i="33"/>
  <c r="GH12" i="33"/>
  <c r="GG12" i="33"/>
  <c r="GF12" i="33"/>
  <c r="GE12" i="33"/>
  <c r="GD12" i="33"/>
  <c r="GC12" i="33"/>
  <c r="GB12" i="33"/>
  <c r="GA12" i="33"/>
  <c r="FZ12" i="33"/>
  <c r="FY12" i="33"/>
  <c r="FX12" i="33"/>
  <c r="FW12" i="33"/>
  <c r="FV12" i="33"/>
  <c r="FU12" i="33"/>
  <c r="FT12" i="33"/>
  <c r="FS12" i="33"/>
  <c r="FR12" i="33"/>
  <c r="FQ12" i="33"/>
  <c r="FP12" i="33"/>
  <c r="FO12" i="33"/>
  <c r="FN12" i="33"/>
  <c r="FM12" i="33"/>
  <c r="FL12" i="33"/>
  <c r="FK12" i="33"/>
  <c r="GT11" i="33"/>
  <c r="GS11" i="33"/>
  <c r="GR11" i="33"/>
  <c r="GQ11" i="33"/>
  <c r="GP11" i="33"/>
  <c r="GO11" i="33"/>
  <c r="GN11" i="33"/>
  <c r="GM11" i="33"/>
  <c r="GL11" i="33"/>
  <c r="GK11" i="33"/>
  <c r="GJ11" i="33"/>
  <c r="GI11" i="33"/>
  <c r="GH11" i="33"/>
  <c r="GG11" i="33"/>
  <c r="GF11" i="33"/>
  <c r="GE11" i="33"/>
  <c r="GD11" i="33"/>
  <c r="GC11" i="33"/>
  <c r="GB11" i="33"/>
  <c r="GA11" i="33"/>
  <c r="FZ11" i="33"/>
  <c r="FY11" i="33"/>
  <c r="FX11" i="33"/>
  <c r="FW11" i="33"/>
  <c r="FV11" i="33"/>
  <c r="FU11" i="33"/>
  <c r="FT11" i="33"/>
  <c r="FS11" i="33"/>
  <c r="FR11" i="33"/>
  <c r="FQ11" i="33"/>
  <c r="FP11" i="33"/>
  <c r="FO11" i="33"/>
  <c r="FN11" i="33"/>
  <c r="FM11" i="33"/>
  <c r="FL11" i="33"/>
  <c r="FK11" i="33"/>
  <c r="GT10" i="33"/>
  <c r="GS10" i="33"/>
  <c r="GR10" i="33"/>
  <c r="GQ10" i="33"/>
  <c r="GP10" i="33"/>
  <c r="GO10" i="33"/>
  <c r="GN10" i="33"/>
  <c r="GM10" i="33"/>
  <c r="GL10" i="33"/>
  <c r="GK10" i="33"/>
  <c r="GJ10" i="33"/>
  <c r="GI10" i="33"/>
  <c r="GH10" i="33"/>
  <c r="GG10" i="33"/>
  <c r="GF10" i="33"/>
  <c r="GE10" i="33"/>
  <c r="GD10" i="33"/>
  <c r="GC10" i="33"/>
  <c r="GB10" i="33"/>
  <c r="GA10" i="33"/>
  <c r="FZ10" i="33"/>
  <c r="FY10" i="33"/>
  <c r="FX10" i="33"/>
  <c r="FW10" i="33"/>
  <c r="FV10" i="33"/>
  <c r="FU10" i="33"/>
  <c r="FT10" i="33"/>
  <c r="FS10" i="33"/>
  <c r="FR10" i="33"/>
  <c r="FQ10" i="33"/>
  <c r="FP10" i="33"/>
  <c r="FO10" i="33"/>
  <c r="FN10" i="33"/>
  <c r="FM10" i="33"/>
  <c r="FL10" i="33"/>
  <c r="FK10" i="33"/>
  <c r="GT9" i="33"/>
  <c r="GS9" i="33"/>
  <c r="GR9" i="33"/>
  <c r="GQ9" i="33"/>
  <c r="GP9" i="33"/>
  <c r="GO9" i="33"/>
  <c r="GN9" i="33"/>
  <c r="GM9" i="33"/>
  <c r="GL9" i="33"/>
  <c r="GK9" i="33"/>
  <c r="GJ9" i="33"/>
  <c r="GI9" i="33"/>
  <c r="GH9" i="33"/>
  <c r="GG9" i="33"/>
  <c r="GF9" i="33"/>
  <c r="GE9" i="33"/>
  <c r="GD9" i="33"/>
  <c r="GC9" i="33"/>
  <c r="GB9" i="33"/>
  <c r="GA9" i="33"/>
  <c r="FZ9" i="33"/>
  <c r="FY9" i="33"/>
  <c r="FX9" i="33"/>
  <c r="FW9" i="33"/>
  <c r="FV9" i="33"/>
  <c r="FU9" i="33"/>
  <c r="FT9" i="33"/>
  <c r="FS9" i="33"/>
  <c r="FR9" i="33"/>
  <c r="FQ9" i="33"/>
  <c r="FP9" i="33"/>
  <c r="FO9" i="33"/>
  <c r="FN9" i="33"/>
  <c r="FM9" i="33"/>
  <c r="FL9" i="33"/>
  <c r="FK9" i="33"/>
  <c r="GT8" i="33"/>
  <c r="GS8" i="33"/>
  <c r="GR8" i="33"/>
  <c r="GQ8" i="33"/>
  <c r="GP8" i="33"/>
  <c r="GO8" i="33"/>
  <c r="GN8" i="33"/>
  <c r="GM8" i="33"/>
  <c r="GL8" i="33"/>
  <c r="GK8" i="33"/>
  <c r="GJ8" i="33"/>
  <c r="GI8" i="33"/>
  <c r="GH8" i="33"/>
  <c r="GG8" i="33"/>
  <c r="GF8" i="33"/>
  <c r="GE8" i="33"/>
  <c r="GD8" i="33"/>
  <c r="GC8" i="33"/>
  <c r="GB8" i="33"/>
  <c r="GA8" i="33"/>
  <c r="FZ8" i="33"/>
  <c r="FY8" i="33"/>
  <c r="FX8" i="33"/>
  <c r="FW8" i="33"/>
  <c r="FV8" i="33"/>
  <c r="FU8" i="33"/>
  <c r="FT8" i="33"/>
  <c r="FS8" i="33"/>
  <c r="FR8" i="33"/>
  <c r="FQ8" i="33"/>
  <c r="FP8" i="33"/>
  <c r="FO8" i="33"/>
  <c r="FN8" i="33"/>
  <c r="FM8" i="33"/>
  <c r="FL8" i="33"/>
  <c r="FK8" i="33"/>
  <c r="GT5" i="33"/>
  <c r="GS5" i="33"/>
  <c r="GR5" i="33"/>
  <c r="GQ5" i="33"/>
  <c r="GP5" i="33"/>
  <c r="GO5" i="33"/>
  <c r="GN5" i="33"/>
  <c r="GM5" i="33"/>
  <c r="GL5" i="33"/>
  <c r="GK5" i="33"/>
  <c r="GJ5" i="33"/>
  <c r="GI5" i="33"/>
  <c r="GH5" i="33"/>
  <c r="GG5" i="33"/>
  <c r="GF5" i="33"/>
  <c r="GE5" i="33"/>
  <c r="GD5" i="33"/>
  <c r="GC5" i="33"/>
  <c r="GB5" i="33"/>
  <c r="GA5" i="33"/>
  <c r="FZ5" i="33"/>
  <c r="FY5" i="33"/>
  <c r="FX5" i="33"/>
  <c r="FW5" i="33"/>
  <c r="FV5" i="33"/>
  <c r="FU5" i="33"/>
  <c r="FT5" i="33"/>
  <c r="FS5" i="33"/>
  <c r="FR5" i="33"/>
  <c r="FQ5" i="33"/>
  <c r="FP5" i="33"/>
  <c r="FO5" i="33"/>
  <c r="FN5" i="33"/>
  <c r="FM5" i="33"/>
  <c r="FL5" i="33"/>
  <c r="FE64" i="33"/>
  <c r="FD64" i="33"/>
  <c r="FC64" i="33"/>
  <c r="FB64" i="33"/>
  <c r="FA64" i="33"/>
  <c r="EZ64" i="33"/>
  <c r="EY64" i="33"/>
  <c r="EX64" i="33"/>
  <c r="EW64" i="33"/>
  <c r="EV64" i="33"/>
  <c r="EU64" i="33"/>
  <c r="ET64" i="33"/>
  <c r="ES64" i="33"/>
  <c r="ER64" i="33"/>
  <c r="EQ64" i="33"/>
  <c r="EP64" i="33"/>
  <c r="EO64" i="33"/>
  <c r="EN64" i="33"/>
  <c r="EM64" i="33"/>
  <c r="EL64" i="33"/>
  <c r="EK64" i="33"/>
  <c r="EJ64" i="33"/>
  <c r="EI64" i="33"/>
  <c r="EH64" i="33"/>
  <c r="EG64" i="33"/>
  <c r="EF64" i="33"/>
  <c r="EE64" i="33"/>
  <c r="ED64" i="33"/>
  <c r="EC64" i="33"/>
  <c r="EB64" i="33"/>
  <c r="EA64" i="33"/>
  <c r="DZ64" i="33"/>
  <c r="DY64" i="33"/>
  <c r="DX64" i="33"/>
  <c r="DW64" i="33"/>
  <c r="DV64" i="33"/>
  <c r="FE63" i="33"/>
  <c r="FD63" i="33"/>
  <c r="FC63" i="33"/>
  <c r="FB63" i="33"/>
  <c r="FA63" i="33"/>
  <c r="EZ63" i="33"/>
  <c r="EY63" i="33"/>
  <c r="EX63" i="33"/>
  <c r="EW63" i="33"/>
  <c r="EV63" i="33"/>
  <c r="EU63" i="33"/>
  <c r="ET63" i="33"/>
  <c r="ES63" i="33"/>
  <c r="ER63" i="33"/>
  <c r="EQ63" i="33"/>
  <c r="EP63" i="33"/>
  <c r="EO63" i="33"/>
  <c r="EN63" i="33"/>
  <c r="EM63" i="33"/>
  <c r="EL63" i="33"/>
  <c r="EK63" i="33"/>
  <c r="EJ63" i="33"/>
  <c r="EI63" i="33"/>
  <c r="EH63" i="33"/>
  <c r="EG63" i="33"/>
  <c r="EF63" i="33"/>
  <c r="EE63" i="33"/>
  <c r="ED63" i="33"/>
  <c r="EC63" i="33"/>
  <c r="EB63" i="33"/>
  <c r="EA63" i="33"/>
  <c r="DZ63" i="33"/>
  <c r="DY63" i="33"/>
  <c r="DX63" i="33"/>
  <c r="DW63" i="33"/>
  <c r="DV63" i="33"/>
  <c r="FE62" i="33"/>
  <c r="FD62" i="33"/>
  <c r="FC62" i="33"/>
  <c r="FB62" i="33"/>
  <c r="FA62" i="33"/>
  <c r="EZ62" i="33"/>
  <c r="EY62" i="33"/>
  <c r="EX62" i="33"/>
  <c r="EW62" i="33"/>
  <c r="EV62" i="33"/>
  <c r="EU62" i="33"/>
  <c r="ET62" i="33"/>
  <c r="ES62" i="33"/>
  <c r="ER62" i="33"/>
  <c r="EQ62" i="33"/>
  <c r="EP62" i="33"/>
  <c r="EO62" i="33"/>
  <c r="EN62" i="33"/>
  <c r="EM62" i="33"/>
  <c r="EL62" i="33"/>
  <c r="EK62" i="33"/>
  <c r="EJ62" i="33"/>
  <c r="EI62" i="33"/>
  <c r="EH62" i="33"/>
  <c r="EG62" i="33"/>
  <c r="EF62" i="33"/>
  <c r="EE62" i="33"/>
  <c r="ED62" i="33"/>
  <c r="EC62" i="33"/>
  <c r="EB62" i="33"/>
  <c r="EA62" i="33"/>
  <c r="DZ62" i="33"/>
  <c r="DY62" i="33"/>
  <c r="DX62" i="33"/>
  <c r="DW62" i="33"/>
  <c r="DV62" i="33"/>
  <c r="FE61" i="33"/>
  <c r="FD61" i="33"/>
  <c r="FC61" i="33"/>
  <c r="FB61" i="33"/>
  <c r="FA61" i="33"/>
  <c r="EZ61" i="33"/>
  <c r="EY61" i="33"/>
  <c r="EX61" i="33"/>
  <c r="EW61" i="33"/>
  <c r="EV61" i="33"/>
  <c r="EU61" i="33"/>
  <c r="ET61" i="33"/>
  <c r="ES61" i="33"/>
  <c r="ER61" i="33"/>
  <c r="EQ61" i="33"/>
  <c r="EP61" i="33"/>
  <c r="EO61" i="33"/>
  <c r="EN61" i="33"/>
  <c r="EM61" i="33"/>
  <c r="EL61" i="33"/>
  <c r="EK61" i="33"/>
  <c r="EJ61" i="33"/>
  <c r="EI61" i="33"/>
  <c r="EH61" i="33"/>
  <c r="EG61" i="33"/>
  <c r="EF61" i="33"/>
  <c r="EE61" i="33"/>
  <c r="ED61" i="33"/>
  <c r="EC61" i="33"/>
  <c r="EB61" i="33"/>
  <c r="EA61" i="33"/>
  <c r="DZ61" i="33"/>
  <c r="DY61" i="33"/>
  <c r="DX61" i="33"/>
  <c r="DW61" i="33"/>
  <c r="DV61" i="33"/>
  <c r="FE60" i="33"/>
  <c r="FD60" i="33"/>
  <c r="FC60" i="33"/>
  <c r="FB60" i="33"/>
  <c r="FA60" i="33"/>
  <c r="EZ60" i="33"/>
  <c r="EY60" i="33"/>
  <c r="EX60" i="33"/>
  <c r="EW60" i="33"/>
  <c r="EV60" i="33"/>
  <c r="EU60" i="33"/>
  <c r="ET60" i="33"/>
  <c r="ES60" i="33"/>
  <c r="ER60" i="33"/>
  <c r="EQ60" i="33"/>
  <c r="EP60" i="33"/>
  <c r="EO60" i="33"/>
  <c r="EN60" i="33"/>
  <c r="EM60" i="33"/>
  <c r="EL60" i="33"/>
  <c r="EK60" i="33"/>
  <c r="EJ60" i="33"/>
  <c r="EI60" i="33"/>
  <c r="EH60" i="33"/>
  <c r="EG60" i="33"/>
  <c r="EF60" i="33"/>
  <c r="EE60" i="33"/>
  <c r="ED60" i="33"/>
  <c r="EC60" i="33"/>
  <c r="EB60" i="33"/>
  <c r="EA60" i="33"/>
  <c r="DZ60" i="33"/>
  <c r="DY60" i="33"/>
  <c r="DX60" i="33"/>
  <c r="DW60" i="33"/>
  <c r="DV60" i="33"/>
  <c r="FE59" i="33"/>
  <c r="FD59" i="33"/>
  <c r="FC59" i="33"/>
  <c r="FB59" i="33"/>
  <c r="FA59" i="33"/>
  <c r="EZ59" i="33"/>
  <c r="EY59" i="33"/>
  <c r="EX59" i="33"/>
  <c r="EW59" i="33"/>
  <c r="EV59" i="33"/>
  <c r="EU59" i="33"/>
  <c r="ET59" i="33"/>
  <c r="ES59" i="33"/>
  <c r="ER59" i="33"/>
  <c r="EQ59" i="33"/>
  <c r="EP59" i="33"/>
  <c r="EO59" i="33"/>
  <c r="EN59" i="33"/>
  <c r="EM59" i="33"/>
  <c r="EL59" i="33"/>
  <c r="EK59" i="33"/>
  <c r="EJ59" i="33"/>
  <c r="EI59" i="33"/>
  <c r="EH59" i="33"/>
  <c r="EG59" i="33"/>
  <c r="EF59" i="33"/>
  <c r="EE59" i="33"/>
  <c r="ED59" i="33"/>
  <c r="EC59" i="33"/>
  <c r="EB59" i="33"/>
  <c r="EA59" i="33"/>
  <c r="DZ59" i="33"/>
  <c r="DY59" i="33"/>
  <c r="DX59" i="33"/>
  <c r="DW59" i="33"/>
  <c r="DV59" i="33"/>
  <c r="FE58" i="33"/>
  <c r="FD58" i="33"/>
  <c r="FC58" i="33"/>
  <c r="FB58" i="33"/>
  <c r="FA58" i="33"/>
  <c r="EZ58" i="33"/>
  <c r="EY58" i="33"/>
  <c r="EX58" i="33"/>
  <c r="EW58" i="33"/>
  <c r="EV58" i="33"/>
  <c r="EU58" i="33"/>
  <c r="ET58" i="33"/>
  <c r="ES58" i="33"/>
  <c r="ER58" i="33"/>
  <c r="EQ58" i="33"/>
  <c r="EP58" i="33"/>
  <c r="EO58" i="33"/>
  <c r="EN58" i="33"/>
  <c r="EM58" i="33"/>
  <c r="EL58" i="33"/>
  <c r="EK58" i="33"/>
  <c r="EJ58" i="33"/>
  <c r="EI58" i="33"/>
  <c r="EH58" i="33"/>
  <c r="EG58" i="33"/>
  <c r="EF58" i="33"/>
  <c r="EE58" i="33"/>
  <c r="ED58" i="33"/>
  <c r="EC58" i="33"/>
  <c r="EB58" i="33"/>
  <c r="EA58" i="33"/>
  <c r="DZ58" i="33"/>
  <c r="DY58" i="33"/>
  <c r="DX58" i="33"/>
  <c r="DW58" i="33"/>
  <c r="DV58" i="33"/>
  <c r="FE57" i="33"/>
  <c r="FD57" i="33"/>
  <c r="FC57" i="33"/>
  <c r="FB57" i="33"/>
  <c r="FA57" i="33"/>
  <c r="EZ57" i="33"/>
  <c r="EY57" i="33"/>
  <c r="EX57" i="33"/>
  <c r="EW57" i="33"/>
  <c r="EV57" i="33"/>
  <c r="EU57" i="33"/>
  <c r="ET57" i="33"/>
  <c r="ES57" i="33"/>
  <c r="ER57" i="33"/>
  <c r="EQ57" i="33"/>
  <c r="EP57" i="33"/>
  <c r="EO57" i="33"/>
  <c r="EN57" i="33"/>
  <c r="EM57" i="33"/>
  <c r="EL57" i="33"/>
  <c r="EK57" i="33"/>
  <c r="EJ57" i="33"/>
  <c r="EI57" i="33"/>
  <c r="EH57" i="33"/>
  <c r="EG57" i="33"/>
  <c r="EF57" i="33"/>
  <c r="EE57" i="33"/>
  <c r="ED57" i="33"/>
  <c r="EC57" i="33"/>
  <c r="EB57" i="33"/>
  <c r="EA57" i="33"/>
  <c r="DZ57" i="33"/>
  <c r="DY57" i="33"/>
  <c r="DX57" i="33"/>
  <c r="DW57" i="33"/>
  <c r="DV57" i="33"/>
  <c r="FE56" i="33"/>
  <c r="FD56" i="33"/>
  <c r="FC56" i="33"/>
  <c r="FB56" i="33"/>
  <c r="FA56" i="33"/>
  <c r="EZ56" i="33"/>
  <c r="EY56" i="33"/>
  <c r="EX56" i="33"/>
  <c r="EW56" i="33"/>
  <c r="EV56" i="33"/>
  <c r="EU56" i="33"/>
  <c r="ET56" i="33"/>
  <c r="ES56" i="33"/>
  <c r="ER56" i="33"/>
  <c r="EQ56" i="33"/>
  <c r="EP56" i="33"/>
  <c r="EO56" i="33"/>
  <c r="EN56" i="33"/>
  <c r="EM56" i="33"/>
  <c r="EL56" i="33"/>
  <c r="EK56" i="33"/>
  <c r="EJ56" i="33"/>
  <c r="EI56" i="33"/>
  <c r="EH56" i="33"/>
  <c r="EG56" i="33"/>
  <c r="EF56" i="33"/>
  <c r="EE56" i="33"/>
  <c r="ED56" i="33"/>
  <c r="EC56" i="33"/>
  <c r="EB56" i="33"/>
  <c r="EA56" i="33"/>
  <c r="DZ56" i="33"/>
  <c r="DY56" i="33"/>
  <c r="DX56" i="33"/>
  <c r="DW56" i="33"/>
  <c r="DV56" i="33"/>
  <c r="FE55" i="33"/>
  <c r="FD55" i="33"/>
  <c r="FC55" i="33"/>
  <c r="FB55" i="33"/>
  <c r="FA55" i="33"/>
  <c r="EZ55" i="33"/>
  <c r="EY55" i="33"/>
  <c r="EX55" i="33"/>
  <c r="EW55" i="33"/>
  <c r="EV55" i="33"/>
  <c r="EU55" i="33"/>
  <c r="ET55" i="33"/>
  <c r="ES55" i="33"/>
  <c r="ER55" i="33"/>
  <c r="EQ55" i="33"/>
  <c r="EP55" i="33"/>
  <c r="EO55" i="33"/>
  <c r="EN55" i="33"/>
  <c r="EM55" i="33"/>
  <c r="EL55" i="33"/>
  <c r="EK55" i="33"/>
  <c r="EJ55" i="33"/>
  <c r="EI55" i="33"/>
  <c r="EH55" i="33"/>
  <c r="EG55" i="33"/>
  <c r="EF55" i="33"/>
  <c r="EE55" i="33"/>
  <c r="ED55" i="33"/>
  <c r="EC55" i="33"/>
  <c r="EB55" i="33"/>
  <c r="EA55" i="33"/>
  <c r="DZ55" i="33"/>
  <c r="DY55" i="33"/>
  <c r="DX55" i="33"/>
  <c r="DW55" i="33"/>
  <c r="DV55" i="33"/>
  <c r="FE53" i="33"/>
  <c r="FD53" i="33"/>
  <c r="FC53" i="33"/>
  <c r="FB53" i="33"/>
  <c r="FA53" i="33"/>
  <c r="EZ53" i="33"/>
  <c r="EY53" i="33"/>
  <c r="EX53" i="33"/>
  <c r="EW53" i="33"/>
  <c r="EV53" i="33"/>
  <c r="EU53" i="33"/>
  <c r="ET53" i="33"/>
  <c r="ES53" i="33"/>
  <c r="ER53" i="33"/>
  <c r="EQ53" i="33"/>
  <c r="EP53" i="33"/>
  <c r="EO53" i="33"/>
  <c r="EN53" i="33"/>
  <c r="EM53" i="33"/>
  <c r="EL53" i="33"/>
  <c r="EK53" i="33"/>
  <c r="EJ53" i="33"/>
  <c r="EI53" i="33"/>
  <c r="EH53" i="33"/>
  <c r="EG53" i="33"/>
  <c r="EF53" i="33"/>
  <c r="EE53" i="33"/>
  <c r="ED53" i="33"/>
  <c r="EC53" i="33"/>
  <c r="EB53" i="33"/>
  <c r="EA53" i="33"/>
  <c r="DZ53" i="33"/>
  <c r="FE52" i="33"/>
  <c r="FD52" i="33"/>
  <c r="FC52" i="33"/>
  <c r="FB52" i="33"/>
  <c r="FA52" i="33"/>
  <c r="EZ52" i="33"/>
  <c r="EY52" i="33"/>
  <c r="EX52" i="33"/>
  <c r="EW52" i="33"/>
  <c r="EV52" i="33"/>
  <c r="EU52" i="33"/>
  <c r="ET52" i="33"/>
  <c r="ES52" i="33"/>
  <c r="ER52" i="33"/>
  <c r="EQ52" i="33"/>
  <c r="EP52" i="33"/>
  <c r="EO52" i="33"/>
  <c r="EN52" i="33"/>
  <c r="EM52" i="33"/>
  <c r="EL52" i="33"/>
  <c r="EK52" i="33"/>
  <c r="EJ52" i="33"/>
  <c r="EI52" i="33"/>
  <c r="EH52" i="33"/>
  <c r="EG52" i="33"/>
  <c r="EF52" i="33"/>
  <c r="EE52" i="33"/>
  <c r="ED52" i="33"/>
  <c r="EC52" i="33"/>
  <c r="EB52" i="33"/>
  <c r="EA52" i="33"/>
  <c r="DZ52" i="33"/>
  <c r="DY52" i="33"/>
  <c r="DX52" i="33"/>
  <c r="DW52" i="33"/>
  <c r="DV52" i="33"/>
  <c r="FE51" i="33"/>
  <c r="FD51" i="33"/>
  <c r="FC51" i="33"/>
  <c r="FB51" i="33"/>
  <c r="FA51" i="33"/>
  <c r="EZ51" i="33"/>
  <c r="EY51" i="33"/>
  <c r="EX51" i="33"/>
  <c r="EW51" i="33"/>
  <c r="EV51" i="33"/>
  <c r="EU51" i="33"/>
  <c r="ET51" i="33"/>
  <c r="ES51" i="33"/>
  <c r="ER51" i="33"/>
  <c r="EQ51" i="33"/>
  <c r="EP51" i="33"/>
  <c r="EO51" i="33"/>
  <c r="EN51" i="33"/>
  <c r="EM51" i="33"/>
  <c r="EL51" i="33"/>
  <c r="EK51" i="33"/>
  <c r="EJ51" i="33"/>
  <c r="EI51" i="33"/>
  <c r="EH51" i="33"/>
  <c r="EG51" i="33"/>
  <c r="EF51" i="33"/>
  <c r="EE51" i="33"/>
  <c r="ED51" i="33"/>
  <c r="EC51" i="33"/>
  <c r="EB51" i="33"/>
  <c r="EA51" i="33"/>
  <c r="DZ51" i="33"/>
  <c r="DY51" i="33"/>
  <c r="DX51" i="33"/>
  <c r="DW51" i="33"/>
  <c r="DV51" i="33"/>
  <c r="FE50" i="33"/>
  <c r="FD50" i="33"/>
  <c r="FC50" i="33"/>
  <c r="FB50" i="33"/>
  <c r="FA50" i="33"/>
  <c r="EZ50" i="33"/>
  <c r="EY50" i="33"/>
  <c r="EX50" i="33"/>
  <c r="EW50" i="33"/>
  <c r="EV50" i="33"/>
  <c r="EU50" i="33"/>
  <c r="ET50" i="33"/>
  <c r="ES50" i="33"/>
  <c r="ER50" i="33"/>
  <c r="EQ50" i="33"/>
  <c r="EP50" i="33"/>
  <c r="EO50" i="33"/>
  <c r="EN50" i="33"/>
  <c r="EM50" i="33"/>
  <c r="EL50" i="33"/>
  <c r="EK50" i="33"/>
  <c r="EJ50" i="33"/>
  <c r="EI50" i="33"/>
  <c r="EH50" i="33"/>
  <c r="EG50" i="33"/>
  <c r="EF50" i="33"/>
  <c r="EE50" i="33"/>
  <c r="ED50" i="33"/>
  <c r="EC50" i="33"/>
  <c r="EB50" i="33"/>
  <c r="EA50" i="33"/>
  <c r="DZ50" i="33"/>
  <c r="DY50" i="33"/>
  <c r="DX50" i="33"/>
  <c r="DW50" i="33"/>
  <c r="DV50" i="33"/>
  <c r="FE49" i="33"/>
  <c r="FD49" i="33"/>
  <c r="FC49" i="33"/>
  <c r="FB49" i="33"/>
  <c r="FA49" i="33"/>
  <c r="EZ49" i="33"/>
  <c r="EY49" i="33"/>
  <c r="EX49" i="33"/>
  <c r="EW49" i="33"/>
  <c r="EV49" i="33"/>
  <c r="EU49" i="33"/>
  <c r="ET49" i="33"/>
  <c r="ES49" i="33"/>
  <c r="ER49" i="33"/>
  <c r="EQ49" i="33"/>
  <c r="EP49" i="33"/>
  <c r="EO49" i="33"/>
  <c r="EN49" i="33"/>
  <c r="EM49" i="33"/>
  <c r="EL49" i="33"/>
  <c r="EK49" i="33"/>
  <c r="EJ49" i="33"/>
  <c r="EI49" i="33"/>
  <c r="EH49" i="33"/>
  <c r="EG49" i="33"/>
  <c r="EF49" i="33"/>
  <c r="EE49" i="33"/>
  <c r="ED49" i="33"/>
  <c r="EC49" i="33"/>
  <c r="EB49" i="33"/>
  <c r="EA49" i="33"/>
  <c r="DZ49" i="33"/>
  <c r="DY49" i="33"/>
  <c r="DX49" i="33"/>
  <c r="DW49" i="33"/>
  <c r="DV49" i="33"/>
  <c r="FE48" i="33"/>
  <c r="FD48" i="33"/>
  <c r="FC48" i="33"/>
  <c r="FB48" i="33"/>
  <c r="FA48" i="33"/>
  <c r="EZ48" i="33"/>
  <c r="EY48" i="33"/>
  <c r="EX48" i="33"/>
  <c r="EW48" i="33"/>
  <c r="EV48" i="33"/>
  <c r="EU48" i="33"/>
  <c r="ET48" i="33"/>
  <c r="ES48" i="33"/>
  <c r="ER48" i="33"/>
  <c r="EQ48" i="33"/>
  <c r="EP48" i="33"/>
  <c r="EO48" i="33"/>
  <c r="EN48" i="33"/>
  <c r="EM48" i="33"/>
  <c r="EL48" i="33"/>
  <c r="EK48" i="33"/>
  <c r="EJ48" i="33"/>
  <c r="EI48" i="33"/>
  <c r="EH48" i="33"/>
  <c r="EG48" i="33"/>
  <c r="EF48" i="33"/>
  <c r="EE48" i="33"/>
  <c r="ED48" i="33"/>
  <c r="EC48" i="33"/>
  <c r="EB48" i="33"/>
  <c r="EA48" i="33"/>
  <c r="DZ48" i="33"/>
  <c r="DY48" i="33"/>
  <c r="DX48" i="33"/>
  <c r="DW48" i="33"/>
  <c r="DV48" i="33"/>
  <c r="FE47" i="33"/>
  <c r="FD47" i="33"/>
  <c r="FC47" i="33"/>
  <c r="FB47" i="33"/>
  <c r="FA47" i="33"/>
  <c r="EZ47" i="33"/>
  <c r="EY47" i="33"/>
  <c r="EX47" i="33"/>
  <c r="EW47" i="33"/>
  <c r="EV47" i="33"/>
  <c r="EU47" i="33"/>
  <c r="ET47" i="33"/>
  <c r="ES47" i="33"/>
  <c r="ER47" i="33"/>
  <c r="EQ47" i="33"/>
  <c r="EP47" i="33"/>
  <c r="EO47" i="33"/>
  <c r="EN47" i="33"/>
  <c r="EM47" i="33"/>
  <c r="EL47" i="33"/>
  <c r="EK47" i="33"/>
  <c r="EJ47" i="33"/>
  <c r="EI47" i="33"/>
  <c r="EH47" i="33"/>
  <c r="EG47" i="33"/>
  <c r="EF47" i="33"/>
  <c r="EE47" i="33"/>
  <c r="ED47" i="33"/>
  <c r="EC47" i="33"/>
  <c r="EB47" i="33"/>
  <c r="EA47" i="33"/>
  <c r="DZ47" i="33"/>
  <c r="DY47" i="33"/>
  <c r="DX47" i="33"/>
  <c r="DW47" i="33"/>
  <c r="DV47" i="33"/>
  <c r="FE46" i="33"/>
  <c r="FD46" i="33"/>
  <c r="FC46" i="33"/>
  <c r="FB46" i="33"/>
  <c r="FA46" i="33"/>
  <c r="EZ46" i="33"/>
  <c r="EY46" i="33"/>
  <c r="EX46" i="33"/>
  <c r="EW46" i="33"/>
  <c r="EV46" i="33"/>
  <c r="EU46" i="33"/>
  <c r="ET46" i="33"/>
  <c r="ES46" i="33"/>
  <c r="ER46" i="33"/>
  <c r="EQ46" i="33"/>
  <c r="EP46" i="33"/>
  <c r="EO46" i="33"/>
  <c r="EN46" i="33"/>
  <c r="EM46" i="33"/>
  <c r="EL46" i="33"/>
  <c r="EK46" i="33"/>
  <c r="EJ46" i="33"/>
  <c r="EI46" i="33"/>
  <c r="EH46" i="33"/>
  <c r="EG46" i="33"/>
  <c r="EF46" i="33"/>
  <c r="EE46" i="33"/>
  <c r="ED46" i="33"/>
  <c r="EC46" i="33"/>
  <c r="EB46" i="33"/>
  <c r="EA46" i="33"/>
  <c r="DZ46" i="33"/>
  <c r="DY46" i="33"/>
  <c r="DX46" i="33"/>
  <c r="DW46" i="33"/>
  <c r="DV46" i="33"/>
  <c r="FE45" i="33"/>
  <c r="FD45" i="33"/>
  <c r="FC45" i="33"/>
  <c r="FB45" i="33"/>
  <c r="FA45" i="33"/>
  <c r="EZ45" i="33"/>
  <c r="EY45" i="33"/>
  <c r="EX45" i="33"/>
  <c r="EW45" i="33"/>
  <c r="EV45" i="33"/>
  <c r="EU45" i="33"/>
  <c r="ET45" i="33"/>
  <c r="ES45" i="33"/>
  <c r="ER45" i="33"/>
  <c r="EQ45" i="33"/>
  <c r="EP45" i="33"/>
  <c r="EO45" i="33"/>
  <c r="EN45" i="33"/>
  <c r="EM45" i="33"/>
  <c r="EL45" i="33"/>
  <c r="EK45" i="33"/>
  <c r="EJ45" i="33"/>
  <c r="EI45" i="33"/>
  <c r="EH45" i="33"/>
  <c r="EG45" i="33"/>
  <c r="EF45" i="33"/>
  <c r="EE45" i="33"/>
  <c r="ED45" i="33"/>
  <c r="EC45" i="33"/>
  <c r="EB45" i="33"/>
  <c r="EA45" i="33"/>
  <c r="DZ45" i="33"/>
  <c r="DY45" i="33"/>
  <c r="DX45" i="33"/>
  <c r="DW45" i="33"/>
  <c r="DV45" i="33"/>
  <c r="FE44" i="33"/>
  <c r="FD44" i="33"/>
  <c r="FC44" i="33"/>
  <c r="FB44" i="33"/>
  <c r="FA44" i="33"/>
  <c r="EZ44" i="33"/>
  <c r="EY44" i="33"/>
  <c r="EX44" i="33"/>
  <c r="EW44" i="33"/>
  <c r="EV44" i="33"/>
  <c r="EU44" i="33"/>
  <c r="ET44" i="33"/>
  <c r="ES44" i="33"/>
  <c r="ER44" i="33"/>
  <c r="EQ44" i="33"/>
  <c r="EP44" i="33"/>
  <c r="EO44" i="33"/>
  <c r="EN44" i="33"/>
  <c r="EM44" i="33"/>
  <c r="EL44" i="33"/>
  <c r="EK44" i="33"/>
  <c r="EJ44" i="33"/>
  <c r="EI44" i="33"/>
  <c r="EH44" i="33"/>
  <c r="EG44" i="33"/>
  <c r="EF44" i="33"/>
  <c r="EE44" i="33"/>
  <c r="ED44" i="33"/>
  <c r="EC44" i="33"/>
  <c r="EB44" i="33"/>
  <c r="EA44" i="33"/>
  <c r="DZ44" i="33"/>
  <c r="DY44" i="33"/>
  <c r="DX44" i="33"/>
  <c r="DW44" i="33"/>
  <c r="DV44" i="33"/>
  <c r="FE43" i="33"/>
  <c r="FD43" i="33"/>
  <c r="FC43" i="33"/>
  <c r="FB43" i="33"/>
  <c r="FA43" i="33"/>
  <c r="EZ43" i="33"/>
  <c r="EY43" i="33"/>
  <c r="EX43" i="33"/>
  <c r="EW43" i="33"/>
  <c r="EV43" i="33"/>
  <c r="EU43" i="33"/>
  <c r="ET43" i="33"/>
  <c r="ES43" i="33"/>
  <c r="ER43" i="33"/>
  <c r="EQ43" i="33"/>
  <c r="EP43" i="33"/>
  <c r="EO43" i="33"/>
  <c r="EN43" i="33"/>
  <c r="EM43" i="33"/>
  <c r="EL43" i="33"/>
  <c r="EK43" i="33"/>
  <c r="EJ43" i="33"/>
  <c r="EI43" i="33"/>
  <c r="EH43" i="33"/>
  <c r="EG43" i="33"/>
  <c r="EF43" i="33"/>
  <c r="EE43" i="33"/>
  <c r="ED43" i="33"/>
  <c r="EC43" i="33"/>
  <c r="EB43" i="33"/>
  <c r="EA43" i="33"/>
  <c r="DZ43" i="33"/>
  <c r="DY43" i="33"/>
  <c r="DX43" i="33"/>
  <c r="DW43" i="33"/>
  <c r="DV43" i="33"/>
  <c r="FE42" i="33"/>
  <c r="FD42" i="33"/>
  <c r="FC42" i="33"/>
  <c r="FB42" i="33"/>
  <c r="FA42" i="33"/>
  <c r="EZ42" i="33"/>
  <c r="EY42" i="33"/>
  <c r="EX42" i="33"/>
  <c r="EW42" i="33"/>
  <c r="EV42" i="33"/>
  <c r="EU42" i="33"/>
  <c r="ET42" i="33"/>
  <c r="ES42" i="33"/>
  <c r="ER42" i="33"/>
  <c r="EQ42" i="33"/>
  <c r="EP42" i="33"/>
  <c r="EO42" i="33"/>
  <c r="EN42" i="33"/>
  <c r="EM42" i="33"/>
  <c r="EL42" i="33"/>
  <c r="EK42" i="33"/>
  <c r="EJ42" i="33"/>
  <c r="EI42" i="33"/>
  <c r="EH42" i="33"/>
  <c r="EG42" i="33"/>
  <c r="EF42" i="33"/>
  <c r="EE42" i="33"/>
  <c r="ED42" i="33"/>
  <c r="EC42" i="33"/>
  <c r="EB42" i="33"/>
  <c r="EA42" i="33"/>
  <c r="DZ42" i="33"/>
  <c r="DY42" i="33"/>
  <c r="DX42" i="33"/>
  <c r="DW42" i="33"/>
  <c r="DV42" i="33"/>
  <c r="FE41" i="33"/>
  <c r="FD41" i="33"/>
  <c r="FC41" i="33"/>
  <c r="FB41" i="33"/>
  <c r="FA41" i="33"/>
  <c r="EZ41" i="33"/>
  <c r="EY41" i="33"/>
  <c r="EX41" i="33"/>
  <c r="EW41" i="33"/>
  <c r="EV41" i="33"/>
  <c r="EU41" i="33"/>
  <c r="ET41" i="33"/>
  <c r="ES41" i="33"/>
  <c r="ER41" i="33"/>
  <c r="EQ41" i="33"/>
  <c r="EP41" i="33"/>
  <c r="EO41" i="33"/>
  <c r="EN41" i="33"/>
  <c r="EM41" i="33"/>
  <c r="EL41" i="33"/>
  <c r="EK41" i="33"/>
  <c r="EJ41" i="33"/>
  <c r="EI41" i="33"/>
  <c r="EH41" i="33"/>
  <c r="EG41" i="33"/>
  <c r="EF41" i="33"/>
  <c r="EE41" i="33"/>
  <c r="ED41" i="33"/>
  <c r="EC41" i="33"/>
  <c r="EB41" i="33"/>
  <c r="EA41" i="33"/>
  <c r="DZ41" i="33"/>
  <c r="DY41" i="33"/>
  <c r="DX41" i="33"/>
  <c r="DW41" i="33"/>
  <c r="DV41" i="33"/>
  <c r="FE38" i="33"/>
  <c r="FD38" i="33"/>
  <c r="FC38" i="33"/>
  <c r="FB38" i="33"/>
  <c r="FA38" i="33"/>
  <c r="EZ38" i="33"/>
  <c r="EY38" i="33"/>
  <c r="EX38" i="33"/>
  <c r="EW38" i="33"/>
  <c r="EV38" i="33"/>
  <c r="EU38" i="33"/>
  <c r="ET38" i="33"/>
  <c r="ES38" i="33"/>
  <c r="ER38" i="33"/>
  <c r="EQ38" i="33"/>
  <c r="EP38" i="33"/>
  <c r="EO38" i="33"/>
  <c r="EN38" i="33"/>
  <c r="EM38" i="33"/>
  <c r="EL38" i="33"/>
  <c r="EK38" i="33"/>
  <c r="EJ38" i="33"/>
  <c r="EI38" i="33"/>
  <c r="EH38" i="33"/>
  <c r="EG38" i="33"/>
  <c r="EF38" i="33"/>
  <c r="EE38" i="33"/>
  <c r="ED38" i="33"/>
  <c r="EC38" i="33"/>
  <c r="EB38" i="33"/>
  <c r="EA38" i="33"/>
  <c r="DZ38" i="33"/>
  <c r="DY38" i="33"/>
  <c r="DX38" i="33"/>
  <c r="DW38" i="33"/>
  <c r="DV38" i="33"/>
  <c r="FE37" i="33"/>
  <c r="FD37" i="33"/>
  <c r="FC37" i="33"/>
  <c r="FB37" i="33"/>
  <c r="FA37" i="33"/>
  <c r="EZ37" i="33"/>
  <c r="EY37" i="33"/>
  <c r="EX37" i="33"/>
  <c r="EW37" i="33"/>
  <c r="EV37" i="33"/>
  <c r="EU37" i="33"/>
  <c r="ET37" i="33"/>
  <c r="ES37" i="33"/>
  <c r="ER37" i="33"/>
  <c r="EQ37" i="33"/>
  <c r="EP37" i="33"/>
  <c r="EO37" i="33"/>
  <c r="EN37" i="33"/>
  <c r="EM37" i="33"/>
  <c r="EL37" i="33"/>
  <c r="EK37" i="33"/>
  <c r="EJ37" i="33"/>
  <c r="EI37" i="33"/>
  <c r="EH37" i="33"/>
  <c r="EG37" i="33"/>
  <c r="EF37" i="33"/>
  <c r="EE37" i="33"/>
  <c r="ED37" i="33"/>
  <c r="EC37" i="33"/>
  <c r="EB37" i="33"/>
  <c r="EA37" i="33"/>
  <c r="DZ37" i="33"/>
  <c r="DY37" i="33"/>
  <c r="DX37" i="33"/>
  <c r="DW37" i="33"/>
  <c r="DV37" i="33"/>
  <c r="FE36" i="33"/>
  <c r="FD36" i="33"/>
  <c r="FC36" i="33"/>
  <c r="FB36" i="33"/>
  <c r="FA36" i="33"/>
  <c r="EZ36" i="33"/>
  <c r="EY36" i="33"/>
  <c r="EX36" i="33"/>
  <c r="EW36" i="33"/>
  <c r="EV36" i="33"/>
  <c r="EU36" i="33"/>
  <c r="ET36" i="33"/>
  <c r="ES36" i="33"/>
  <c r="ER36" i="33"/>
  <c r="EQ36" i="33"/>
  <c r="EP36" i="33"/>
  <c r="EO36" i="33"/>
  <c r="EN36" i="33"/>
  <c r="EM36" i="33"/>
  <c r="EL36" i="33"/>
  <c r="EK36" i="33"/>
  <c r="EJ36" i="33"/>
  <c r="EI36" i="33"/>
  <c r="EH36" i="33"/>
  <c r="EG36" i="33"/>
  <c r="EF36" i="33"/>
  <c r="EE36" i="33"/>
  <c r="ED36" i="33"/>
  <c r="EC36" i="33"/>
  <c r="EB36" i="33"/>
  <c r="EA36" i="33"/>
  <c r="DZ36" i="33"/>
  <c r="DY36" i="33"/>
  <c r="DX36" i="33"/>
  <c r="DW36" i="33"/>
  <c r="DV36" i="33"/>
  <c r="FE35" i="33"/>
  <c r="FD35" i="33"/>
  <c r="FC35" i="33"/>
  <c r="FB35" i="33"/>
  <c r="FA35" i="33"/>
  <c r="EZ35" i="33"/>
  <c r="EY35" i="33"/>
  <c r="EX35" i="33"/>
  <c r="EW35" i="33"/>
  <c r="EV35" i="33"/>
  <c r="EU35" i="33"/>
  <c r="ET35" i="33"/>
  <c r="ES35" i="33"/>
  <c r="ER35" i="33"/>
  <c r="EQ35" i="33"/>
  <c r="EP35" i="33"/>
  <c r="EO35" i="33"/>
  <c r="EN35" i="33"/>
  <c r="EM35" i="33"/>
  <c r="EL35" i="33"/>
  <c r="EK35" i="33"/>
  <c r="EJ35" i="33"/>
  <c r="EI35" i="33"/>
  <c r="EH35" i="33"/>
  <c r="EG35" i="33"/>
  <c r="EF35" i="33"/>
  <c r="EE35" i="33"/>
  <c r="ED35" i="33"/>
  <c r="EC35" i="33"/>
  <c r="EB35" i="33"/>
  <c r="EA35" i="33"/>
  <c r="DZ35" i="33"/>
  <c r="DY35" i="33"/>
  <c r="DX35" i="33"/>
  <c r="DW35" i="33"/>
  <c r="DV35" i="33"/>
  <c r="FE34" i="33"/>
  <c r="FD34" i="33"/>
  <c r="FC34" i="33"/>
  <c r="FB34" i="33"/>
  <c r="FA34" i="33"/>
  <c r="EZ34" i="33"/>
  <c r="EY34" i="33"/>
  <c r="EX34" i="33"/>
  <c r="EW34" i="33"/>
  <c r="EV34" i="33"/>
  <c r="EU34" i="33"/>
  <c r="ET34" i="33"/>
  <c r="ES34" i="33"/>
  <c r="ER34" i="33"/>
  <c r="EQ34" i="33"/>
  <c r="EP34" i="33"/>
  <c r="EO34" i="33"/>
  <c r="EN34" i="33"/>
  <c r="EM34" i="33"/>
  <c r="EL34" i="33"/>
  <c r="EK34" i="33"/>
  <c r="EJ34" i="33"/>
  <c r="EI34" i="33"/>
  <c r="EH34" i="33"/>
  <c r="EG34" i="33"/>
  <c r="EF34" i="33"/>
  <c r="EE34" i="33"/>
  <c r="ED34" i="33"/>
  <c r="EC34" i="33"/>
  <c r="EB34" i="33"/>
  <c r="EA34" i="33"/>
  <c r="DZ34" i="33"/>
  <c r="DY34" i="33"/>
  <c r="DX34" i="33"/>
  <c r="DW34" i="33"/>
  <c r="DV34" i="33"/>
  <c r="FE33" i="33"/>
  <c r="FD33" i="33"/>
  <c r="FC33" i="33"/>
  <c r="FB33" i="33"/>
  <c r="FA33" i="33"/>
  <c r="EZ33" i="33"/>
  <c r="EY33" i="33"/>
  <c r="EX33" i="33"/>
  <c r="EW33" i="33"/>
  <c r="EV33" i="33"/>
  <c r="EU33" i="33"/>
  <c r="ET33" i="33"/>
  <c r="ES33" i="33"/>
  <c r="ER33" i="33"/>
  <c r="EQ33" i="33"/>
  <c r="EP33" i="33"/>
  <c r="EO33" i="33"/>
  <c r="EN33" i="33"/>
  <c r="EM33" i="33"/>
  <c r="EL33" i="33"/>
  <c r="EK33" i="33"/>
  <c r="EJ33" i="33"/>
  <c r="EI33" i="33"/>
  <c r="EH33" i="33"/>
  <c r="EG33" i="33"/>
  <c r="EF33" i="33"/>
  <c r="EE33" i="33"/>
  <c r="ED33" i="33"/>
  <c r="EC33" i="33"/>
  <c r="EB33" i="33"/>
  <c r="EA33" i="33"/>
  <c r="DZ33" i="33"/>
  <c r="DY33" i="33"/>
  <c r="DX33" i="33"/>
  <c r="DW33" i="33"/>
  <c r="DV33" i="33"/>
  <c r="FE32" i="33"/>
  <c r="FD32" i="33"/>
  <c r="FC32" i="33"/>
  <c r="FB32" i="33"/>
  <c r="FA32" i="33"/>
  <c r="EZ32" i="33"/>
  <c r="EY32" i="33"/>
  <c r="EX32" i="33"/>
  <c r="EW32" i="33"/>
  <c r="EV32" i="33"/>
  <c r="EU32" i="33"/>
  <c r="ET32" i="33"/>
  <c r="ES32" i="33"/>
  <c r="ER32" i="33"/>
  <c r="EQ32" i="33"/>
  <c r="EP32" i="33"/>
  <c r="EO32" i="33"/>
  <c r="EN32" i="33"/>
  <c r="EM32" i="33"/>
  <c r="EL32" i="33"/>
  <c r="EK32" i="33"/>
  <c r="EJ32" i="33"/>
  <c r="EI32" i="33"/>
  <c r="EH32" i="33"/>
  <c r="EG32" i="33"/>
  <c r="EF32" i="33"/>
  <c r="EE32" i="33"/>
  <c r="ED32" i="33"/>
  <c r="EC32" i="33"/>
  <c r="EB32" i="33"/>
  <c r="EA32" i="33"/>
  <c r="DZ32" i="33"/>
  <c r="DY32" i="33"/>
  <c r="DX32" i="33"/>
  <c r="DW32" i="33"/>
  <c r="DV32" i="33"/>
  <c r="FE31" i="33"/>
  <c r="FD31" i="33"/>
  <c r="FC31" i="33"/>
  <c r="FB31" i="33"/>
  <c r="FA31" i="33"/>
  <c r="EZ31" i="33"/>
  <c r="EY31" i="33"/>
  <c r="EX31" i="33"/>
  <c r="EW31" i="33"/>
  <c r="EV31" i="33"/>
  <c r="EU31" i="33"/>
  <c r="ET31" i="33"/>
  <c r="ES31" i="33"/>
  <c r="ER31" i="33"/>
  <c r="EQ31" i="33"/>
  <c r="EP31" i="33"/>
  <c r="EO31" i="33"/>
  <c r="EN31" i="33"/>
  <c r="EM31" i="33"/>
  <c r="EL31" i="33"/>
  <c r="EK31" i="33"/>
  <c r="EJ31" i="33"/>
  <c r="EI31" i="33"/>
  <c r="EH31" i="33"/>
  <c r="EG31" i="33"/>
  <c r="EF31" i="33"/>
  <c r="EE31" i="33"/>
  <c r="ED31" i="33"/>
  <c r="EC31" i="33"/>
  <c r="EB31" i="33"/>
  <c r="EA31" i="33"/>
  <c r="DZ31" i="33"/>
  <c r="DY31" i="33"/>
  <c r="DX31" i="33"/>
  <c r="DW31" i="33"/>
  <c r="DV31" i="33"/>
  <c r="FE30" i="33"/>
  <c r="FD30" i="33"/>
  <c r="FC30" i="33"/>
  <c r="FB30" i="33"/>
  <c r="FA30" i="33"/>
  <c r="EZ30" i="33"/>
  <c r="EY30" i="33"/>
  <c r="EX30" i="33"/>
  <c r="EW30" i="33"/>
  <c r="EV30" i="33"/>
  <c r="EU30" i="33"/>
  <c r="ET30" i="33"/>
  <c r="ES30" i="33"/>
  <c r="ER30" i="33"/>
  <c r="EQ30" i="33"/>
  <c r="EP30" i="33"/>
  <c r="EO30" i="33"/>
  <c r="EN30" i="33"/>
  <c r="EM30" i="33"/>
  <c r="EL30" i="33"/>
  <c r="EK30" i="33"/>
  <c r="EJ30" i="33"/>
  <c r="EI30" i="33"/>
  <c r="EH30" i="33"/>
  <c r="EG30" i="33"/>
  <c r="EF30" i="33"/>
  <c r="EE30" i="33"/>
  <c r="ED30" i="33"/>
  <c r="EC30" i="33"/>
  <c r="EB30" i="33"/>
  <c r="EA30" i="33"/>
  <c r="DZ30" i="33"/>
  <c r="DY30" i="33"/>
  <c r="DX30" i="33"/>
  <c r="DW30" i="33"/>
  <c r="DV30" i="33"/>
  <c r="FE29" i="33"/>
  <c r="FD29" i="33"/>
  <c r="FC29" i="33"/>
  <c r="FB29" i="33"/>
  <c r="FA29" i="33"/>
  <c r="EZ29" i="33"/>
  <c r="EY29" i="33"/>
  <c r="EX29" i="33"/>
  <c r="EW29" i="33"/>
  <c r="EV29" i="33"/>
  <c r="EU29" i="33"/>
  <c r="ET29" i="33"/>
  <c r="ES29" i="33"/>
  <c r="ER29" i="33"/>
  <c r="EQ29" i="33"/>
  <c r="EP29" i="33"/>
  <c r="EO29" i="33"/>
  <c r="EN29" i="33"/>
  <c r="EM29" i="33"/>
  <c r="EL29" i="33"/>
  <c r="EK29" i="33"/>
  <c r="EJ29" i="33"/>
  <c r="EI29" i="33"/>
  <c r="EH29" i="33"/>
  <c r="EG29" i="33"/>
  <c r="EF29" i="33"/>
  <c r="EE29" i="33"/>
  <c r="ED29" i="33"/>
  <c r="EC29" i="33"/>
  <c r="EB29" i="33"/>
  <c r="EA29" i="33"/>
  <c r="DZ29" i="33"/>
  <c r="DY29" i="33"/>
  <c r="DX29" i="33"/>
  <c r="DW29" i="33"/>
  <c r="DV29" i="33"/>
  <c r="FE28" i="33"/>
  <c r="FD28" i="33"/>
  <c r="FC28" i="33"/>
  <c r="FB28" i="33"/>
  <c r="FA28" i="33"/>
  <c r="EZ28" i="33"/>
  <c r="EY28" i="33"/>
  <c r="EX28" i="33"/>
  <c r="EW28" i="33"/>
  <c r="EV28" i="33"/>
  <c r="EU28" i="33"/>
  <c r="ET28" i="33"/>
  <c r="ES28" i="33"/>
  <c r="ER28" i="33"/>
  <c r="EQ28" i="33"/>
  <c r="EP28" i="33"/>
  <c r="EO28" i="33"/>
  <c r="EN28" i="33"/>
  <c r="EM28" i="33"/>
  <c r="EL28" i="33"/>
  <c r="EK28" i="33"/>
  <c r="EJ28" i="33"/>
  <c r="EI28" i="33"/>
  <c r="EH28" i="33"/>
  <c r="EG28" i="33"/>
  <c r="EF28" i="33"/>
  <c r="EE28" i="33"/>
  <c r="ED28" i="33"/>
  <c r="EC28" i="33"/>
  <c r="EB28" i="33"/>
  <c r="EA28" i="33"/>
  <c r="DZ28" i="33"/>
  <c r="DY28" i="33"/>
  <c r="DX28" i="33"/>
  <c r="DW28" i="33"/>
  <c r="DV28" i="33"/>
  <c r="FE27" i="33"/>
  <c r="FD27" i="33"/>
  <c r="FC27" i="33"/>
  <c r="FB27" i="33"/>
  <c r="FA27" i="33"/>
  <c r="EZ27" i="33"/>
  <c r="EY27" i="33"/>
  <c r="EX27" i="33"/>
  <c r="EW27" i="33"/>
  <c r="EV27" i="33"/>
  <c r="EU27" i="33"/>
  <c r="ET27" i="33"/>
  <c r="ES27" i="33"/>
  <c r="ER27" i="33"/>
  <c r="EQ27" i="33"/>
  <c r="EP27" i="33"/>
  <c r="EO27" i="33"/>
  <c r="EN27" i="33"/>
  <c r="EM27" i="33"/>
  <c r="EL27" i="33"/>
  <c r="EK27" i="33"/>
  <c r="EJ27" i="33"/>
  <c r="EI27" i="33"/>
  <c r="EH27" i="33"/>
  <c r="EG27" i="33"/>
  <c r="EF27" i="33"/>
  <c r="EE27" i="33"/>
  <c r="ED27" i="33"/>
  <c r="EC27" i="33"/>
  <c r="EB27" i="33"/>
  <c r="EA27" i="33"/>
  <c r="DZ27" i="33"/>
  <c r="DY27" i="33"/>
  <c r="DX27" i="33"/>
  <c r="DW27" i="33"/>
  <c r="DV27" i="33"/>
  <c r="FE26" i="33"/>
  <c r="FD26" i="33"/>
  <c r="FC26" i="33"/>
  <c r="FB26" i="33"/>
  <c r="FA26" i="33"/>
  <c r="EZ26" i="33"/>
  <c r="EY26" i="33"/>
  <c r="EX26" i="33"/>
  <c r="EW26" i="33"/>
  <c r="EV26" i="33"/>
  <c r="EU26" i="33"/>
  <c r="ET26" i="33"/>
  <c r="ES26" i="33"/>
  <c r="ER26" i="33"/>
  <c r="EQ26" i="33"/>
  <c r="EP26" i="33"/>
  <c r="EO26" i="33"/>
  <c r="EN26" i="33"/>
  <c r="EM26" i="33"/>
  <c r="EL26" i="33"/>
  <c r="EK26" i="33"/>
  <c r="EJ26" i="33"/>
  <c r="EI26" i="33"/>
  <c r="EH26" i="33"/>
  <c r="EG26" i="33"/>
  <c r="EF26" i="33"/>
  <c r="EE26" i="33"/>
  <c r="ED26" i="33"/>
  <c r="EC26" i="33"/>
  <c r="EB26" i="33"/>
  <c r="EA26" i="33"/>
  <c r="DZ26" i="33"/>
  <c r="DY26" i="33"/>
  <c r="DX26" i="33"/>
  <c r="DW26" i="33"/>
  <c r="DV26" i="33"/>
  <c r="FE23" i="33"/>
  <c r="FD23" i="33"/>
  <c r="FC23" i="33"/>
  <c r="FB23" i="33"/>
  <c r="FA23" i="33"/>
  <c r="EZ23" i="33"/>
  <c r="EY23" i="33"/>
  <c r="EX23" i="33"/>
  <c r="EW23" i="33"/>
  <c r="EV23" i="33"/>
  <c r="EU23" i="33"/>
  <c r="ET23" i="33"/>
  <c r="ES23" i="33"/>
  <c r="ER23" i="33"/>
  <c r="EQ23" i="33"/>
  <c r="EP23" i="33"/>
  <c r="EO23" i="33"/>
  <c r="EN23" i="33"/>
  <c r="EM23" i="33"/>
  <c r="EL23" i="33"/>
  <c r="EK23" i="33"/>
  <c r="EJ23" i="33"/>
  <c r="EI23" i="33"/>
  <c r="EH23" i="33"/>
  <c r="EG23" i="33"/>
  <c r="EF23" i="33"/>
  <c r="EE23" i="33"/>
  <c r="ED23" i="33"/>
  <c r="EC23" i="33"/>
  <c r="EB23" i="33"/>
  <c r="EA23" i="33"/>
  <c r="DZ23" i="33"/>
  <c r="DY23" i="33"/>
  <c r="DX23" i="33"/>
  <c r="DW23" i="33"/>
  <c r="DV23" i="33"/>
  <c r="FE22" i="33"/>
  <c r="FD22" i="33"/>
  <c r="FC22" i="33"/>
  <c r="FB22" i="33"/>
  <c r="FA22" i="33"/>
  <c r="EZ22" i="33"/>
  <c r="EY22" i="33"/>
  <c r="EX22" i="33"/>
  <c r="EW22" i="33"/>
  <c r="EV22" i="33"/>
  <c r="EU22" i="33"/>
  <c r="ET22" i="33"/>
  <c r="ES22" i="33"/>
  <c r="ER22" i="33"/>
  <c r="EQ22" i="33"/>
  <c r="EP22" i="33"/>
  <c r="EO22" i="33"/>
  <c r="EN22" i="33"/>
  <c r="EM22" i="33"/>
  <c r="EL22" i="33"/>
  <c r="EK22" i="33"/>
  <c r="EJ22" i="33"/>
  <c r="EI22" i="33"/>
  <c r="EH22" i="33"/>
  <c r="EG22" i="33"/>
  <c r="EF22" i="33"/>
  <c r="EE22" i="33"/>
  <c r="ED22" i="33"/>
  <c r="EC22" i="33"/>
  <c r="EB22" i="33"/>
  <c r="EA22" i="33"/>
  <c r="DZ22" i="33"/>
  <c r="DY22" i="33"/>
  <c r="DX22" i="33"/>
  <c r="DW22" i="33"/>
  <c r="DV22" i="33"/>
  <c r="FE21" i="33"/>
  <c r="FD21" i="33"/>
  <c r="FC21" i="33"/>
  <c r="FB21" i="33"/>
  <c r="FA21" i="33"/>
  <c r="EZ21" i="33"/>
  <c r="EY21" i="33"/>
  <c r="EX21" i="33"/>
  <c r="EW21" i="33"/>
  <c r="EV21" i="33"/>
  <c r="EU21" i="33"/>
  <c r="ET21" i="33"/>
  <c r="ES21" i="33"/>
  <c r="ER21" i="33"/>
  <c r="EQ21" i="33"/>
  <c r="EP21" i="33"/>
  <c r="EO21" i="33"/>
  <c r="EN21" i="33"/>
  <c r="EM21" i="33"/>
  <c r="EL21" i="33"/>
  <c r="EK21" i="33"/>
  <c r="EJ21" i="33"/>
  <c r="EI21" i="33"/>
  <c r="EH21" i="33"/>
  <c r="EG21" i="33"/>
  <c r="EF21" i="33"/>
  <c r="EE21" i="33"/>
  <c r="ED21" i="33"/>
  <c r="EC21" i="33"/>
  <c r="EB21" i="33"/>
  <c r="EA21" i="33"/>
  <c r="DZ21" i="33"/>
  <c r="DY21" i="33"/>
  <c r="DX21" i="33"/>
  <c r="DW21" i="33"/>
  <c r="DV21" i="33"/>
  <c r="FE20" i="33"/>
  <c r="FD20" i="33"/>
  <c r="FC20" i="33"/>
  <c r="FB20" i="33"/>
  <c r="FA20" i="33"/>
  <c r="EZ20" i="33"/>
  <c r="EY20" i="33"/>
  <c r="EX20" i="33"/>
  <c r="EW20" i="33"/>
  <c r="EV20" i="33"/>
  <c r="EU20" i="33"/>
  <c r="ET20" i="33"/>
  <c r="ES20" i="33"/>
  <c r="ER20" i="33"/>
  <c r="EQ20" i="33"/>
  <c r="EP20" i="33"/>
  <c r="EO20" i="33"/>
  <c r="EN20" i="33"/>
  <c r="EM20" i="33"/>
  <c r="EL20" i="33"/>
  <c r="EK20" i="33"/>
  <c r="EJ20" i="33"/>
  <c r="EI20" i="33"/>
  <c r="EH20" i="33"/>
  <c r="EG20" i="33"/>
  <c r="EF20" i="33"/>
  <c r="EE20" i="33"/>
  <c r="ED20" i="33"/>
  <c r="EC20" i="33"/>
  <c r="EB20" i="33"/>
  <c r="EA20" i="33"/>
  <c r="DZ20" i="33"/>
  <c r="DY20" i="33"/>
  <c r="DX20" i="33"/>
  <c r="DW20" i="33"/>
  <c r="DV20" i="33"/>
  <c r="FE19" i="33"/>
  <c r="FD19" i="33"/>
  <c r="FC19" i="33"/>
  <c r="FB19" i="33"/>
  <c r="FA19" i="33"/>
  <c r="EZ19" i="33"/>
  <c r="EY19" i="33"/>
  <c r="EX19" i="33"/>
  <c r="EW19" i="33"/>
  <c r="EV19" i="33"/>
  <c r="EU19" i="33"/>
  <c r="ET19" i="33"/>
  <c r="ES19" i="33"/>
  <c r="ER19" i="33"/>
  <c r="EQ19" i="33"/>
  <c r="EP19" i="33"/>
  <c r="EO19" i="33"/>
  <c r="EN19" i="33"/>
  <c r="EM19" i="33"/>
  <c r="EL19" i="33"/>
  <c r="EK19" i="33"/>
  <c r="EJ19" i="33"/>
  <c r="EI19" i="33"/>
  <c r="EH19" i="33"/>
  <c r="EG19" i="33"/>
  <c r="EF19" i="33"/>
  <c r="EE19" i="33"/>
  <c r="ED19" i="33"/>
  <c r="EC19" i="33"/>
  <c r="EB19" i="33"/>
  <c r="EA19" i="33"/>
  <c r="DZ19" i="33"/>
  <c r="DY19" i="33"/>
  <c r="DX19" i="33"/>
  <c r="DW19" i="33"/>
  <c r="DV19" i="33"/>
  <c r="FE18" i="33"/>
  <c r="FD18" i="33"/>
  <c r="FC18" i="33"/>
  <c r="FB18" i="33"/>
  <c r="FA18" i="33"/>
  <c r="EZ18" i="33"/>
  <c r="EY18" i="33"/>
  <c r="EX18" i="33"/>
  <c r="EW18" i="33"/>
  <c r="EV18" i="33"/>
  <c r="EU18" i="33"/>
  <c r="ET18" i="33"/>
  <c r="ES18" i="33"/>
  <c r="ER18" i="33"/>
  <c r="EQ18" i="33"/>
  <c r="EP18" i="33"/>
  <c r="EO18" i="33"/>
  <c r="EN18" i="33"/>
  <c r="EM18" i="33"/>
  <c r="EL18" i="33"/>
  <c r="EK18" i="33"/>
  <c r="EJ18" i="33"/>
  <c r="EI18" i="33"/>
  <c r="EH18" i="33"/>
  <c r="EG18" i="33"/>
  <c r="EF18" i="33"/>
  <c r="EE18" i="33"/>
  <c r="ED18" i="33"/>
  <c r="EC18" i="33"/>
  <c r="EB18" i="33"/>
  <c r="EA18" i="33"/>
  <c r="DZ18" i="33"/>
  <c r="DY18" i="33"/>
  <c r="DX18" i="33"/>
  <c r="DW18" i="33"/>
  <c r="DV18" i="33"/>
  <c r="FE17" i="33"/>
  <c r="FD17" i="33"/>
  <c r="FC17" i="33"/>
  <c r="FB17" i="33"/>
  <c r="FA17" i="33"/>
  <c r="EZ17" i="33"/>
  <c r="EY17" i="33"/>
  <c r="EX17" i="33"/>
  <c r="EW17" i="33"/>
  <c r="EV17" i="33"/>
  <c r="EU17" i="33"/>
  <c r="ET17" i="33"/>
  <c r="ES17" i="33"/>
  <c r="ER17" i="33"/>
  <c r="EQ17" i="33"/>
  <c r="EP17" i="33"/>
  <c r="EO17" i="33"/>
  <c r="EN17" i="33"/>
  <c r="EM17" i="33"/>
  <c r="EL17" i="33"/>
  <c r="EK17" i="33"/>
  <c r="EJ17" i="33"/>
  <c r="EI17" i="33"/>
  <c r="EH17" i="33"/>
  <c r="EG17" i="33"/>
  <c r="EF17" i="33"/>
  <c r="EE17" i="33"/>
  <c r="ED17" i="33"/>
  <c r="EC17" i="33"/>
  <c r="EB17" i="33"/>
  <c r="EA17" i="33"/>
  <c r="DZ17" i="33"/>
  <c r="DY17" i="33"/>
  <c r="DX17" i="33"/>
  <c r="DW17" i="33"/>
  <c r="DV17" i="33"/>
  <c r="FE16" i="33"/>
  <c r="FD16" i="33"/>
  <c r="FC16" i="33"/>
  <c r="FB16" i="33"/>
  <c r="FA16" i="33"/>
  <c r="EZ16" i="33"/>
  <c r="EY16" i="33"/>
  <c r="EX16" i="33"/>
  <c r="EW16" i="33"/>
  <c r="EV16" i="33"/>
  <c r="EU16" i="33"/>
  <c r="ET16" i="33"/>
  <c r="ES16" i="33"/>
  <c r="ER16" i="33"/>
  <c r="EQ16" i="33"/>
  <c r="EP16" i="33"/>
  <c r="EO16" i="33"/>
  <c r="EN16" i="33"/>
  <c r="EM16" i="33"/>
  <c r="EL16" i="33"/>
  <c r="EK16" i="33"/>
  <c r="EJ16" i="33"/>
  <c r="EI16" i="33"/>
  <c r="EH16" i="33"/>
  <c r="EG16" i="33"/>
  <c r="EF16" i="33"/>
  <c r="EE16" i="33"/>
  <c r="ED16" i="33"/>
  <c r="EC16" i="33"/>
  <c r="EB16" i="33"/>
  <c r="EA16" i="33"/>
  <c r="DZ16" i="33"/>
  <c r="DY16" i="33"/>
  <c r="DX16" i="33"/>
  <c r="DW16" i="33"/>
  <c r="DV16" i="33"/>
  <c r="FE15" i="33"/>
  <c r="FD15" i="33"/>
  <c r="FC15" i="33"/>
  <c r="FB15" i="33"/>
  <c r="FA15" i="33"/>
  <c r="EZ15" i="33"/>
  <c r="EY15" i="33"/>
  <c r="EX15" i="33"/>
  <c r="EW15" i="33"/>
  <c r="EV15" i="33"/>
  <c r="EU15" i="33"/>
  <c r="ET15" i="33"/>
  <c r="ES15" i="33"/>
  <c r="ER15" i="33"/>
  <c r="EQ15" i="33"/>
  <c r="EP15" i="33"/>
  <c r="EO15" i="33"/>
  <c r="EN15" i="33"/>
  <c r="EM15" i="33"/>
  <c r="EL15" i="33"/>
  <c r="EK15" i="33"/>
  <c r="EJ15" i="33"/>
  <c r="EI15" i="33"/>
  <c r="EH15" i="33"/>
  <c r="EG15" i="33"/>
  <c r="EF15" i="33"/>
  <c r="EE15" i="33"/>
  <c r="ED15" i="33"/>
  <c r="EC15" i="33"/>
  <c r="EB15" i="33"/>
  <c r="EA15" i="33"/>
  <c r="DZ15" i="33"/>
  <c r="DY15" i="33"/>
  <c r="DX15" i="33"/>
  <c r="DW15" i="33"/>
  <c r="DV15" i="33"/>
  <c r="FE14" i="33"/>
  <c r="FD14" i="33"/>
  <c r="FC14" i="33"/>
  <c r="FB14" i="33"/>
  <c r="FA14" i="33"/>
  <c r="EZ14" i="33"/>
  <c r="EY14" i="33"/>
  <c r="EX14" i="33"/>
  <c r="EW14" i="33"/>
  <c r="EV14" i="33"/>
  <c r="EU14" i="33"/>
  <c r="ET14" i="33"/>
  <c r="ES14" i="33"/>
  <c r="ER14" i="33"/>
  <c r="EQ14" i="33"/>
  <c r="EP14" i="33"/>
  <c r="EO14" i="33"/>
  <c r="EN14" i="33"/>
  <c r="EM14" i="33"/>
  <c r="EL14" i="33"/>
  <c r="EK14" i="33"/>
  <c r="EJ14" i="33"/>
  <c r="EI14" i="33"/>
  <c r="EH14" i="33"/>
  <c r="EG14" i="33"/>
  <c r="EF14" i="33"/>
  <c r="EE14" i="33"/>
  <c r="ED14" i="33"/>
  <c r="EC14" i="33"/>
  <c r="EB14" i="33"/>
  <c r="EA14" i="33"/>
  <c r="DZ14" i="33"/>
  <c r="DY14" i="33"/>
  <c r="DX14" i="33"/>
  <c r="DW14" i="33"/>
  <c r="DV14" i="33"/>
  <c r="FE13" i="33"/>
  <c r="FD13" i="33"/>
  <c r="FC13" i="33"/>
  <c r="FB13" i="33"/>
  <c r="FA13" i="33"/>
  <c r="EZ13" i="33"/>
  <c r="EY13" i="33"/>
  <c r="EX13" i="33"/>
  <c r="EW13" i="33"/>
  <c r="EV13" i="33"/>
  <c r="EU13" i="33"/>
  <c r="ET13" i="33"/>
  <c r="ES13" i="33"/>
  <c r="ER13" i="33"/>
  <c r="EQ13" i="33"/>
  <c r="EP13" i="33"/>
  <c r="EO13" i="33"/>
  <c r="EN13" i="33"/>
  <c r="EM13" i="33"/>
  <c r="EL13" i="33"/>
  <c r="EK13" i="33"/>
  <c r="EJ13" i="33"/>
  <c r="EI13" i="33"/>
  <c r="EH13" i="33"/>
  <c r="EG13" i="33"/>
  <c r="EF13" i="33"/>
  <c r="EE13" i="33"/>
  <c r="ED13" i="33"/>
  <c r="EC13" i="33"/>
  <c r="EB13" i="33"/>
  <c r="EA13" i="33"/>
  <c r="DZ13" i="33"/>
  <c r="DY13" i="33"/>
  <c r="DX13" i="33"/>
  <c r="DW13" i="33"/>
  <c r="DV13" i="33"/>
  <c r="FE12" i="33"/>
  <c r="FD12" i="33"/>
  <c r="FC12" i="33"/>
  <c r="FB12" i="33"/>
  <c r="FA12" i="33"/>
  <c r="EZ12" i="33"/>
  <c r="EY12" i="33"/>
  <c r="EX12" i="33"/>
  <c r="EW12" i="33"/>
  <c r="EV12" i="33"/>
  <c r="EU12" i="33"/>
  <c r="ET12" i="33"/>
  <c r="ES12" i="33"/>
  <c r="ER12" i="33"/>
  <c r="EQ12" i="33"/>
  <c r="EP12" i="33"/>
  <c r="EO12" i="33"/>
  <c r="EN12" i="33"/>
  <c r="EM12" i="33"/>
  <c r="EL12" i="33"/>
  <c r="EK12" i="33"/>
  <c r="EJ12" i="33"/>
  <c r="EI12" i="33"/>
  <c r="EH12" i="33"/>
  <c r="EG12" i="33"/>
  <c r="EF12" i="33"/>
  <c r="EE12" i="33"/>
  <c r="ED12" i="33"/>
  <c r="EC12" i="33"/>
  <c r="EB12" i="33"/>
  <c r="EA12" i="33"/>
  <c r="DZ12" i="33"/>
  <c r="DY12" i="33"/>
  <c r="DX12" i="33"/>
  <c r="DW12" i="33"/>
  <c r="DV12" i="33"/>
  <c r="FE11" i="33"/>
  <c r="FD11" i="33"/>
  <c r="FC11" i="33"/>
  <c r="FB11" i="33"/>
  <c r="FA11" i="33"/>
  <c r="EZ11" i="33"/>
  <c r="EY11" i="33"/>
  <c r="EX11" i="33"/>
  <c r="EW11" i="33"/>
  <c r="EV11" i="33"/>
  <c r="EU11" i="33"/>
  <c r="ET11" i="33"/>
  <c r="ES11" i="33"/>
  <c r="ER11" i="33"/>
  <c r="EQ11" i="33"/>
  <c r="EP11" i="33"/>
  <c r="EO11" i="33"/>
  <c r="EN11" i="33"/>
  <c r="EM11" i="33"/>
  <c r="EL11" i="33"/>
  <c r="EK11" i="33"/>
  <c r="EJ11" i="33"/>
  <c r="EI11" i="33"/>
  <c r="EH11" i="33"/>
  <c r="EG11" i="33"/>
  <c r="EF11" i="33"/>
  <c r="EE11" i="33"/>
  <c r="ED11" i="33"/>
  <c r="EC11" i="33"/>
  <c r="EB11" i="33"/>
  <c r="EA11" i="33"/>
  <c r="DZ11" i="33"/>
  <c r="DY11" i="33"/>
  <c r="DX11" i="33"/>
  <c r="DW11" i="33"/>
  <c r="DV11" i="33"/>
  <c r="FE10" i="33"/>
  <c r="FD10" i="33"/>
  <c r="FC10" i="33"/>
  <c r="FB10" i="33"/>
  <c r="FA10" i="33"/>
  <c r="EZ10" i="33"/>
  <c r="EY10" i="33"/>
  <c r="EX10" i="33"/>
  <c r="EW10" i="33"/>
  <c r="EV10" i="33"/>
  <c r="EU10" i="33"/>
  <c r="ET10" i="33"/>
  <c r="ES10" i="33"/>
  <c r="ER10" i="33"/>
  <c r="EQ10" i="33"/>
  <c r="EP10" i="33"/>
  <c r="EO10" i="33"/>
  <c r="EN10" i="33"/>
  <c r="EM10" i="33"/>
  <c r="EL10" i="33"/>
  <c r="EK10" i="33"/>
  <c r="EJ10" i="33"/>
  <c r="EI10" i="33"/>
  <c r="EH10" i="33"/>
  <c r="EG10" i="33"/>
  <c r="EF10" i="33"/>
  <c r="EE10" i="33"/>
  <c r="ED10" i="33"/>
  <c r="EC10" i="33"/>
  <c r="EB10" i="33"/>
  <c r="EA10" i="33"/>
  <c r="DZ10" i="33"/>
  <c r="DY10" i="33"/>
  <c r="DX10" i="33"/>
  <c r="DW10" i="33"/>
  <c r="DV10" i="33"/>
  <c r="FE9" i="33"/>
  <c r="FD9" i="33"/>
  <c r="FC9" i="33"/>
  <c r="FB9" i="33"/>
  <c r="FA9" i="33"/>
  <c r="EZ9" i="33"/>
  <c r="EY9" i="33"/>
  <c r="EX9" i="33"/>
  <c r="EW9" i="33"/>
  <c r="EV9" i="33"/>
  <c r="EU9" i="33"/>
  <c r="ET9" i="33"/>
  <c r="ES9" i="33"/>
  <c r="ER9" i="33"/>
  <c r="EQ9" i="33"/>
  <c r="EP9" i="33"/>
  <c r="EO9" i="33"/>
  <c r="EN9" i="33"/>
  <c r="EM9" i="33"/>
  <c r="EL9" i="33"/>
  <c r="EK9" i="33"/>
  <c r="EJ9" i="33"/>
  <c r="EI9" i="33"/>
  <c r="EH9" i="33"/>
  <c r="EG9" i="33"/>
  <c r="EF9" i="33"/>
  <c r="EE9" i="33"/>
  <c r="ED9" i="33"/>
  <c r="EC9" i="33"/>
  <c r="EB9" i="33"/>
  <c r="EA9" i="33"/>
  <c r="DZ9" i="33"/>
  <c r="DY9" i="33"/>
  <c r="DX9" i="33"/>
  <c r="DW9" i="33"/>
  <c r="DV9" i="33"/>
  <c r="FE8" i="33"/>
  <c r="FD8" i="33"/>
  <c r="FC8" i="33"/>
  <c r="FB8" i="33"/>
  <c r="FA8" i="33"/>
  <c r="EZ8" i="33"/>
  <c r="EY8" i="33"/>
  <c r="EX8" i="33"/>
  <c r="EW8" i="33"/>
  <c r="EV8" i="33"/>
  <c r="EU8" i="33"/>
  <c r="ET8" i="33"/>
  <c r="ES8" i="33"/>
  <c r="ER8" i="33"/>
  <c r="EQ8" i="33"/>
  <c r="EP8" i="33"/>
  <c r="EO8" i="33"/>
  <c r="EN8" i="33"/>
  <c r="EM8" i="33"/>
  <c r="EL8" i="33"/>
  <c r="EK8" i="33"/>
  <c r="EJ8" i="33"/>
  <c r="EI8" i="33"/>
  <c r="EH8" i="33"/>
  <c r="EG8" i="33"/>
  <c r="EF8" i="33"/>
  <c r="EE8" i="33"/>
  <c r="ED8" i="33"/>
  <c r="EC8" i="33"/>
  <c r="EB8" i="33"/>
  <c r="EA8" i="33"/>
  <c r="DZ8" i="33"/>
  <c r="DY8" i="33"/>
  <c r="DX8" i="33"/>
  <c r="DW8" i="33"/>
  <c r="DV8" i="33"/>
  <c r="FE5" i="33"/>
  <c r="FD5" i="33"/>
  <c r="FC5" i="33"/>
  <c r="FB5" i="33"/>
  <c r="FA5" i="33"/>
  <c r="EZ5" i="33"/>
  <c r="EY5" i="33"/>
  <c r="EX5" i="33"/>
  <c r="EW5" i="33"/>
  <c r="EV5" i="33"/>
  <c r="EU5" i="33"/>
  <c r="ET5" i="33"/>
  <c r="ES5" i="33"/>
  <c r="ER5" i="33"/>
  <c r="EQ5" i="33"/>
  <c r="EP5" i="33"/>
  <c r="EO5" i="33"/>
  <c r="EN5" i="33"/>
  <c r="EM5" i="33"/>
  <c r="EL5" i="33"/>
  <c r="EK5" i="33"/>
  <c r="EJ5" i="33"/>
  <c r="EI5" i="33"/>
  <c r="EH5" i="33"/>
  <c r="EG5" i="33"/>
  <c r="EF5" i="33"/>
  <c r="EE5" i="33"/>
  <c r="ED5" i="33"/>
  <c r="EC5" i="33"/>
  <c r="EB5" i="33"/>
  <c r="EA5" i="33"/>
  <c r="DZ5" i="33"/>
  <c r="DY5" i="33"/>
  <c r="DX5" i="33"/>
  <c r="DW5" i="33"/>
  <c r="DP64" i="33"/>
  <c r="DO64" i="33"/>
  <c r="DN64" i="33"/>
  <c r="DM64" i="33"/>
  <c r="DL64" i="33"/>
  <c r="DK64" i="33"/>
  <c r="DJ64" i="33"/>
  <c r="DI64" i="33"/>
  <c r="DH64" i="33"/>
  <c r="DG64" i="33"/>
  <c r="DF64" i="33"/>
  <c r="DE64" i="33"/>
  <c r="DD64" i="33"/>
  <c r="DC64" i="33"/>
  <c r="DB64" i="33"/>
  <c r="DA64" i="33"/>
  <c r="CZ64" i="33"/>
  <c r="CY64" i="33"/>
  <c r="CX64" i="33"/>
  <c r="CW64" i="33"/>
  <c r="CV64" i="33"/>
  <c r="CU64" i="33"/>
  <c r="CT64" i="33"/>
  <c r="CS64" i="33"/>
  <c r="CR64" i="33"/>
  <c r="CQ64" i="33"/>
  <c r="CP64" i="33"/>
  <c r="CO64" i="33"/>
  <c r="CN64" i="33"/>
  <c r="CM64" i="33"/>
  <c r="CL64" i="33"/>
  <c r="CK64" i="33"/>
  <c r="CJ64" i="33"/>
  <c r="CI64" i="33"/>
  <c r="CH64" i="33"/>
  <c r="CG64" i="33"/>
  <c r="DP63" i="33"/>
  <c r="DO63" i="33"/>
  <c r="DN63" i="33"/>
  <c r="DM63" i="33"/>
  <c r="DL63" i="33"/>
  <c r="DK63" i="33"/>
  <c r="DJ63" i="33"/>
  <c r="DI63" i="33"/>
  <c r="DH63" i="33"/>
  <c r="DG63" i="33"/>
  <c r="DF63" i="33"/>
  <c r="DE63" i="33"/>
  <c r="DD63" i="33"/>
  <c r="DC63" i="33"/>
  <c r="DB63" i="33"/>
  <c r="DA63" i="33"/>
  <c r="CZ63" i="33"/>
  <c r="CY63" i="33"/>
  <c r="CX63" i="33"/>
  <c r="CW63" i="33"/>
  <c r="CV63" i="33"/>
  <c r="CU63" i="33"/>
  <c r="CT63" i="33"/>
  <c r="CS63" i="33"/>
  <c r="CR63" i="33"/>
  <c r="CQ63" i="33"/>
  <c r="CP63" i="33"/>
  <c r="CO63" i="33"/>
  <c r="CN63" i="33"/>
  <c r="CM63" i="33"/>
  <c r="CL63" i="33"/>
  <c r="CK63" i="33"/>
  <c r="CJ63" i="33"/>
  <c r="CI63" i="33"/>
  <c r="CH63" i="33"/>
  <c r="CG63" i="33"/>
  <c r="DP62" i="33"/>
  <c r="DO62" i="33"/>
  <c r="DN62" i="33"/>
  <c r="DM62" i="33"/>
  <c r="DL62" i="33"/>
  <c r="DK62" i="33"/>
  <c r="DJ62" i="33"/>
  <c r="DI62" i="33"/>
  <c r="DH62" i="33"/>
  <c r="DG62" i="33"/>
  <c r="DF62" i="33"/>
  <c r="DE62" i="33"/>
  <c r="DD62" i="33"/>
  <c r="DC62" i="33"/>
  <c r="DB62" i="33"/>
  <c r="DA62" i="33"/>
  <c r="CZ62" i="33"/>
  <c r="CY62" i="33"/>
  <c r="CX62" i="33"/>
  <c r="CW62" i="33"/>
  <c r="CV62" i="33"/>
  <c r="CU62" i="33"/>
  <c r="CT62" i="33"/>
  <c r="CS62" i="33"/>
  <c r="CR62" i="33"/>
  <c r="CQ62" i="33"/>
  <c r="CP62" i="33"/>
  <c r="CO62" i="33"/>
  <c r="CN62" i="33"/>
  <c r="CM62" i="33"/>
  <c r="CL62" i="33"/>
  <c r="CK62" i="33"/>
  <c r="CJ62" i="33"/>
  <c r="CI62" i="33"/>
  <c r="CH62" i="33"/>
  <c r="CG62" i="33"/>
  <c r="DP61" i="33"/>
  <c r="DO61" i="33"/>
  <c r="DN61" i="33"/>
  <c r="DM61" i="33"/>
  <c r="DL61" i="33"/>
  <c r="DK61" i="33"/>
  <c r="DJ61" i="33"/>
  <c r="DI61" i="33"/>
  <c r="DH61" i="33"/>
  <c r="DG61" i="33"/>
  <c r="DF61" i="33"/>
  <c r="DE61" i="33"/>
  <c r="DD61" i="33"/>
  <c r="DC61" i="33"/>
  <c r="DB61" i="33"/>
  <c r="DA61" i="33"/>
  <c r="CZ61" i="33"/>
  <c r="CY61" i="33"/>
  <c r="CX61" i="33"/>
  <c r="CW61" i="33"/>
  <c r="CV61" i="33"/>
  <c r="CU61" i="33"/>
  <c r="CT61" i="33"/>
  <c r="CS61" i="33"/>
  <c r="CR61" i="33"/>
  <c r="CQ61" i="33"/>
  <c r="CP61" i="33"/>
  <c r="CO61" i="33"/>
  <c r="CN61" i="33"/>
  <c r="CM61" i="33"/>
  <c r="CL61" i="33"/>
  <c r="CK61" i="33"/>
  <c r="CJ61" i="33"/>
  <c r="CI61" i="33"/>
  <c r="CH61" i="33"/>
  <c r="CG61" i="33"/>
  <c r="DP60" i="33"/>
  <c r="DO60" i="33"/>
  <c r="DN60" i="33"/>
  <c r="DM60" i="33"/>
  <c r="DL60" i="33"/>
  <c r="DK60" i="33"/>
  <c r="DJ60" i="33"/>
  <c r="DI60" i="33"/>
  <c r="DH60" i="33"/>
  <c r="DG60" i="33"/>
  <c r="DF60" i="33"/>
  <c r="DE60" i="33"/>
  <c r="DD60" i="33"/>
  <c r="DC60" i="33"/>
  <c r="DB60" i="33"/>
  <c r="DA60" i="33"/>
  <c r="CZ60" i="33"/>
  <c r="CY60" i="33"/>
  <c r="CX60" i="33"/>
  <c r="CW60" i="33"/>
  <c r="CV60" i="33"/>
  <c r="CU60" i="33"/>
  <c r="CT60" i="33"/>
  <c r="CS60" i="33"/>
  <c r="CR60" i="33"/>
  <c r="CQ60" i="33"/>
  <c r="CP60" i="33"/>
  <c r="CO60" i="33"/>
  <c r="CN60" i="33"/>
  <c r="CM60" i="33"/>
  <c r="CL60" i="33"/>
  <c r="CK60" i="33"/>
  <c r="CJ60" i="33"/>
  <c r="CI60" i="33"/>
  <c r="CH60" i="33"/>
  <c r="CG60" i="33"/>
  <c r="DP59" i="33"/>
  <c r="DO59" i="33"/>
  <c r="DN59" i="33"/>
  <c r="DM59" i="33"/>
  <c r="DL59" i="33"/>
  <c r="DK59" i="33"/>
  <c r="DJ59" i="33"/>
  <c r="DI59" i="33"/>
  <c r="DH59" i="33"/>
  <c r="DG59" i="33"/>
  <c r="DF59" i="33"/>
  <c r="DE59" i="33"/>
  <c r="DD59" i="33"/>
  <c r="DC59" i="33"/>
  <c r="DB59" i="33"/>
  <c r="DA59" i="33"/>
  <c r="CZ59" i="33"/>
  <c r="CY59" i="33"/>
  <c r="CX59" i="33"/>
  <c r="CW59" i="33"/>
  <c r="CV59" i="33"/>
  <c r="CU59" i="33"/>
  <c r="CT59" i="33"/>
  <c r="CS59" i="33"/>
  <c r="CR59" i="33"/>
  <c r="CQ59" i="33"/>
  <c r="CP59" i="33"/>
  <c r="CO59" i="33"/>
  <c r="CN59" i="33"/>
  <c r="CM59" i="33"/>
  <c r="CL59" i="33"/>
  <c r="CK59" i="33"/>
  <c r="CJ59" i="33"/>
  <c r="CI59" i="33"/>
  <c r="CH59" i="33"/>
  <c r="CG59" i="33"/>
  <c r="DP58" i="33"/>
  <c r="DO58" i="33"/>
  <c r="DN58" i="33"/>
  <c r="DM58" i="33"/>
  <c r="DL58" i="33"/>
  <c r="DK58" i="33"/>
  <c r="DJ58" i="33"/>
  <c r="DI58" i="33"/>
  <c r="DH58" i="33"/>
  <c r="DG58" i="33"/>
  <c r="DF58" i="33"/>
  <c r="DE58" i="33"/>
  <c r="DD58" i="33"/>
  <c r="DC58" i="33"/>
  <c r="DB58" i="33"/>
  <c r="DA58" i="33"/>
  <c r="CZ58" i="33"/>
  <c r="CY58" i="33"/>
  <c r="CX58" i="33"/>
  <c r="CW58" i="33"/>
  <c r="CV58" i="33"/>
  <c r="CU58" i="33"/>
  <c r="CT58" i="33"/>
  <c r="CS58" i="33"/>
  <c r="CR58" i="33"/>
  <c r="CQ58" i="33"/>
  <c r="CP58" i="33"/>
  <c r="CO58" i="33"/>
  <c r="CN58" i="33"/>
  <c r="CM58" i="33"/>
  <c r="CL58" i="33"/>
  <c r="CK58" i="33"/>
  <c r="CJ58" i="33"/>
  <c r="CI58" i="33"/>
  <c r="CH58" i="33"/>
  <c r="CG58" i="33"/>
  <c r="DP57" i="33"/>
  <c r="DO57" i="33"/>
  <c r="DN57" i="33"/>
  <c r="DM57" i="33"/>
  <c r="DL57" i="33"/>
  <c r="DK57" i="33"/>
  <c r="DJ57" i="33"/>
  <c r="DI57" i="33"/>
  <c r="DH57" i="33"/>
  <c r="DG57" i="33"/>
  <c r="DF57" i="33"/>
  <c r="DE57" i="33"/>
  <c r="DD57" i="33"/>
  <c r="DC57" i="33"/>
  <c r="DB57" i="33"/>
  <c r="DA57" i="33"/>
  <c r="CZ57" i="33"/>
  <c r="CY57" i="33"/>
  <c r="CX57" i="33"/>
  <c r="CW57" i="33"/>
  <c r="CV57" i="33"/>
  <c r="CU57" i="33"/>
  <c r="CT57" i="33"/>
  <c r="CS57" i="33"/>
  <c r="CR57" i="33"/>
  <c r="CQ57" i="33"/>
  <c r="CP57" i="33"/>
  <c r="CO57" i="33"/>
  <c r="CN57" i="33"/>
  <c r="CM57" i="33"/>
  <c r="CL57" i="33"/>
  <c r="CK57" i="33"/>
  <c r="CJ57" i="33"/>
  <c r="CI57" i="33"/>
  <c r="CH57" i="33"/>
  <c r="CG57" i="33"/>
  <c r="DP56" i="33"/>
  <c r="DO56" i="33"/>
  <c r="DN56" i="33"/>
  <c r="DM56" i="33"/>
  <c r="DL56" i="33"/>
  <c r="DK56" i="33"/>
  <c r="DJ56" i="33"/>
  <c r="DI56" i="33"/>
  <c r="DH56" i="33"/>
  <c r="DG56" i="33"/>
  <c r="DF56" i="33"/>
  <c r="DE56" i="33"/>
  <c r="DD56" i="33"/>
  <c r="DC56" i="33"/>
  <c r="DB56" i="33"/>
  <c r="DA56" i="33"/>
  <c r="CZ56" i="33"/>
  <c r="CY56" i="33"/>
  <c r="CX56" i="33"/>
  <c r="CW56" i="33"/>
  <c r="CV56" i="33"/>
  <c r="CU56" i="33"/>
  <c r="CT56" i="33"/>
  <c r="CS56" i="33"/>
  <c r="CR56" i="33"/>
  <c r="CQ56" i="33"/>
  <c r="CP56" i="33"/>
  <c r="CO56" i="33"/>
  <c r="CN56" i="33"/>
  <c r="CM56" i="33"/>
  <c r="CL56" i="33"/>
  <c r="CK56" i="33"/>
  <c r="CJ56" i="33"/>
  <c r="CI56" i="33"/>
  <c r="CH56" i="33"/>
  <c r="CG56" i="33"/>
  <c r="DP55" i="33"/>
  <c r="DO55" i="33"/>
  <c r="DN55" i="33"/>
  <c r="DM55" i="33"/>
  <c r="DL55" i="33"/>
  <c r="DK55" i="33"/>
  <c r="DJ55" i="33"/>
  <c r="DI55" i="33"/>
  <c r="DH55" i="33"/>
  <c r="DG55" i="33"/>
  <c r="DF55" i="33"/>
  <c r="DE55" i="33"/>
  <c r="DD55" i="33"/>
  <c r="DC55" i="33"/>
  <c r="DB55" i="33"/>
  <c r="DA55" i="33"/>
  <c r="CZ55" i="33"/>
  <c r="CY55" i="33"/>
  <c r="CX55" i="33"/>
  <c r="CW55" i="33"/>
  <c r="CV55" i="33"/>
  <c r="CU55" i="33"/>
  <c r="CT55" i="33"/>
  <c r="CS55" i="33"/>
  <c r="CR55" i="33"/>
  <c r="CQ55" i="33"/>
  <c r="CP55" i="33"/>
  <c r="CO55" i="33"/>
  <c r="CN55" i="33"/>
  <c r="CM55" i="33"/>
  <c r="CL55" i="33"/>
  <c r="CK55" i="33"/>
  <c r="CJ55" i="33"/>
  <c r="CI55" i="33"/>
  <c r="CH55" i="33"/>
  <c r="CG55" i="33"/>
  <c r="DP53" i="33"/>
  <c r="DO53" i="33"/>
  <c r="DN53" i="33"/>
  <c r="DM53" i="33"/>
  <c r="DL53" i="33"/>
  <c r="DK53" i="33"/>
  <c r="DJ53" i="33"/>
  <c r="DI53" i="33"/>
  <c r="DH53" i="33"/>
  <c r="DG53" i="33"/>
  <c r="DF53" i="33"/>
  <c r="DE53" i="33"/>
  <c r="DD53" i="33"/>
  <c r="DC53" i="33"/>
  <c r="DB53" i="33"/>
  <c r="DA53" i="33"/>
  <c r="CZ53" i="33"/>
  <c r="CY53" i="33"/>
  <c r="CX53" i="33"/>
  <c r="CW53" i="33"/>
  <c r="CV53" i="33"/>
  <c r="CU53" i="33"/>
  <c r="CT53" i="33"/>
  <c r="CS53" i="33"/>
  <c r="CR53" i="33"/>
  <c r="CQ53" i="33"/>
  <c r="CP53" i="33"/>
  <c r="CO53" i="33"/>
  <c r="CN53" i="33"/>
  <c r="CM53" i="33"/>
  <c r="CL53" i="33"/>
  <c r="CK53" i="33"/>
  <c r="DP52" i="33"/>
  <c r="DO52" i="33"/>
  <c r="DN52" i="33"/>
  <c r="DM52" i="33"/>
  <c r="DL52" i="33"/>
  <c r="DK52" i="33"/>
  <c r="DJ52" i="33"/>
  <c r="DI52" i="33"/>
  <c r="DH52" i="33"/>
  <c r="DG52" i="33"/>
  <c r="DF52" i="33"/>
  <c r="DE52" i="33"/>
  <c r="DD52" i="33"/>
  <c r="DC52" i="33"/>
  <c r="DB52" i="33"/>
  <c r="DA52" i="33"/>
  <c r="CZ52" i="33"/>
  <c r="CY52" i="33"/>
  <c r="CX52" i="33"/>
  <c r="CW52" i="33"/>
  <c r="CV52" i="33"/>
  <c r="CU52" i="33"/>
  <c r="CT52" i="33"/>
  <c r="CS52" i="33"/>
  <c r="CR52" i="33"/>
  <c r="CQ52" i="33"/>
  <c r="CP52" i="33"/>
  <c r="CO52" i="33"/>
  <c r="CN52" i="33"/>
  <c r="CM52" i="33"/>
  <c r="CL52" i="33"/>
  <c r="CK52" i="33"/>
  <c r="CJ52" i="33"/>
  <c r="CI52" i="33"/>
  <c r="CH52" i="33"/>
  <c r="CG52" i="33"/>
  <c r="DP51" i="33"/>
  <c r="DO51" i="33"/>
  <c r="DN51" i="33"/>
  <c r="DM51" i="33"/>
  <c r="DL51" i="33"/>
  <c r="DK51" i="33"/>
  <c r="DJ51" i="33"/>
  <c r="DI51" i="33"/>
  <c r="DH51" i="33"/>
  <c r="DG51" i="33"/>
  <c r="DF51" i="33"/>
  <c r="DE51" i="33"/>
  <c r="DD51" i="33"/>
  <c r="DC51" i="33"/>
  <c r="DB51" i="33"/>
  <c r="DA51" i="33"/>
  <c r="CZ51" i="33"/>
  <c r="CY51" i="33"/>
  <c r="CX51" i="33"/>
  <c r="CW51" i="33"/>
  <c r="CV51" i="33"/>
  <c r="CU51" i="33"/>
  <c r="CT51" i="33"/>
  <c r="CS51" i="33"/>
  <c r="CR51" i="33"/>
  <c r="CQ51" i="33"/>
  <c r="CP51" i="33"/>
  <c r="CO51" i="33"/>
  <c r="CN51" i="33"/>
  <c r="CM51" i="33"/>
  <c r="CL51" i="33"/>
  <c r="CK51" i="33"/>
  <c r="CJ51" i="33"/>
  <c r="CI51" i="33"/>
  <c r="CH51" i="33"/>
  <c r="CG51" i="33"/>
  <c r="DP50" i="33"/>
  <c r="DO50" i="33"/>
  <c r="DN50" i="33"/>
  <c r="DM50" i="33"/>
  <c r="DL50" i="33"/>
  <c r="DK50" i="33"/>
  <c r="DJ50" i="33"/>
  <c r="DI50" i="33"/>
  <c r="DH50" i="33"/>
  <c r="DG50" i="33"/>
  <c r="DF50" i="33"/>
  <c r="DE50" i="33"/>
  <c r="DD50" i="33"/>
  <c r="DC50" i="33"/>
  <c r="DB50" i="33"/>
  <c r="DA50" i="33"/>
  <c r="CZ50" i="33"/>
  <c r="CY50" i="33"/>
  <c r="CX50" i="33"/>
  <c r="CW50" i="33"/>
  <c r="CV50" i="33"/>
  <c r="CU50" i="33"/>
  <c r="CT50" i="33"/>
  <c r="CS50" i="33"/>
  <c r="CR50" i="33"/>
  <c r="CQ50" i="33"/>
  <c r="CP50" i="33"/>
  <c r="CO50" i="33"/>
  <c r="CN50" i="33"/>
  <c r="CM50" i="33"/>
  <c r="CL50" i="33"/>
  <c r="CK50" i="33"/>
  <c r="CJ50" i="33"/>
  <c r="CI50" i="33"/>
  <c r="CH50" i="33"/>
  <c r="CG50" i="33"/>
  <c r="DP49" i="33"/>
  <c r="DO49" i="33"/>
  <c r="DN49" i="33"/>
  <c r="DM49" i="33"/>
  <c r="DL49" i="33"/>
  <c r="DK49" i="33"/>
  <c r="DJ49" i="33"/>
  <c r="DI49" i="33"/>
  <c r="DH49" i="33"/>
  <c r="DG49" i="33"/>
  <c r="DF49" i="33"/>
  <c r="DE49" i="33"/>
  <c r="DD49" i="33"/>
  <c r="DC49" i="33"/>
  <c r="DB49" i="33"/>
  <c r="DA49" i="33"/>
  <c r="CZ49" i="33"/>
  <c r="CY49" i="33"/>
  <c r="CX49" i="33"/>
  <c r="CW49" i="33"/>
  <c r="CV49" i="33"/>
  <c r="CU49" i="33"/>
  <c r="CT49" i="33"/>
  <c r="CS49" i="33"/>
  <c r="CR49" i="33"/>
  <c r="CQ49" i="33"/>
  <c r="CP49" i="33"/>
  <c r="CO49" i="33"/>
  <c r="CN49" i="33"/>
  <c r="CM49" i="33"/>
  <c r="CL49" i="33"/>
  <c r="CK49" i="33"/>
  <c r="CJ49" i="33"/>
  <c r="CI49" i="33"/>
  <c r="CH49" i="33"/>
  <c r="CG49" i="33"/>
  <c r="DP48" i="33"/>
  <c r="DO48" i="33"/>
  <c r="DN48" i="33"/>
  <c r="DM48" i="33"/>
  <c r="DL48" i="33"/>
  <c r="DK48" i="33"/>
  <c r="DJ48" i="33"/>
  <c r="DI48" i="33"/>
  <c r="DH48" i="33"/>
  <c r="DG48" i="33"/>
  <c r="DF48" i="33"/>
  <c r="DE48" i="33"/>
  <c r="DD48" i="33"/>
  <c r="DC48" i="33"/>
  <c r="DB48" i="33"/>
  <c r="DA48" i="33"/>
  <c r="CZ48" i="33"/>
  <c r="CY48" i="33"/>
  <c r="CX48" i="33"/>
  <c r="CW48" i="33"/>
  <c r="CV48" i="33"/>
  <c r="CU48" i="33"/>
  <c r="CT48" i="33"/>
  <c r="CS48" i="33"/>
  <c r="CR48" i="33"/>
  <c r="CQ48" i="33"/>
  <c r="CP48" i="33"/>
  <c r="CO48" i="33"/>
  <c r="CN48" i="33"/>
  <c r="CM48" i="33"/>
  <c r="CL48" i="33"/>
  <c r="CK48" i="33"/>
  <c r="CJ48" i="33"/>
  <c r="CI48" i="33"/>
  <c r="CH48" i="33"/>
  <c r="CG48" i="33"/>
  <c r="DP47" i="33"/>
  <c r="DO47" i="33"/>
  <c r="DN47" i="33"/>
  <c r="DM47" i="33"/>
  <c r="DL47" i="33"/>
  <c r="DK47" i="33"/>
  <c r="DJ47" i="33"/>
  <c r="DI47" i="33"/>
  <c r="DH47" i="33"/>
  <c r="DG47" i="33"/>
  <c r="DF47" i="33"/>
  <c r="DE47" i="33"/>
  <c r="DD47" i="33"/>
  <c r="DC47" i="33"/>
  <c r="DB47" i="33"/>
  <c r="DA47" i="33"/>
  <c r="CZ47" i="33"/>
  <c r="CY47" i="33"/>
  <c r="CX47" i="33"/>
  <c r="CW47" i="33"/>
  <c r="CV47" i="33"/>
  <c r="CU47" i="33"/>
  <c r="CT47" i="33"/>
  <c r="CS47" i="33"/>
  <c r="CR47" i="33"/>
  <c r="CQ47" i="33"/>
  <c r="CP47" i="33"/>
  <c r="CO47" i="33"/>
  <c r="CN47" i="33"/>
  <c r="CM47" i="33"/>
  <c r="CL47" i="33"/>
  <c r="CK47" i="33"/>
  <c r="CJ47" i="33"/>
  <c r="CI47" i="33"/>
  <c r="CH47" i="33"/>
  <c r="CG47" i="33"/>
  <c r="DP46" i="33"/>
  <c r="DO46" i="33"/>
  <c r="DN46" i="33"/>
  <c r="DM46" i="33"/>
  <c r="DL46" i="33"/>
  <c r="DK46" i="33"/>
  <c r="DJ46" i="33"/>
  <c r="DI46" i="33"/>
  <c r="DH46" i="33"/>
  <c r="DG46" i="33"/>
  <c r="DF46" i="33"/>
  <c r="DE46" i="33"/>
  <c r="DD46" i="33"/>
  <c r="DC46" i="33"/>
  <c r="DB46" i="33"/>
  <c r="DA46" i="33"/>
  <c r="CZ46" i="33"/>
  <c r="CY46" i="33"/>
  <c r="CX46" i="33"/>
  <c r="CW46" i="33"/>
  <c r="CV46" i="33"/>
  <c r="CU46" i="33"/>
  <c r="CT46" i="33"/>
  <c r="CS46" i="33"/>
  <c r="CR46" i="33"/>
  <c r="CQ46" i="33"/>
  <c r="CP46" i="33"/>
  <c r="CO46" i="33"/>
  <c r="CN46" i="33"/>
  <c r="CM46" i="33"/>
  <c r="CL46" i="33"/>
  <c r="CK46" i="33"/>
  <c r="CJ46" i="33"/>
  <c r="CI46" i="33"/>
  <c r="CH46" i="33"/>
  <c r="CG46" i="33"/>
  <c r="DP45" i="33"/>
  <c r="DO45" i="33"/>
  <c r="DN45" i="33"/>
  <c r="DM45" i="33"/>
  <c r="DL45" i="33"/>
  <c r="DK45" i="33"/>
  <c r="DJ45" i="33"/>
  <c r="DI45" i="33"/>
  <c r="DH45" i="33"/>
  <c r="DG45" i="33"/>
  <c r="DF45" i="33"/>
  <c r="DE45" i="33"/>
  <c r="DD45" i="33"/>
  <c r="DC45" i="33"/>
  <c r="DB45" i="33"/>
  <c r="DA45" i="33"/>
  <c r="CZ45" i="33"/>
  <c r="CY45" i="33"/>
  <c r="CX45" i="33"/>
  <c r="CW45" i="33"/>
  <c r="CV45" i="33"/>
  <c r="CU45" i="33"/>
  <c r="CT45" i="33"/>
  <c r="CS45" i="33"/>
  <c r="CR45" i="33"/>
  <c r="CQ45" i="33"/>
  <c r="CP45" i="33"/>
  <c r="CO45" i="33"/>
  <c r="CN45" i="33"/>
  <c r="CM45" i="33"/>
  <c r="CL45" i="33"/>
  <c r="CK45" i="33"/>
  <c r="CJ45" i="33"/>
  <c r="CI45" i="33"/>
  <c r="CH45" i="33"/>
  <c r="CG45" i="33"/>
  <c r="DP44" i="33"/>
  <c r="DO44" i="33"/>
  <c r="DN44" i="33"/>
  <c r="DM44" i="33"/>
  <c r="DL44" i="33"/>
  <c r="DK44" i="33"/>
  <c r="DJ44" i="33"/>
  <c r="DI44" i="33"/>
  <c r="DH44" i="33"/>
  <c r="DG44" i="33"/>
  <c r="DF44" i="33"/>
  <c r="DE44" i="33"/>
  <c r="DD44" i="33"/>
  <c r="DC44" i="33"/>
  <c r="DB44" i="33"/>
  <c r="DA44" i="33"/>
  <c r="CZ44" i="33"/>
  <c r="CY44" i="33"/>
  <c r="CX44" i="33"/>
  <c r="CW44" i="33"/>
  <c r="CV44" i="33"/>
  <c r="CU44" i="33"/>
  <c r="CT44" i="33"/>
  <c r="CS44" i="33"/>
  <c r="CR44" i="33"/>
  <c r="CQ44" i="33"/>
  <c r="CP44" i="33"/>
  <c r="CO44" i="33"/>
  <c r="CN44" i="33"/>
  <c r="CM44" i="33"/>
  <c r="CL44" i="33"/>
  <c r="CK44" i="33"/>
  <c r="CJ44" i="33"/>
  <c r="CI44" i="33"/>
  <c r="CH44" i="33"/>
  <c r="CG44" i="33"/>
  <c r="DP43" i="33"/>
  <c r="DO43" i="33"/>
  <c r="DN43" i="33"/>
  <c r="DM43" i="33"/>
  <c r="DL43" i="33"/>
  <c r="DK43" i="33"/>
  <c r="DJ43" i="33"/>
  <c r="DI43" i="33"/>
  <c r="DH43" i="33"/>
  <c r="DG43" i="33"/>
  <c r="DF43" i="33"/>
  <c r="DE43" i="33"/>
  <c r="DD43" i="33"/>
  <c r="DC43" i="33"/>
  <c r="DB43" i="33"/>
  <c r="DA43" i="33"/>
  <c r="CZ43" i="33"/>
  <c r="CY43" i="33"/>
  <c r="CX43" i="33"/>
  <c r="CW43" i="33"/>
  <c r="CV43" i="33"/>
  <c r="CU43" i="33"/>
  <c r="CT43" i="33"/>
  <c r="CS43" i="33"/>
  <c r="CR43" i="33"/>
  <c r="CQ43" i="33"/>
  <c r="CP43" i="33"/>
  <c r="CO43" i="33"/>
  <c r="CN43" i="33"/>
  <c r="CM43" i="33"/>
  <c r="CL43" i="33"/>
  <c r="CK43" i="33"/>
  <c r="CJ43" i="33"/>
  <c r="CI43" i="33"/>
  <c r="CH43" i="33"/>
  <c r="CG43" i="33"/>
  <c r="DP42" i="33"/>
  <c r="DO42" i="33"/>
  <c r="DN42" i="33"/>
  <c r="DM42" i="33"/>
  <c r="DL42" i="33"/>
  <c r="DK42" i="33"/>
  <c r="DJ42" i="33"/>
  <c r="DI42" i="33"/>
  <c r="DH42" i="33"/>
  <c r="DG42" i="33"/>
  <c r="DF42" i="33"/>
  <c r="DE42" i="33"/>
  <c r="DD42" i="33"/>
  <c r="DC42" i="33"/>
  <c r="DB42" i="33"/>
  <c r="DA42" i="33"/>
  <c r="CZ42" i="33"/>
  <c r="CY42" i="33"/>
  <c r="CX42" i="33"/>
  <c r="CW42" i="33"/>
  <c r="CV42" i="33"/>
  <c r="CU42" i="33"/>
  <c r="CT42" i="33"/>
  <c r="CS42" i="33"/>
  <c r="CR42" i="33"/>
  <c r="CQ42" i="33"/>
  <c r="CP42" i="33"/>
  <c r="CO42" i="33"/>
  <c r="CN42" i="33"/>
  <c r="CM42" i="33"/>
  <c r="CL42" i="33"/>
  <c r="CK42" i="33"/>
  <c r="CJ42" i="33"/>
  <c r="CI42" i="33"/>
  <c r="CH42" i="33"/>
  <c r="CG42" i="33"/>
  <c r="DP41" i="33"/>
  <c r="DO41" i="33"/>
  <c r="DN41" i="33"/>
  <c r="DM41" i="33"/>
  <c r="DL41" i="33"/>
  <c r="DK41" i="33"/>
  <c r="DJ41" i="33"/>
  <c r="DI41" i="33"/>
  <c r="DH41" i="33"/>
  <c r="DG41" i="33"/>
  <c r="DF41" i="33"/>
  <c r="DE41" i="33"/>
  <c r="DD41" i="33"/>
  <c r="DC41" i="33"/>
  <c r="DB41" i="33"/>
  <c r="DA41" i="33"/>
  <c r="CZ41" i="33"/>
  <c r="CY41" i="33"/>
  <c r="CX41" i="33"/>
  <c r="CW41" i="33"/>
  <c r="CV41" i="33"/>
  <c r="CU41" i="33"/>
  <c r="CT41" i="33"/>
  <c r="CS41" i="33"/>
  <c r="CR41" i="33"/>
  <c r="CQ41" i="33"/>
  <c r="CP41" i="33"/>
  <c r="CO41" i="33"/>
  <c r="CN41" i="33"/>
  <c r="CM41" i="33"/>
  <c r="CL41" i="33"/>
  <c r="CK41" i="33"/>
  <c r="CJ41" i="33"/>
  <c r="CI41" i="33"/>
  <c r="CH41" i="33"/>
  <c r="CG41" i="33"/>
  <c r="DP38" i="33"/>
  <c r="DO38" i="33"/>
  <c r="DN38" i="33"/>
  <c r="DM38" i="33"/>
  <c r="DL38" i="33"/>
  <c r="DK38" i="33"/>
  <c r="DJ38" i="33"/>
  <c r="DI38" i="33"/>
  <c r="DH38" i="33"/>
  <c r="DG38" i="33"/>
  <c r="DF38" i="33"/>
  <c r="DE38" i="33"/>
  <c r="DD38" i="33"/>
  <c r="DC38" i="33"/>
  <c r="DB38" i="33"/>
  <c r="DA38" i="33"/>
  <c r="CZ38" i="33"/>
  <c r="CY38" i="33"/>
  <c r="CX38" i="33"/>
  <c r="CW38" i="33"/>
  <c r="CV38" i="33"/>
  <c r="CU38" i="33"/>
  <c r="CT38" i="33"/>
  <c r="CS38" i="33"/>
  <c r="CR38" i="33"/>
  <c r="CQ38" i="33"/>
  <c r="CP38" i="33"/>
  <c r="CO38" i="33"/>
  <c r="CN38" i="33"/>
  <c r="CM38" i="33"/>
  <c r="CL38" i="33"/>
  <c r="CK38" i="33"/>
  <c r="CJ38" i="33"/>
  <c r="CI38" i="33"/>
  <c r="CH38" i="33"/>
  <c r="CG38" i="33"/>
  <c r="DP37" i="33"/>
  <c r="DO37" i="33"/>
  <c r="DN37" i="33"/>
  <c r="DM37" i="33"/>
  <c r="DL37" i="33"/>
  <c r="DK37" i="33"/>
  <c r="DJ37" i="33"/>
  <c r="DI37" i="33"/>
  <c r="DH37" i="33"/>
  <c r="DG37" i="33"/>
  <c r="DF37" i="33"/>
  <c r="DE37" i="33"/>
  <c r="DD37" i="33"/>
  <c r="DC37" i="33"/>
  <c r="DB37" i="33"/>
  <c r="DA37" i="33"/>
  <c r="CZ37" i="33"/>
  <c r="CY37" i="33"/>
  <c r="CX37" i="33"/>
  <c r="CW37" i="33"/>
  <c r="CV37" i="33"/>
  <c r="CU37" i="33"/>
  <c r="CT37" i="33"/>
  <c r="CS37" i="33"/>
  <c r="CR37" i="33"/>
  <c r="CQ37" i="33"/>
  <c r="CP37" i="33"/>
  <c r="CO37" i="33"/>
  <c r="CN37" i="33"/>
  <c r="CM37" i="33"/>
  <c r="CL37" i="33"/>
  <c r="CK37" i="33"/>
  <c r="CJ37" i="33"/>
  <c r="CI37" i="33"/>
  <c r="CH37" i="33"/>
  <c r="CG37" i="33"/>
  <c r="DP36" i="33"/>
  <c r="DO36" i="33"/>
  <c r="DN36" i="33"/>
  <c r="DM36" i="33"/>
  <c r="DL36" i="33"/>
  <c r="DK36" i="33"/>
  <c r="DJ36" i="33"/>
  <c r="DI36" i="33"/>
  <c r="DH36" i="33"/>
  <c r="DG36" i="33"/>
  <c r="DF36" i="33"/>
  <c r="DE36" i="33"/>
  <c r="DD36" i="33"/>
  <c r="DC36" i="33"/>
  <c r="DB36" i="33"/>
  <c r="DA36" i="33"/>
  <c r="CZ36" i="33"/>
  <c r="CY36" i="33"/>
  <c r="CX36" i="33"/>
  <c r="CW36" i="33"/>
  <c r="CV36" i="33"/>
  <c r="CU36" i="33"/>
  <c r="CT36" i="33"/>
  <c r="CS36" i="33"/>
  <c r="CR36" i="33"/>
  <c r="CQ36" i="33"/>
  <c r="CP36" i="33"/>
  <c r="CO36" i="33"/>
  <c r="CN36" i="33"/>
  <c r="CM36" i="33"/>
  <c r="CL36" i="33"/>
  <c r="CK36" i="33"/>
  <c r="CJ36" i="33"/>
  <c r="CI36" i="33"/>
  <c r="CH36" i="33"/>
  <c r="CG36" i="33"/>
  <c r="DP35" i="33"/>
  <c r="DO35" i="33"/>
  <c r="DN35" i="33"/>
  <c r="DM35" i="33"/>
  <c r="DL35" i="33"/>
  <c r="DK35" i="33"/>
  <c r="DJ35" i="33"/>
  <c r="DI35" i="33"/>
  <c r="DH35" i="33"/>
  <c r="DG35" i="33"/>
  <c r="DF35" i="33"/>
  <c r="DE35" i="33"/>
  <c r="DD35" i="33"/>
  <c r="DC35" i="33"/>
  <c r="DB35" i="33"/>
  <c r="DA35" i="33"/>
  <c r="CZ35" i="33"/>
  <c r="CY35" i="33"/>
  <c r="CX35" i="33"/>
  <c r="CW35" i="33"/>
  <c r="CV35" i="33"/>
  <c r="CU35" i="33"/>
  <c r="CT35" i="33"/>
  <c r="CS35" i="33"/>
  <c r="CR35" i="33"/>
  <c r="CQ35" i="33"/>
  <c r="CP35" i="33"/>
  <c r="CO35" i="33"/>
  <c r="CN35" i="33"/>
  <c r="CM35" i="33"/>
  <c r="CL35" i="33"/>
  <c r="CK35" i="33"/>
  <c r="CJ35" i="33"/>
  <c r="CI35" i="33"/>
  <c r="CH35" i="33"/>
  <c r="CG35" i="33"/>
  <c r="DP34" i="33"/>
  <c r="DO34" i="33"/>
  <c r="DN34" i="33"/>
  <c r="DM34" i="33"/>
  <c r="DL34" i="33"/>
  <c r="DK34" i="33"/>
  <c r="DJ34" i="33"/>
  <c r="DI34" i="33"/>
  <c r="DH34" i="33"/>
  <c r="DG34" i="33"/>
  <c r="DF34" i="33"/>
  <c r="DE34" i="33"/>
  <c r="DD34" i="33"/>
  <c r="DC34" i="33"/>
  <c r="DB34" i="33"/>
  <c r="DA34" i="33"/>
  <c r="CZ34" i="33"/>
  <c r="CY34" i="33"/>
  <c r="CX34" i="33"/>
  <c r="CW34" i="33"/>
  <c r="CV34" i="33"/>
  <c r="CU34" i="33"/>
  <c r="CT34" i="33"/>
  <c r="CS34" i="33"/>
  <c r="CR34" i="33"/>
  <c r="CQ34" i="33"/>
  <c r="CP34" i="33"/>
  <c r="CO34" i="33"/>
  <c r="CN34" i="33"/>
  <c r="CM34" i="33"/>
  <c r="CL34" i="33"/>
  <c r="CK34" i="33"/>
  <c r="CJ34" i="33"/>
  <c r="CI34" i="33"/>
  <c r="CH34" i="33"/>
  <c r="CG34" i="33"/>
  <c r="DP33" i="33"/>
  <c r="DO33" i="33"/>
  <c r="DN33" i="33"/>
  <c r="DM33" i="33"/>
  <c r="DL33" i="33"/>
  <c r="DK33" i="33"/>
  <c r="DJ33" i="33"/>
  <c r="DI33" i="33"/>
  <c r="DH33" i="33"/>
  <c r="DG33" i="33"/>
  <c r="DF33" i="33"/>
  <c r="DE33" i="33"/>
  <c r="DD33" i="33"/>
  <c r="DC33" i="33"/>
  <c r="DB33" i="33"/>
  <c r="DA33" i="33"/>
  <c r="CZ33" i="33"/>
  <c r="CY33" i="33"/>
  <c r="CX33" i="33"/>
  <c r="CW33" i="33"/>
  <c r="CV33" i="33"/>
  <c r="CU33" i="33"/>
  <c r="CT33" i="33"/>
  <c r="CS33" i="33"/>
  <c r="CR33" i="33"/>
  <c r="CQ33" i="33"/>
  <c r="CP33" i="33"/>
  <c r="CO33" i="33"/>
  <c r="CN33" i="33"/>
  <c r="CM33" i="33"/>
  <c r="CL33" i="33"/>
  <c r="CK33" i="33"/>
  <c r="CJ33" i="33"/>
  <c r="CI33" i="33"/>
  <c r="CH33" i="33"/>
  <c r="CG33" i="33"/>
  <c r="DP32" i="33"/>
  <c r="DO32" i="33"/>
  <c r="DN32" i="33"/>
  <c r="DM32" i="33"/>
  <c r="DL32" i="33"/>
  <c r="DK32" i="33"/>
  <c r="DJ32" i="33"/>
  <c r="DI32" i="33"/>
  <c r="DH32" i="33"/>
  <c r="DG32" i="33"/>
  <c r="DF32" i="33"/>
  <c r="DE32" i="33"/>
  <c r="DD32" i="33"/>
  <c r="DC32" i="33"/>
  <c r="DB32" i="33"/>
  <c r="DA32" i="33"/>
  <c r="CZ32" i="33"/>
  <c r="CY32" i="33"/>
  <c r="CX32" i="33"/>
  <c r="CW32" i="33"/>
  <c r="CV32" i="33"/>
  <c r="CU32" i="33"/>
  <c r="CT32" i="33"/>
  <c r="CS32" i="33"/>
  <c r="CR32" i="33"/>
  <c r="CQ32" i="33"/>
  <c r="CP32" i="33"/>
  <c r="CO32" i="33"/>
  <c r="CN32" i="33"/>
  <c r="CM32" i="33"/>
  <c r="CL32" i="33"/>
  <c r="CK32" i="33"/>
  <c r="CJ32" i="33"/>
  <c r="CI32" i="33"/>
  <c r="CH32" i="33"/>
  <c r="CG32" i="33"/>
  <c r="DP31" i="33"/>
  <c r="DO31" i="33"/>
  <c r="DN31" i="33"/>
  <c r="DM31" i="33"/>
  <c r="DL31" i="33"/>
  <c r="DK31" i="33"/>
  <c r="DJ31" i="33"/>
  <c r="DI31" i="33"/>
  <c r="DH31" i="33"/>
  <c r="DG31" i="33"/>
  <c r="DF31" i="33"/>
  <c r="DE31" i="33"/>
  <c r="DD31" i="33"/>
  <c r="DC31" i="33"/>
  <c r="DB31" i="33"/>
  <c r="DA31" i="33"/>
  <c r="CZ31" i="33"/>
  <c r="CY31" i="33"/>
  <c r="CX31" i="33"/>
  <c r="CW31" i="33"/>
  <c r="CV31" i="33"/>
  <c r="CU31" i="33"/>
  <c r="CT31" i="33"/>
  <c r="CS31" i="33"/>
  <c r="CR31" i="33"/>
  <c r="CQ31" i="33"/>
  <c r="CP31" i="33"/>
  <c r="CO31" i="33"/>
  <c r="CN31" i="33"/>
  <c r="CM31" i="33"/>
  <c r="CL31" i="33"/>
  <c r="CK31" i="33"/>
  <c r="CJ31" i="33"/>
  <c r="CI31" i="33"/>
  <c r="CH31" i="33"/>
  <c r="CG31" i="33"/>
  <c r="DP30" i="33"/>
  <c r="DO30" i="33"/>
  <c r="DN30" i="33"/>
  <c r="DM30" i="33"/>
  <c r="DL30" i="33"/>
  <c r="DK30" i="33"/>
  <c r="DJ30" i="33"/>
  <c r="DI30" i="33"/>
  <c r="DH30" i="33"/>
  <c r="DG30" i="33"/>
  <c r="DF30" i="33"/>
  <c r="DE30" i="33"/>
  <c r="DD30" i="33"/>
  <c r="DC30" i="33"/>
  <c r="DB30" i="33"/>
  <c r="DA30" i="33"/>
  <c r="CZ30" i="33"/>
  <c r="CY30" i="33"/>
  <c r="CX30" i="33"/>
  <c r="CW30" i="33"/>
  <c r="CV30" i="33"/>
  <c r="CU30" i="33"/>
  <c r="CT30" i="33"/>
  <c r="CS30" i="33"/>
  <c r="CR30" i="33"/>
  <c r="CQ30" i="33"/>
  <c r="CP30" i="33"/>
  <c r="CO30" i="33"/>
  <c r="CN30" i="33"/>
  <c r="CM30" i="33"/>
  <c r="CL30" i="33"/>
  <c r="CK30" i="33"/>
  <c r="CJ30" i="33"/>
  <c r="CI30" i="33"/>
  <c r="CH30" i="33"/>
  <c r="CG30" i="33"/>
  <c r="DP29" i="33"/>
  <c r="DO29" i="33"/>
  <c r="DN29" i="33"/>
  <c r="DM29" i="33"/>
  <c r="DL29" i="33"/>
  <c r="DK29" i="33"/>
  <c r="DJ29" i="33"/>
  <c r="DI29" i="33"/>
  <c r="DH29" i="33"/>
  <c r="DG29" i="33"/>
  <c r="DF29" i="33"/>
  <c r="DE29" i="33"/>
  <c r="DD29" i="33"/>
  <c r="DC29" i="33"/>
  <c r="DB29" i="33"/>
  <c r="DA29" i="33"/>
  <c r="CZ29" i="33"/>
  <c r="CY29" i="33"/>
  <c r="CX29" i="33"/>
  <c r="CW29" i="33"/>
  <c r="CV29" i="33"/>
  <c r="CU29" i="33"/>
  <c r="CT29" i="33"/>
  <c r="CS29" i="33"/>
  <c r="CR29" i="33"/>
  <c r="CQ29" i="33"/>
  <c r="CP29" i="33"/>
  <c r="CO29" i="33"/>
  <c r="CN29" i="33"/>
  <c r="CM29" i="33"/>
  <c r="CL29" i="33"/>
  <c r="CK29" i="33"/>
  <c r="CJ29" i="33"/>
  <c r="CI29" i="33"/>
  <c r="CH29" i="33"/>
  <c r="CG29" i="33"/>
  <c r="DP28" i="33"/>
  <c r="DO28" i="33"/>
  <c r="DN28" i="33"/>
  <c r="DM28" i="33"/>
  <c r="DL28" i="33"/>
  <c r="DK28" i="33"/>
  <c r="DJ28" i="33"/>
  <c r="DI28" i="33"/>
  <c r="DH28" i="33"/>
  <c r="DG28" i="33"/>
  <c r="DF28" i="33"/>
  <c r="DE28" i="33"/>
  <c r="DD28" i="33"/>
  <c r="DC28" i="33"/>
  <c r="DB28" i="33"/>
  <c r="DA28" i="33"/>
  <c r="CZ28" i="33"/>
  <c r="CY28" i="33"/>
  <c r="CX28" i="33"/>
  <c r="CW28" i="33"/>
  <c r="CV28" i="33"/>
  <c r="CU28" i="33"/>
  <c r="CT28" i="33"/>
  <c r="CS28" i="33"/>
  <c r="CR28" i="33"/>
  <c r="CQ28" i="33"/>
  <c r="CP28" i="33"/>
  <c r="CO28" i="33"/>
  <c r="CN28" i="33"/>
  <c r="CM28" i="33"/>
  <c r="CL28" i="33"/>
  <c r="CK28" i="33"/>
  <c r="CJ28" i="33"/>
  <c r="CI28" i="33"/>
  <c r="CH28" i="33"/>
  <c r="CG28" i="33"/>
  <c r="DP27" i="33"/>
  <c r="DO27" i="33"/>
  <c r="DN27" i="33"/>
  <c r="DM27" i="33"/>
  <c r="DL27" i="33"/>
  <c r="DK27" i="33"/>
  <c r="DJ27" i="33"/>
  <c r="DI27" i="33"/>
  <c r="DH27" i="33"/>
  <c r="DG27" i="33"/>
  <c r="DF27" i="33"/>
  <c r="DE27" i="33"/>
  <c r="DD27" i="33"/>
  <c r="DC27" i="33"/>
  <c r="DB27" i="33"/>
  <c r="DA27" i="33"/>
  <c r="CZ27" i="33"/>
  <c r="CY27" i="33"/>
  <c r="CX27" i="33"/>
  <c r="CW27" i="33"/>
  <c r="CV27" i="33"/>
  <c r="CU27" i="33"/>
  <c r="CT27" i="33"/>
  <c r="CS27" i="33"/>
  <c r="CR27" i="33"/>
  <c r="CQ27" i="33"/>
  <c r="CP27" i="33"/>
  <c r="CO27" i="33"/>
  <c r="CN27" i="33"/>
  <c r="CM27" i="33"/>
  <c r="CL27" i="33"/>
  <c r="CK27" i="33"/>
  <c r="CJ27" i="33"/>
  <c r="CI27" i="33"/>
  <c r="CH27" i="33"/>
  <c r="CG27" i="33"/>
  <c r="DP26" i="33"/>
  <c r="DO26" i="33"/>
  <c r="DN26" i="33"/>
  <c r="DM26" i="33"/>
  <c r="DL26" i="33"/>
  <c r="DK26" i="33"/>
  <c r="DJ26" i="33"/>
  <c r="DI26" i="33"/>
  <c r="DH26" i="33"/>
  <c r="DG26" i="33"/>
  <c r="DF26" i="33"/>
  <c r="DE26" i="33"/>
  <c r="DD26" i="33"/>
  <c r="DC26" i="33"/>
  <c r="DB26" i="33"/>
  <c r="DA26" i="33"/>
  <c r="CZ26" i="33"/>
  <c r="CY26" i="33"/>
  <c r="CX26" i="33"/>
  <c r="CW26" i="33"/>
  <c r="CV26" i="33"/>
  <c r="CU26" i="33"/>
  <c r="CT26" i="33"/>
  <c r="CS26" i="33"/>
  <c r="CR26" i="33"/>
  <c r="CQ26" i="33"/>
  <c r="CP26" i="33"/>
  <c r="CO26" i="33"/>
  <c r="CN26" i="33"/>
  <c r="CM26" i="33"/>
  <c r="CL26" i="33"/>
  <c r="CK26" i="33"/>
  <c r="CJ26" i="33"/>
  <c r="CI26" i="33"/>
  <c r="CH26" i="33"/>
  <c r="CG26" i="33"/>
  <c r="DP23" i="33"/>
  <c r="DO23" i="33"/>
  <c r="DN23" i="33"/>
  <c r="DM23" i="33"/>
  <c r="DL23" i="33"/>
  <c r="DK23" i="33"/>
  <c r="DJ23" i="33"/>
  <c r="DI23" i="33"/>
  <c r="DH23" i="33"/>
  <c r="DG23" i="33"/>
  <c r="DF23" i="33"/>
  <c r="DE23" i="33"/>
  <c r="DD23" i="33"/>
  <c r="DC23" i="33"/>
  <c r="DB23" i="33"/>
  <c r="DA23" i="33"/>
  <c r="CZ23" i="33"/>
  <c r="CY23" i="33"/>
  <c r="CX23" i="33"/>
  <c r="CW23" i="33"/>
  <c r="CV23" i="33"/>
  <c r="CU23" i="33"/>
  <c r="CT23" i="33"/>
  <c r="CS23" i="33"/>
  <c r="CR23" i="33"/>
  <c r="CQ23" i="33"/>
  <c r="CP23" i="33"/>
  <c r="CO23" i="33"/>
  <c r="CN23" i="33"/>
  <c r="CM23" i="33"/>
  <c r="CL23" i="33"/>
  <c r="CK23" i="33"/>
  <c r="CJ23" i="33"/>
  <c r="CI23" i="33"/>
  <c r="CH23" i="33"/>
  <c r="CG23" i="33"/>
  <c r="DP22" i="33"/>
  <c r="DO22" i="33"/>
  <c r="DN22" i="33"/>
  <c r="DM22" i="33"/>
  <c r="DL22" i="33"/>
  <c r="DK22" i="33"/>
  <c r="DJ22" i="33"/>
  <c r="DI22" i="33"/>
  <c r="DH22" i="33"/>
  <c r="DG22" i="33"/>
  <c r="DF22" i="33"/>
  <c r="DE22" i="33"/>
  <c r="DD22" i="33"/>
  <c r="DC22" i="33"/>
  <c r="DB22" i="33"/>
  <c r="DA22" i="33"/>
  <c r="CZ22" i="33"/>
  <c r="CY22" i="33"/>
  <c r="CX22" i="33"/>
  <c r="CW22" i="33"/>
  <c r="CV22" i="33"/>
  <c r="CU22" i="33"/>
  <c r="CT22" i="33"/>
  <c r="CS22" i="33"/>
  <c r="CR22" i="33"/>
  <c r="CQ22" i="33"/>
  <c r="CP22" i="33"/>
  <c r="CO22" i="33"/>
  <c r="CN22" i="33"/>
  <c r="CM22" i="33"/>
  <c r="CL22" i="33"/>
  <c r="CK22" i="33"/>
  <c r="CJ22" i="33"/>
  <c r="CI22" i="33"/>
  <c r="CH22" i="33"/>
  <c r="CG22" i="33"/>
  <c r="DP21" i="33"/>
  <c r="DO21" i="33"/>
  <c r="DN21" i="33"/>
  <c r="DM21" i="33"/>
  <c r="DL21" i="33"/>
  <c r="DK21" i="33"/>
  <c r="DJ21" i="33"/>
  <c r="DI21" i="33"/>
  <c r="DH21" i="33"/>
  <c r="DG21" i="33"/>
  <c r="DF21" i="33"/>
  <c r="DE21" i="33"/>
  <c r="DD21" i="33"/>
  <c r="DC21" i="33"/>
  <c r="DB21" i="33"/>
  <c r="DA21" i="33"/>
  <c r="CZ21" i="33"/>
  <c r="CY21" i="33"/>
  <c r="CX21" i="33"/>
  <c r="CW21" i="33"/>
  <c r="CV21" i="33"/>
  <c r="CU21" i="33"/>
  <c r="CT21" i="33"/>
  <c r="CS21" i="33"/>
  <c r="CR21" i="33"/>
  <c r="CQ21" i="33"/>
  <c r="CP21" i="33"/>
  <c r="CO21" i="33"/>
  <c r="CN21" i="33"/>
  <c r="CM21" i="33"/>
  <c r="CL21" i="33"/>
  <c r="CK21" i="33"/>
  <c r="CJ21" i="33"/>
  <c r="CI21" i="33"/>
  <c r="CH21" i="33"/>
  <c r="CG21" i="33"/>
  <c r="DP20" i="33"/>
  <c r="DO20" i="33"/>
  <c r="DN20" i="33"/>
  <c r="DM20" i="33"/>
  <c r="DL20" i="33"/>
  <c r="DK20" i="33"/>
  <c r="DJ20" i="33"/>
  <c r="DI20" i="33"/>
  <c r="DH20" i="33"/>
  <c r="DG20" i="33"/>
  <c r="DF20" i="33"/>
  <c r="DE20" i="33"/>
  <c r="DD20" i="33"/>
  <c r="DC20" i="33"/>
  <c r="DB20" i="33"/>
  <c r="DA20" i="33"/>
  <c r="CZ20" i="33"/>
  <c r="CY20" i="33"/>
  <c r="CX20" i="33"/>
  <c r="CW20" i="33"/>
  <c r="CV20" i="33"/>
  <c r="CU20" i="33"/>
  <c r="CT20" i="33"/>
  <c r="CS20" i="33"/>
  <c r="CR20" i="33"/>
  <c r="CQ20" i="33"/>
  <c r="CP20" i="33"/>
  <c r="CO20" i="33"/>
  <c r="CN20" i="33"/>
  <c r="CM20" i="33"/>
  <c r="CL20" i="33"/>
  <c r="CK20" i="33"/>
  <c r="CJ20" i="33"/>
  <c r="CI20" i="33"/>
  <c r="CH20" i="33"/>
  <c r="CG20" i="33"/>
  <c r="DP19" i="33"/>
  <c r="DO19" i="33"/>
  <c r="DN19" i="33"/>
  <c r="DM19" i="33"/>
  <c r="DL19" i="33"/>
  <c r="DK19" i="33"/>
  <c r="DJ19" i="33"/>
  <c r="DI19" i="33"/>
  <c r="DH19" i="33"/>
  <c r="DG19" i="33"/>
  <c r="DF19" i="33"/>
  <c r="DE19" i="33"/>
  <c r="DD19" i="33"/>
  <c r="DC19" i="33"/>
  <c r="DB19" i="33"/>
  <c r="DA19" i="33"/>
  <c r="CZ19" i="33"/>
  <c r="CY19" i="33"/>
  <c r="CX19" i="33"/>
  <c r="CW19" i="33"/>
  <c r="CV19" i="33"/>
  <c r="CU19" i="33"/>
  <c r="CT19" i="33"/>
  <c r="CS19" i="33"/>
  <c r="CR19" i="33"/>
  <c r="CQ19" i="33"/>
  <c r="CP19" i="33"/>
  <c r="CO19" i="33"/>
  <c r="CN19" i="33"/>
  <c r="CM19" i="33"/>
  <c r="CL19" i="33"/>
  <c r="CK19" i="33"/>
  <c r="CJ19" i="33"/>
  <c r="CI19" i="33"/>
  <c r="CH19" i="33"/>
  <c r="CG19" i="33"/>
  <c r="DP18" i="33"/>
  <c r="DO18" i="33"/>
  <c r="DN18" i="33"/>
  <c r="DM18" i="33"/>
  <c r="DL18" i="33"/>
  <c r="DK18" i="33"/>
  <c r="DJ18" i="33"/>
  <c r="DI18" i="33"/>
  <c r="DH18" i="33"/>
  <c r="DG18" i="33"/>
  <c r="DF18" i="33"/>
  <c r="DE18" i="33"/>
  <c r="DD18" i="33"/>
  <c r="DC18" i="33"/>
  <c r="DB18" i="33"/>
  <c r="DA18" i="33"/>
  <c r="CZ18" i="33"/>
  <c r="CY18" i="33"/>
  <c r="CX18" i="33"/>
  <c r="CW18" i="33"/>
  <c r="CV18" i="33"/>
  <c r="CU18" i="33"/>
  <c r="CT18" i="33"/>
  <c r="CS18" i="33"/>
  <c r="CR18" i="33"/>
  <c r="CQ18" i="33"/>
  <c r="CP18" i="33"/>
  <c r="CO18" i="33"/>
  <c r="CN18" i="33"/>
  <c r="CM18" i="33"/>
  <c r="CL18" i="33"/>
  <c r="CK18" i="33"/>
  <c r="CJ18" i="33"/>
  <c r="CI18" i="33"/>
  <c r="CH18" i="33"/>
  <c r="CG18" i="33"/>
  <c r="DP17" i="33"/>
  <c r="DO17" i="33"/>
  <c r="DN17" i="33"/>
  <c r="DM17" i="33"/>
  <c r="DL17" i="33"/>
  <c r="DK17" i="33"/>
  <c r="DJ17" i="33"/>
  <c r="DI17" i="33"/>
  <c r="DH17" i="33"/>
  <c r="DG17" i="33"/>
  <c r="DF17" i="33"/>
  <c r="DE17" i="33"/>
  <c r="DD17" i="33"/>
  <c r="DC17" i="33"/>
  <c r="DB17" i="33"/>
  <c r="DA17" i="33"/>
  <c r="CZ17" i="33"/>
  <c r="CY17" i="33"/>
  <c r="CX17" i="33"/>
  <c r="CW17" i="33"/>
  <c r="CV17" i="33"/>
  <c r="CU17" i="33"/>
  <c r="CT17" i="33"/>
  <c r="CS17" i="33"/>
  <c r="CR17" i="33"/>
  <c r="CQ17" i="33"/>
  <c r="CP17" i="33"/>
  <c r="CO17" i="33"/>
  <c r="CN17" i="33"/>
  <c r="CM17" i="33"/>
  <c r="CL17" i="33"/>
  <c r="CK17" i="33"/>
  <c r="CJ17" i="33"/>
  <c r="CI17" i="33"/>
  <c r="CH17" i="33"/>
  <c r="CG17" i="33"/>
  <c r="DP16" i="33"/>
  <c r="DO16" i="33"/>
  <c r="DN16" i="33"/>
  <c r="DM16" i="33"/>
  <c r="DL16" i="33"/>
  <c r="DK16" i="33"/>
  <c r="DJ16" i="33"/>
  <c r="DI16" i="33"/>
  <c r="DH16" i="33"/>
  <c r="DG16" i="33"/>
  <c r="DF16" i="33"/>
  <c r="DE16" i="33"/>
  <c r="DD16" i="33"/>
  <c r="DC16" i="33"/>
  <c r="DB16" i="33"/>
  <c r="DA16" i="33"/>
  <c r="CZ16" i="33"/>
  <c r="CY16" i="33"/>
  <c r="CX16" i="33"/>
  <c r="CW16" i="33"/>
  <c r="CV16" i="33"/>
  <c r="CU16" i="33"/>
  <c r="CT16" i="33"/>
  <c r="CS16" i="33"/>
  <c r="CR16" i="33"/>
  <c r="CQ16" i="33"/>
  <c r="CP16" i="33"/>
  <c r="CO16" i="33"/>
  <c r="CN16" i="33"/>
  <c r="CM16" i="33"/>
  <c r="CL16" i="33"/>
  <c r="CK16" i="33"/>
  <c r="CJ16" i="33"/>
  <c r="CI16" i="33"/>
  <c r="CH16" i="33"/>
  <c r="CG16" i="33"/>
  <c r="DP15" i="33"/>
  <c r="DO15" i="33"/>
  <c r="DN15" i="33"/>
  <c r="DM15" i="33"/>
  <c r="DL15" i="33"/>
  <c r="DK15" i="33"/>
  <c r="DJ15" i="33"/>
  <c r="DI15" i="33"/>
  <c r="DH15" i="33"/>
  <c r="DG15" i="33"/>
  <c r="DF15" i="33"/>
  <c r="DE15" i="33"/>
  <c r="DD15" i="33"/>
  <c r="DC15" i="33"/>
  <c r="DB15" i="33"/>
  <c r="DA15" i="33"/>
  <c r="CZ15" i="33"/>
  <c r="CY15" i="33"/>
  <c r="CX15" i="33"/>
  <c r="CW15" i="33"/>
  <c r="CV15" i="33"/>
  <c r="CU15" i="33"/>
  <c r="CT15" i="33"/>
  <c r="CS15" i="33"/>
  <c r="CR15" i="33"/>
  <c r="CQ15" i="33"/>
  <c r="CP15" i="33"/>
  <c r="CO15" i="33"/>
  <c r="CN15" i="33"/>
  <c r="CM15" i="33"/>
  <c r="CL15" i="33"/>
  <c r="CK15" i="33"/>
  <c r="CJ15" i="33"/>
  <c r="CI15" i="33"/>
  <c r="CH15" i="33"/>
  <c r="CG15" i="33"/>
  <c r="DP14" i="33"/>
  <c r="DO14" i="33"/>
  <c r="DN14" i="33"/>
  <c r="DM14" i="33"/>
  <c r="DL14" i="33"/>
  <c r="DK14" i="33"/>
  <c r="DJ14" i="33"/>
  <c r="DI14" i="33"/>
  <c r="DH14" i="33"/>
  <c r="DG14" i="33"/>
  <c r="DF14" i="33"/>
  <c r="DE14" i="33"/>
  <c r="DD14" i="33"/>
  <c r="DC14" i="33"/>
  <c r="DB14" i="33"/>
  <c r="DA14" i="33"/>
  <c r="CZ14" i="33"/>
  <c r="CY14" i="33"/>
  <c r="CX14" i="33"/>
  <c r="CW14" i="33"/>
  <c r="CV14" i="33"/>
  <c r="CU14" i="33"/>
  <c r="CT14" i="33"/>
  <c r="CS14" i="33"/>
  <c r="CR14" i="33"/>
  <c r="CQ14" i="33"/>
  <c r="CP14" i="33"/>
  <c r="CO14" i="33"/>
  <c r="CN14" i="33"/>
  <c r="CM14" i="33"/>
  <c r="CL14" i="33"/>
  <c r="CK14" i="33"/>
  <c r="CJ14" i="33"/>
  <c r="CI14" i="33"/>
  <c r="CH14" i="33"/>
  <c r="CG14" i="33"/>
  <c r="DP13" i="33"/>
  <c r="DO13" i="33"/>
  <c r="DN13" i="33"/>
  <c r="DM13" i="33"/>
  <c r="DL13" i="33"/>
  <c r="DK13" i="33"/>
  <c r="DJ13" i="33"/>
  <c r="DI13" i="33"/>
  <c r="DH13" i="33"/>
  <c r="DG13" i="33"/>
  <c r="DF13" i="33"/>
  <c r="DE13" i="33"/>
  <c r="DD13" i="33"/>
  <c r="DC13" i="33"/>
  <c r="DB13" i="33"/>
  <c r="DA13" i="33"/>
  <c r="CZ13" i="33"/>
  <c r="CY13" i="33"/>
  <c r="CX13" i="33"/>
  <c r="CW13" i="33"/>
  <c r="CV13" i="33"/>
  <c r="CU13" i="33"/>
  <c r="CT13" i="33"/>
  <c r="CS13" i="33"/>
  <c r="CR13" i="33"/>
  <c r="CQ13" i="33"/>
  <c r="CP13" i="33"/>
  <c r="CO13" i="33"/>
  <c r="CN13" i="33"/>
  <c r="CM13" i="33"/>
  <c r="CL13" i="33"/>
  <c r="CK13" i="33"/>
  <c r="CJ13" i="33"/>
  <c r="CI13" i="33"/>
  <c r="CH13" i="33"/>
  <c r="CG13" i="33"/>
  <c r="DP12" i="33"/>
  <c r="DO12" i="33"/>
  <c r="DN12" i="33"/>
  <c r="DM12" i="33"/>
  <c r="DL12" i="33"/>
  <c r="DK12" i="33"/>
  <c r="DJ12" i="33"/>
  <c r="DI12" i="33"/>
  <c r="DH12" i="33"/>
  <c r="DG12" i="33"/>
  <c r="DF12" i="33"/>
  <c r="DE12" i="33"/>
  <c r="DD12" i="33"/>
  <c r="DC12" i="33"/>
  <c r="DB12" i="33"/>
  <c r="DA12" i="33"/>
  <c r="CZ12" i="33"/>
  <c r="CY12" i="33"/>
  <c r="CX12" i="33"/>
  <c r="CW12" i="33"/>
  <c r="CV12" i="33"/>
  <c r="CU12" i="33"/>
  <c r="CT12" i="33"/>
  <c r="CS12" i="33"/>
  <c r="CR12" i="33"/>
  <c r="CQ12" i="33"/>
  <c r="CP12" i="33"/>
  <c r="CO12" i="33"/>
  <c r="CN12" i="33"/>
  <c r="CM12" i="33"/>
  <c r="CL12" i="33"/>
  <c r="CK12" i="33"/>
  <c r="CJ12" i="33"/>
  <c r="CI12" i="33"/>
  <c r="CH12" i="33"/>
  <c r="CG12" i="33"/>
  <c r="DP11" i="33"/>
  <c r="DO11" i="33"/>
  <c r="DN11" i="33"/>
  <c r="DM11" i="33"/>
  <c r="DL11" i="33"/>
  <c r="DK11" i="33"/>
  <c r="DJ11" i="33"/>
  <c r="DI11" i="33"/>
  <c r="DH11" i="33"/>
  <c r="DG11" i="33"/>
  <c r="DF11" i="33"/>
  <c r="DE11" i="33"/>
  <c r="DD11" i="33"/>
  <c r="DC11" i="33"/>
  <c r="DB11" i="33"/>
  <c r="DA11" i="33"/>
  <c r="CZ11" i="33"/>
  <c r="CY11" i="33"/>
  <c r="CX11" i="33"/>
  <c r="CW11" i="33"/>
  <c r="CV11" i="33"/>
  <c r="CU11" i="33"/>
  <c r="CT11" i="33"/>
  <c r="CS11" i="33"/>
  <c r="CR11" i="33"/>
  <c r="CQ11" i="33"/>
  <c r="CP11" i="33"/>
  <c r="CO11" i="33"/>
  <c r="CN11" i="33"/>
  <c r="CM11" i="33"/>
  <c r="CL11" i="33"/>
  <c r="CK11" i="33"/>
  <c r="CJ11" i="33"/>
  <c r="CI11" i="33"/>
  <c r="CH11" i="33"/>
  <c r="CG11" i="33"/>
  <c r="DP10" i="33"/>
  <c r="DO10" i="33"/>
  <c r="DN10" i="33"/>
  <c r="DM10" i="33"/>
  <c r="DL10" i="33"/>
  <c r="DK10" i="33"/>
  <c r="DJ10" i="33"/>
  <c r="DI10" i="33"/>
  <c r="DH10" i="33"/>
  <c r="DG10" i="33"/>
  <c r="DF10" i="33"/>
  <c r="DE10" i="33"/>
  <c r="DD10" i="33"/>
  <c r="DC10" i="33"/>
  <c r="DB10" i="33"/>
  <c r="DA10" i="33"/>
  <c r="CZ10" i="33"/>
  <c r="CY10" i="33"/>
  <c r="CX10" i="33"/>
  <c r="CW10" i="33"/>
  <c r="CV10" i="33"/>
  <c r="CU10" i="33"/>
  <c r="CT10" i="33"/>
  <c r="CS10" i="33"/>
  <c r="CR10" i="33"/>
  <c r="CQ10" i="33"/>
  <c r="CP10" i="33"/>
  <c r="CO10" i="33"/>
  <c r="CN10" i="33"/>
  <c r="CM10" i="33"/>
  <c r="CL10" i="33"/>
  <c r="CK10" i="33"/>
  <c r="CJ10" i="33"/>
  <c r="CI10" i="33"/>
  <c r="CH10" i="33"/>
  <c r="CG10" i="33"/>
  <c r="DP9" i="33"/>
  <c r="DO9" i="33"/>
  <c r="DN9" i="33"/>
  <c r="DM9" i="33"/>
  <c r="DL9" i="33"/>
  <c r="DK9" i="33"/>
  <c r="DJ9" i="33"/>
  <c r="DI9" i="33"/>
  <c r="DH9" i="33"/>
  <c r="DG9" i="33"/>
  <c r="DF9" i="33"/>
  <c r="DE9" i="33"/>
  <c r="DD9" i="33"/>
  <c r="DC9" i="33"/>
  <c r="DB9" i="33"/>
  <c r="DA9" i="33"/>
  <c r="CZ9" i="33"/>
  <c r="CY9" i="33"/>
  <c r="CX9" i="33"/>
  <c r="CW9" i="33"/>
  <c r="CV9" i="33"/>
  <c r="CU9" i="33"/>
  <c r="CT9" i="33"/>
  <c r="CS9" i="33"/>
  <c r="CR9" i="33"/>
  <c r="CQ9" i="33"/>
  <c r="CP9" i="33"/>
  <c r="CO9" i="33"/>
  <c r="CN9" i="33"/>
  <c r="CM9" i="33"/>
  <c r="CL9" i="33"/>
  <c r="CK9" i="33"/>
  <c r="CJ9" i="33"/>
  <c r="CI9" i="33"/>
  <c r="CH9" i="33"/>
  <c r="CG9" i="33"/>
  <c r="DP8" i="33"/>
  <c r="DO8" i="33"/>
  <c r="DN8" i="33"/>
  <c r="DM8" i="33"/>
  <c r="DL8" i="33"/>
  <c r="DK8" i="33"/>
  <c r="DJ8" i="33"/>
  <c r="DI8" i="33"/>
  <c r="DH8" i="33"/>
  <c r="DG8" i="33"/>
  <c r="DF8" i="33"/>
  <c r="DE8" i="33"/>
  <c r="DD8" i="33"/>
  <c r="DC8" i="33"/>
  <c r="DB8" i="33"/>
  <c r="DA8" i="33"/>
  <c r="CZ8" i="33"/>
  <c r="CY8" i="33"/>
  <c r="CX8" i="33"/>
  <c r="CW8" i="33"/>
  <c r="CV8" i="33"/>
  <c r="CU8" i="33"/>
  <c r="CT8" i="33"/>
  <c r="CS8" i="33"/>
  <c r="CR8" i="33"/>
  <c r="CQ8" i="33"/>
  <c r="CP8" i="33"/>
  <c r="CO8" i="33"/>
  <c r="CN8" i="33"/>
  <c r="CM8" i="33"/>
  <c r="CL8" i="33"/>
  <c r="CK8" i="33"/>
  <c r="CJ8" i="33"/>
  <c r="CI8" i="33"/>
  <c r="CH8" i="33"/>
  <c r="CG8" i="33"/>
  <c r="DP5" i="33"/>
  <c r="DO5" i="33"/>
  <c r="DN5" i="33"/>
  <c r="DM5" i="33"/>
  <c r="DL5" i="33"/>
  <c r="DK5" i="33"/>
  <c r="DJ5" i="33"/>
  <c r="DI5" i="33"/>
  <c r="DH5" i="33"/>
  <c r="DG5" i="33"/>
  <c r="DF5" i="33"/>
  <c r="DE5" i="33"/>
  <c r="DD5" i="33"/>
  <c r="DC5" i="33"/>
  <c r="DB5" i="33"/>
  <c r="DA5" i="33"/>
  <c r="CZ5" i="33"/>
  <c r="CY5" i="33"/>
  <c r="CX5" i="33"/>
  <c r="CW5" i="33"/>
  <c r="CV5" i="33"/>
  <c r="CU5" i="33"/>
  <c r="CT5" i="33"/>
  <c r="CS5" i="33"/>
  <c r="CR5" i="33"/>
  <c r="CQ5" i="33"/>
  <c r="CP5" i="33"/>
  <c r="CO5" i="33"/>
  <c r="CN5" i="33"/>
  <c r="CM5" i="33"/>
  <c r="CL5" i="33"/>
  <c r="CK5" i="33"/>
  <c r="CJ5" i="33"/>
  <c r="CI5" i="33"/>
  <c r="CH5" i="33"/>
  <c r="BL64" i="33"/>
  <c r="BK64" i="33"/>
  <c r="BJ64" i="33"/>
  <c r="BI64" i="33"/>
  <c r="BH64" i="33"/>
  <c r="BG64" i="33"/>
  <c r="BF64" i="33"/>
  <c r="BE64" i="33"/>
  <c r="BD64" i="33"/>
  <c r="BC64" i="33"/>
  <c r="BB64" i="33"/>
  <c r="BA64" i="33"/>
  <c r="AZ64" i="33"/>
  <c r="AY64" i="33"/>
  <c r="AX64" i="33"/>
  <c r="AW64" i="33"/>
  <c r="AV64" i="33"/>
  <c r="AU64" i="33"/>
  <c r="AT64" i="33"/>
  <c r="AS64" i="33"/>
  <c r="AR64" i="33"/>
  <c r="CA63" i="33"/>
  <c r="BZ63" i="33"/>
  <c r="BY63" i="33"/>
  <c r="BX63" i="33"/>
  <c r="BW63" i="33"/>
  <c r="BV63" i="33"/>
  <c r="BU63" i="33"/>
  <c r="BT63" i="33"/>
  <c r="BS63" i="33"/>
  <c r="BR63" i="33"/>
  <c r="BQ63" i="33"/>
  <c r="BP63" i="33"/>
  <c r="BO63" i="33"/>
  <c r="BN63" i="33"/>
  <c r="BM63" i="33"/>
  <c r="BL63" i="33"/>
  <c r="BK63" i="33"/>
  <c r="BJ63" i="33"/>
  <c r="BI63" i="33"/>
  <c r="BH63" i="33"/>
  <c r="BG63" i="33"/>
  <c r="BF63" i="33"/>
  <c r="BE63" i="33"/>
  <c r="BD63" i="33"/>
  <c r="BC63" i="33"/>
  <c r="BB63" i="33"/>
  <c r="BA63" i="33"/>
  <c r="AZ63" i="33"/>
  <c r="AY63" i="33"/>
  <c r="AX63" i="33"/>
  <c r="AW63" i="33"/>
  <c r="AV63" i="33"/>
  <c r="AU63" i="33"/>
  <c r="AT63" i="33"/>
  <c r="AS63" i="33"/>
  <c r="AR63" i="33"/>
  <c r="CA62" i="33"/>
  <c r="BZ62" i="33"/>
  <c r="BY62" i="33"/>
  <c r="BX62" i="33"/>
  <c r="BW62" i="33"/>
  <c r="BV62" i="33"/>
  <c r="BU62" i="33"/>
  <c r="BT62" i="33"/>
  <c r="BS62" i="33"/>
  <c r="BR62" i="33"/>
  <c r="BQ62" i="33"/>
  <c r="BP62" i="33"/>
  <c r="BO62" i="33"/>
  <c r="BN62" i="33"/>
  <c r="BM62" i="33"/>
  <c r="BL62" i="33"/>
  <c r="BK62" i="33"/>
  <c r="BJ62" i="33"/>
  <c r="BI62" i="33"/>
  <c r="BH62" i="33"/>
  <c r="BG62" i="33"/>
  <c r="BF62" i="33"/>
  <c r="BE62" i="33"/>
  <c r="BD62" i="33"/>
  <c r="BC62" i="33"/>
  <c r="BB62" i="33"/>
  <c r="BA62" i="33"/>
  <c r="AZ62" i="33"/>
  <c r="AY62" i="33"/>
  <c r="AX62" i="33"/>
  <c r="AW62" i="33"/>
  <c r="AV62" i="33"/>
  <c r="AU62" i="33"/>
  <c r="AT62" i="33"/>
  <c r="AS62" i="33"/>
  <c r="AR62" i="33"/>
  <c r="CA61" i="33"/>
  <c r="BZ61" i="33"/>
  <c r="BY61" i="33"/>
  <c r="BX61" i="33"/>
  <c r="BW61" i="33"/>
  <c r="BV61" i="33"/>
  <c r="BU61" i="33"/>
  <c r="BT61" i="33"/>
  <c r="BS61" i="33"/>
  <c r="BR61" i="33"/>
  <c r="BQ61" i="33"/>
  <c r="BP61" i="33"/>
  <c r="BO61" i="33"/>
  <c r="BN61" i="33"/>
  <c r="BM61" i="33"/>
  <c r="BL61" i="33"/>
  <c r="BK61" i="33"/>
  <c r="BJ61" i="33"/>
  <c r="BI61" i="33"/>
  <c r="BH61" i="33"/>
  <c r="BG61" i="33"/>
  <c r="BF61" i="33"/>
  <c r="BE61" i="33"/>
  <c r="BD61" i="33"/>
  <c r="BC61" i="33"/>
  <c r="BB61" i="33"/>
  <c r="BA61" i="33"/>
  <c r="AZ61" i="33"/>
  <c r="AY61" i="33"/>
  <c r="AX61" i="33"/>
  <c r="AW61" i="33"/>
  <c r="AV61" i="33"/>
  <c r="AU61" i="33"/>
  <c r="AT61" i="33"/>
  <c r="AS61" i="33"/>
  <c r="AR61" i="33"/>
  <c r="CA60" i="33"/>
  <c r="BZ60" i="33"/>
  <c r="BY60" i="33"/>
  <c r="BX60" i="33"/>
  <c r="BW60" i="33"/>
  <c r="BV60" i="33"/>
  <c r="BU60" i="33"/>
  <c r="BT60" i="33"/>
  <c r="BS60" i="33"/>
  <c r="BR60" i="33"/>
  <c r="BQ60" i="33"/>
  <c r="BP60" i="33"/>
  <c r="BO60" i="33"/>
  <c r="BN60" i="33"/>
  <c r="BM60" i="33"/>
  <c r="BL60" i="33"/>
  <c r="BK60" i="33"/>
  <c r="BJ60" i="33"/>
  <c r="BI60" i="33"/>
  <c r="BH60" i="33"/>
  <c r="BG60" i="33"/>
  <c r="BF60" i="33"/>
  <c r="BE60" i="33"/>
  <c r="BD60" i="33"/>
  <c r="BC60" i="33"/>
  <c r="BB60" i="33"/>
  <c r="BA60" i="33"/>
  <c r="AZ60" i="33"/>
  <c r="AY60" i="33"/>
  <c r="AX60" i="33"/>
  <c r="AW60" i="33"/>
  <c r="AV60" i="33"/>
  <c r="AU60" i="33"/>
  <c r="AT60" i="33"/>
  <c r="AS60" i="33"/>
  <c r="AR60" i="33"/>
  <c r="CA59" i="33"/>
  <c r="BZ59" i="33"/>
  <c r="BY59" i="33"/>
  <c r="BX59" i="33"/>
  <c r="BW59" i="33"/>
  <c r="BV59" i="33"/>
  <c r="BU59" i="33"/>
  <c r="BT59" i="33"/>
  <c r="BS59" i="33"/>
  <c r="BR59" i="33"/>
  <c r="BQ59" i="33"/>
  <c r="BP59" i="33"/>
  <c r="BO59" i="33"/>
  <c r="BN59" i="33"/>
  <c r="BM59" i="33"/>
  <c r="BL59" i="33"/>
  <c r="BK59" i="33"/>
  <c r="BJ59" i="33"/>
  <c r="BI59" i="33"/>
  <c r="BH59" i="33"/>
  <c r="BG59" i="33"/>
  <c r="BF59" i="33"/>
  <c r="BE59" i="33"/>
  <c r="BD59" i="33"/>
  <c r="BC59" i="33"/>
  <c r="BB59" i="33"/>
  <c r="BA59" i="33"/>
  <c r="AZ59" i="33"/>
  <c r="AY59" i="33"/>
  <c r="AX59" i="33"/>
  <c r="AW59" i="33"/>
  <c r="AV59" i="33"/>
  <c r="AU59" i="33"/>
  <c r="AT59" i="33"/>
  <c r="AS59" i="33"/>
  <c r="AR59" i="33"/>
  <c r="CA58" i="33"/>
  <c r="BZ58" i="33"/>
  <c r="BY58" i="33"/>
  <c r="BX58" i="33"/>
  <c r="BW58" i="33"/>
  <c r="BV58" i="33"/>
  <c r="BU58" i="33"/>
  <c r="BT58" i="33"/>
  <c r="BS58" i="33"/>
  <c r="BR58" i="33"/>
  <c r="BQ58" i="33"/>
  <c r="BP58" i="33"/>
  <c r="BO58" i="33"/>
  <c r="BN58" i="33"/>
  <c r="BM58" i="33"/>
  <c r="BL58" i="33"/>
  <c r="BK58" i="33"/>
  <c r="BJ58" i="33"/>
  <c r="BI58" i="33"/>
  <c r="BH58" i="33"/>
  <c r="BG58" i="33"/>
  <c r="BF58" i="33"/>
  <c r="BE58" i="33"/>
  <c r="BD58" i="33"/>
  <c r="BC58" i="33"/>
  <c r="BB58" i="33"/>
  <c r="BA58" i="33"/>
  <c r="AZ58" i="33"/>
  <c r="AY58" i="33"/>
  <c r="AX58" i="33"/>
  <c r="AW58" i="33"/>
  <c r="AV58" i="33"/>
  <c r="AU58" i="33"/>
  <c r="AT58" i="33"/>
  <c r="AS58" i="33"/>
  <c r="AR58" i="33"/>
  <c r="CA57" i="33"/>
  <c r="BZ57" i="33"/>
  <c r="BY57" i="33"/>
  <c r="BX57" i="33"/>
  <c r="BW57" i="33"/>
  <c r="BV57" i="33"/>
  <c r="BU57" i="33"/>
  <c r="BT57" i="33"/>
  <c r="BS57" i="33"/>
  <c r="BR57" i="33"/>
  <c r="BQ57" i="33"/>
  <c r="BP57" i="33"/>
  <c r="BO57" i="33"/>
  <c r="BN57" i="33"/>
  <c r="BM57" i="33"/>
  <c r="BL57" i="33"/>
  <c r="BK57" i="33"/>
  <c r="BJ57" i="33"/>
  <c r="BI57" i="33"/>
  <c r="BH57" i="33"/>
  <c r="BG57" i="33"/>
  <c r="BF57" i="33"/>
  <c r="BE57" i="33"/>
  <c r="BD57" i="33"/>
  <c r="BC57" i="33"/>
  <c r="BB57" i="33"/>
  <c r="BA57" i="33"/>
  <c r="AZ57" i="33"/>
  <c r="AY57" i="33"/>
  <c r="AX57" i="33"/>
  <c r="AW57" i="33"/>
  <c r="AV57" i="33"/>
  <c r="AU57" i="33"/>
  <c r="AT57" i="33"/>
  <c r="AS57" i="33"/>
  <c r="AR57" i="33"/>
  <c r="CA56" i="33"/>
  <c r="BZ56" i="33"/>
  <c r="BY56" i="33"/>
  <c r="BX56" i="33"/>
  <c r="BW56" i="33"/>
  <c r="BV56" i="33"/>
  <c r="BU56" i="33"/>
  <c r="BT56" i="33"/>
  <c r="BS56" i="33"/>
  <c r="BR56" i="33"/>
  <c r="BQ56" i="33"/>
  <c r="BP56" i="33"/>
  <c r="BO56" i="33"/>
  <c r="BN56" i="33"/>
  <c r="BM56" i="33"/>
  <c r="BL56" i="33"/>
  <c r="BK56" i="33"/>
  <c r="BJ56" i="33"/>
  <c r="BI56" i="33"/>
  <c r="BH56" i="33"/>
  <c r="BG56" i="33"/>
  <c r="BF56" i="33"/>
  <c r="BE56" i="33"/>
  <c r="BD56" i="33"/>
  <c r="BC56" i="33"/>
  <c r="BB56" i="33"/>
  <c r="BA56" i="33"/>
  <c r="AZ56" i="33"/>
  <c r="AY56" i="33"/>
  <c r="AX56" i="33"/>
  <c r="AW56" i="33"/>
  <c r="AV56" i="33"/>
  <c r="AU56" i="33"/>
  <c r="AT56" i="33"/>
  <c r="AS56" i="33"/>
  <c r="AR56" i="33"/>
  <c r="CA55" i="33"/>
  <c r="BZ55" i="33"/>
  <c r="BY55" i="33"/>
  <c r="BX55" i="33"/>
  <c r="BW55" i="33"/>
  <c r="BV55" i="33"/>
  <c r="BU55" i="33"/>
  <c r="BT55" i="33"/>
  <c r="BS55" i="33"/>
  <c r="BR55" i="33"/>
  <c r="BQ55" i="33"/>
  <c r="BP55" i="33"/>
  <c r="BO55" i="33"/>
  <c r="BN55" i="33"/>
  <c r="BM55" i="33"/>
  <c r="BL55" i="33"/>
  <c r="BK55" i="33"/>
  <c r="BJ55" i="33"/>
  <c r="BI55" i="33"/>
  <c r="BH55" i="33"/>
  <c r="BG55" i="33"/>
  <c r="BF55" i="33"/>
  <c r="BE55" i="33"/>
  <c r="BD55" i="33"/>
  <c r="BC55" i="33"/>
  <c r="BB55" i="33"/>
  <c r="BA55" i="33"/>
  <c r="AZ55" i="33"/>
  <c r="AY55" i="33"/>
  <c r="AX55" i="33"/>
  <c r="AW55" i="33"/>
  <c r="AV55" i="33"/>
  <c r="AU55" i="33"/>
  <c r="AT55" i="33"/>
  <c r="AS55" i="33"/>
  <c r="AR55" i="33"/>
  <c r="CA53" i="33"/>
  <c r="BZ53" i="33"/>
  <c r="BY53" i="33"/>
  <c r="BX53" i="33"/>
  <c r="BW53" i="33"/>
  <c r="BV53" i="33"/>
  <c r="BU53" i="33"/>
  <c r="BT53" i="33"/>
  <c r="BS53" i="33"/>
  <c r="BR53" i="33"/>
  <c r="BQ53" i="33"/>
  <c r="BP53" i="33"/>
  <c r="BO53" i="33"/>
  <c r="BN53" i="33"/>
  <c r="BM53" i="33"/>
  <c r="BL53" i="33"/>
  <c r="BK53" i="33"/>
  <c r="BJ53" i="33"/>
  <c r="BI53" i="33"/>
  <c r="BH53" i="33"/>
  <c r="BG53" i="33"/>
  <c r="BF53" i="33"/>
  <c r="BE53" i="33"/>
  <c r="BD53" i="33"/>
  <c r="BC53" i="33"/>
  <c r="BB53" i="33"/>
  <c r="BA53" i="33"/>
  <c r="AZ53" i="33"/>
  <c r="AY53" i="33"/>
  <c r="AX53" i="33"/>
  <c r="AW53" i="33"/>
  <c r="AV53" i="33"/>
  <c r="CA52" i="33"/>
  <c r="BZ52" i="33"/>
  <c r="BY52" i="33"/>
  <c r="BX52" i="33"/>
  <c r="BW52" i="33"/>
  <c r="BV52" i="33"/>
  <c r="BU52" i="33"/>
  <c r="BT52" i="33"/>
  <c r="BS52" i="33"/>
  <c r="BR52" i="33"/>
  <c r="BQ52" i="33"/>
  <c r="BP52" i="33"/>
  <c r="BO52" i="33"/>
  <c r="BN52" i="33"/>
  <c r="BM52" i="33"/>
  <c r="BL52" i="33"/>
  <c r="BK52" i="33"/>
  <c r="BJ52" i="33"/>
  <c r="BI52" i="33"/>
  <c r="BH52" i="33"/>
  <c r="BG52" i="33"/>
  <c r="BF52" i="33"/>
  <c r="BE52" i="33"/>
  <c r="BD52" i="33"/>
  <c r="BC52" i="33"/>
  <c r="BB52" i="33"/>
  <c r="BA52" i="33"/>
  <c r="AZ52" i="33"/>
  <c r="AY52" i="33"/>
  <c r="AX52" i="33"/>
  <c r="AW52" i="33"/>
  <c r="AV52" i="33"/>
  <c r="AU52" i="33"/>
  <c r="AT52" i="33"/>
  <c r="AS52" i="33"/>
  <c r="AR52" i="33"/>
  <c r="CA51" i="33"/>
  <c r="BZ51" i="33"/>
  <c r="BY51" i="33"/>
  <c r="BX51" i="33"/>
  <c r="BW51" i="33"/>
  <c r="BV51" i="33"/>
  <c r="BU51" i="33"/>
  <c r="BT51" i="33"/>
  <c r="BS51" i="33"/>
  <c r="BR51" i="33"/>
  <c r="BQ51" i="33"/>
  <c r="BP51" i="33"/>
  <c r="BO51" i="33"/>
  <c r="BN51" i="33"/>
  <c r="BM51" i="33"/>
  <c r="BL51" i="33"/>
  <c r="BK51" i="33"/>
  <c r="BJ51" i="33"/>
  <c r="BI51" i="33"/>
  <c r="BH51" i="33"/>
  <c r="BG51" i="33"/>
  <c r="BF51" i="33"/>
  <c r="BE51" i="33"/>
  <c r="BD51" i="33"/>
  <c r="BC51" i="33"/>
  <c r="BB51" i="33"/>
  <c r="BA51" i="33"/>
  <c r="AZ51" i="33"/>
  <c r="AY51" i="33"/>
  <c r="AX51" i="33"/>
  <c r="AW51" i="33"/>
  <c r="AV51" i="33"/>
  <c r="AU51" i="33"/>
  <c r="AT51" i="33"/>
  <c r="AS51" i="33"/>
  <c r="AR51" i="33"/>
  <c r="CA50" i="33"/>
  <c r="BZ50" i="33"/>
  <c r="BY50" i="33"/>
  <c r="BX50" i="33"/>
  <c r="BW50" i="33"/>
  <c r="BV50" i="33"/>
  <c r="BU50" i="33"/>
  <c r="BT50" i="33"/>
  <c r="BS50" i="33"/>
  <c r="BR50" i="33"/>
  <c r="BQ50" i="33"/>
  <c r="BP50" i="33"/>
  <c r="BO50" i="33"/>
  <c r="BN50" i="33"/>
  <c r="BM50" i="33"/>
  <c r="BL50" i="33"/>
  <c r="BK50" i="33"/>
  <c r="BJ50" i="33"/>
  <c r="BI50" i="33"/>
  <c r="BH50" i="33"/>
  <c r="BG50" i="33"/>
  <c r="BF50" i="33"/>
  <c r="BE50" i="33"/>
  <c r="BD50" i="33"/>
  <c r="BC50" i="33"/>
  <c r="BB50" i="33"/>
  <c r="BA50" i="33"/>
  <c r="AZ50" i="33"/>
  <c r="AY50" i="33"/>
  <c r="AX50" i="33"/>
  <c r="AW50" i="33"/>
  <c r="AV50" i="33"/>
  <c r="AU50" i="33"/>
  <c r="AT50" i="33"/>
  <c r="AS50" i="33"/>
  <c r="AR50" i="33"/>
  <c r="CA49" i="33"/>
  <c r="BZ49" i="33"/>
  <c r="BY49" i="33"/>
  <c r="BX49" i="33"/>
  <c r="BW49" i="33"/>
  <c r="BV49" i="33"/>
  <c r="BU49" i="33"/>
  <c r="BT49" i="33"/>
  <c r="BS49" i="33"/>
  <c r="BR49" i="33"/>
  <c r="BQ49" i="33"/>
  <c r="BP49" i="33"/>
  <c r="BO49" i="33"/>
  <c r="BN49" i="33"/>
  <c r="BM49" i="33"/>
  <c r="BL49" i="33"/>
  <c r="BK49" i="33"/>
  <c r="BJ49" i="33"/>
  <c r="BI49" i="33"/>
  <c r="BH49" i="33"/>
  <c r="BG49" i="33"/>
  <c r="BF49" i="33"/>
  <c r="BE49" i="33"/>
  <c r="BD49" i="33"/>
  <c r="BC49" i="33"/>
  <c r="BB49" i="33"/>
  <c r="BA49" i="33"/>
  <c r="AZ49" i="33"/>
  <c r="AY49" i="33"/>
  <c r="AX49" i="33"/>
  <c r="AW49" i="33"/>
  <c r="AV49" i="33"/>
  <c r="AU49" i="33"/>
  <c r="AT49" i="33"/>
  <c r="AS49" i="33"/>
  <c r="AR49" i="33"/>
  <c r="CA48" i="33"/>
  <c r="BZ48" i="33"/>
  <c r="BY48" i="33"/>
  <c r="BX48" i="33"/>
  <c r="BW48" i="33"/>
  <c r="BV48" i="33"/>
  <c r="BU48" i="33"/>
  <c r="BT48" i="33"/>
  <c r="BS48" i="33"/>
  <c r="BR48" i="33"/>
  <c r="BQ48" i="33"/>
  <c r="BP48" i="33"/>
  <c r="BO48" i="33"/>
  <c r="BN48" i="33"/>
  <c r="BM48" i="33"/>
  <c r="BL48" i="33"/>
  <c r="BK48" i="33"/>
  <c r="BJ48" i="33"/>
  <c r="BI48" i="33"/>
  <c r="BH48" i="33"/>
  <c r="BG48" i="33"/>
  <c r="BF48" i="33"/>
  <c r="BE48" i="33"/>
  <c r="BD48" i="33"/>
  <c r="BC48" i="33"/>
  <c r="BB48" i="33"/>
  <c r="BA48" i="33"/>
  <c r="AZ48" i="33"/>
  <c r="AY48" i="33"/>
  <c r="AX48" i="33"/>
  <c r="AW48" i="33"/>
  <c r="AV48" i="33"/>
  <c r="AU48" i="33"/>
  <c r="AT48" i="33"/>
  <c r="AS48" i="33"/>
  <c r="AR48" i="33"/>
  <c r="CA47" i="33"/>
  <c r="BZ47" i="33"/>
  <c r="BY47" i="33"/>
  <c r="BX47" i="33"/>
  <c r="BW47" i="33"/>
  <c r="BV47" i="33"/>
  <c r="BU47" i="33"/>
  <c r="BT47" i="33"/>
  <c r="BS47" i="33"/>
  <c r="BR47" i="33"/>
  <c r="BQ47" i="33"/>
  <c r="BP47" i="33"/>
  <c r="BO47" i="33"/>
  <c r="BN47" i="33"/>
  <c r="BM47" i="33"/>
  <c r="BL47" i="33"/>
  <c r="BK47" i="33"/>
  <c r="BJ47" i="33"/>
  <c r="BI47" i="33"/>
  <c r="BH47" i="33"/>
  <c r="BG47" i="33"/>
  <c r="BF47" i="33"/>
  <c r="BE47" i="33"/>
  <c r="BD47" i="33"/>
  <c r="BC47" i="33"/>
  <c r="BB47" i="33"/>
  <c r="BA47" i="33"/>
  <c r="AZ47" i="33"/>
  <c r="AY47" i="33"/>
  <c r="AX47" i="33"/>
  <c r="AW47" i="33"/>
  <c r="AV47" i="33"/>
  <c r="AU47" i="33"/>
  <c r="AT47" i="33"/>
  <c r="AS47" i="33"/>
  <c r="AR47" i="33"/>
  <c r="CA46" i="33"/>
  <c r="BZ46" i="33"/>
  <c r="BY46" i="33"/>
  <c r="BX46" i="33"/>
  <c r="BW46" i="33"/>
  <c r="BV46" i="33"/>
  <c r="BU46" i="33"/>
  <c r="BT46" i="33"/>
  <c r="BS46" i="33"/>
  <c r="BR46" i="33"/>
  <c r="BQ46" i="33"/>
  <c r="BP46" i="33"/>
  <c r="BO46" i="33"/>
  <c r="BN46" i="33"/>
  <c r="BM46" i="33"/>
  <c r="BL46" i="33"/>
  <c r="BK46" i="33"/>
  <c r="BJ46" i="33"/>
  <c r="BI46" i="33"/>
  <c r="BH46" i="33"/>
  <c r="BG46" i="33"/>
  <c r="BF46" i="33"/>
  <c r="BE46" i="33"/>
  <c r="BD46" i="33"/>
  <c r="BC46" i="33"/>
  <c r="BB46" i="33"/>
  <c r="BA46" i="33"/>
  <c r="AZ46" i="33"/>
  <c r="AY46" i="33"/>
  <c r="AX46" i="33"/>
  <c r="AW46" i="33"/>
  <c r="AV46" i="33"/>
  <c r="AU46" i="33"/>
  <c r="AT46" i="33"/>
  <c r="AS46" i="33"/>
  <c r="AR46" i="33"/>
  <c r="CA45" i="33"/>
  <c r="BZ45" i="33"/>
  <c r="BY45" i="33"/>
  <c r="BX45" i="33"/>
  <c r="BW45" i="33"/>
  <c r="BV45" i="33"/>
  <c r="BU45" i="33"/>
  <c r="BT45" i="33"/>
  <c r="BS45" i="33"/>
  <c r="BR45" i="33"/>
  <c r="BQ45" i="33"/>
  <c r="BP45" i="33"/>
  <c r="BO45" i="33"/>
  <c r="BN45" i="33"/>
  <c r="BM45" i="33"/>
  <c r="BL45" i="33"/>
  <c r="BK45" i="33"/>
  <c r="BJ45" i="33"/>
  <c r="BI45" i="33"/>
  <c r="BH45" i="33"/>
  <c r="BG45" i="33"/>
  <c r="BF45" i="33"/>
  <c r="BE45" i="33"/>
  <c r="BD45" i="33"/>
  <c r="BC45" i="33"/>
  <c r="BB45" i="33"/>
  <c r="BA45" i="33"/>
  <c r="AZ45" i="33"/>
  <c r="AY45" i="33"/>
  <c r="AX45" i="33"/>
  <c r="AW45" i="33"/>
  <c r="AV45" i="33"/>
  <c r="AU45" i="33"/>
  <c r="AT45" i="33"/>
  <c r="AS45" i="33"/>
  <c r="AR45" i="33"/>
  <c r="CA44" i="33"/>
  <c r="BZ44" i="33"/>
  <c r="BY44" i="33"/>
  <c r="BX44" i="33"/>
  <c r="BW44" i="33"/>
  <c r="BV44" i="33"/>
  <c r="BU44" i="33"/>
  <c r="BT44" i="33"/>
  <c r="BS44" i="33"/>
  <c r="BR44" i="33"/>
  <c r="BQ44" i="33"/>
  <c r="BP44" i="33"/>
  <c r="BO44" i="33"/>
  <c r="BN44" i="33"/>
  <c r="BM44" i="33"/>
  <c r="BL44" i="33"/>
  <c r="BK44" i="33"/>
  <c r="BJ44" i="33"/>
  <c r="BI44" i="33"/>
  <c r="BH44" i="33"/>
  <c r="BG44" i="33"/>
  <c r="BF44" i="33"/>
  <c r="BE44" i="33"/>
  <c r="BD44" i="33"/>
  <c r="BC44" i="33"/>
  <c r="BB44" i="33"/>
  <c r="BA44" i="33"/>
  <c r="AZ44" i="33"/>
  <c r="AY44" i="33"/>
  <c r="AX44" i="33"/>
  <c r="AW44" i="33"/>
  <c r="AV44" i="33"/>
  <c r="AU44" i="33"/>
  <c r="AT44" i="33"/>
  <c r="AS44" i="33"/>
  <c r="AR44" i="33"/>
  <c r="CA43" i="33"/>
  <c r="BZ43" i="33"/>
  <c r="BY43" i="33"/>
  <c r="BX43" i="33"/>
  <c r="BW43" i="33"/>
  <c r="BV43" i="33"/>
  <c r="BU43" i="33"/>
  <c r="BT43" i="33"/>
  <c r="BS43" i="33"/>
  <c r="BR43" i="33"/>
  <c r="BQ43" i="33"/>
  <c r="BP43" i="33"/>
  <c r="BO43" i="33"/>
  <c r="BN43" i="33"/>
  <c r="BM43" i="33"/>
  <c r="BL43" i="33"/>
  <c r="BK43" i="33"/>
  <c r="BJ43" i="33"/>
  <c r="BI43" i="33"/>
  <c r="BH43" i="33"/>
  <c r="BG43" i="33"/>
  <c r="BF43" i="33"/>
  <c r="BE43" i="33"/>
  <c r="BD43" i="33"/>
  <c r="BC43" i="33"/>
  <c r="BB43" i="33"/>
  <c r="BA43" i="33"/>
  <c r="AZ43" i="33"/>
  <c r="AY43" i="33"/>
  <c r="AX43" i="33"/>
  <c r="AW43" i="33"/>
  <c r="AV43" i="33"/>
  <c r="AU43" i="33"/>
  <c r="AT43" i="33"/>
  <c r="AS43" i="33"/>
  <c r="AR43" i="33"/>
  <c r="CA42" i="33"/>
  <c r="BZ42" i="33"/>
  <c r="BY42" i="33"/>
  <c r="BX42" i="33"/>
  <c r="BW42" i="33"/>
  <c r="BV42" i="33"/>
  <c r="BU42" i="33"/>
  <c r="BT42" i="33"/>
  <c r="BS42" i="33"/>
  <c r="BR42" i="33"/>
  <c r="BQ42" i="33"/>
  <c r="BP42" i="33"/>
  <c r="BO42" i="33"/>
  <c r="BN42" i="33"/>
  <c r="BM42" i="33"/>
  <c r="BL42" i="33"/>
  <c r="BK42" i="33"/>
  <c r="BJ42" i="33"/>
  <c r="BI42" i="33"/>
  <c r="BH42" i="33"/>
  <c r="BG42" i="33"/>
  <c r="BF42" i="33"/>
  <c r="BE42" i="33"/>
  <c r="BD42" i="33"/>
  <c r="BC42" i="33"/>
  <c r="BB42" i="33"/>
  <c r="BA42" i="33"/>
  <c r="AZ42" i="33"/>
  <c r="AY42" i="33"/>
  <c r="AX42" i="33"/>
  <c r="AW42" i="33"/>
  <c r="AV42" i="33"/>
  <c r="AU42" i="33"/>
  <c r="AT42" i="33"/>
  <c r="AS42" i="33"/>
  <c r="AR42" i="33"/>
  <c r="CA41" i="33"/>
  <c r="BZ41" i="33"/>
  <c r="BY41" i="33"/>
  <c r="BX41" i="33"/>
  <c r="BW41" i="33"/>
  <c r="BV41" i="33"/>
  <c r="BU41" i="33"/>
  <c r="BT41" i="33"/>
  <c r="BS41" i="33"/>
  <c r="BR41" i="33"/>
  <c r="BQ41" i="33"/>
  <c r="BP41" i="33"/>
  <c r="BO41" i="33"/>
  <c r="BN41" i="33"/>
  <c r="BM41" i="33"/>
  <c r="BL41" i="33"/>
  <c r="BK41" i="33"/>
  <c r="BJ41" i="33"/>
  <c r="BI41" i="33"/>
  <c r="BH41" i="33"/>
  <c r="BG41" i="33"/>
  <c r="BF41" i="33"/>
  <c r="BE41" i="33"/>
  <c r="BD41" i="33"/>
  <c r="BC41" i="33"/>
  <c r="BB41" i="33"/>
  <c r="BA41" i="33"/>
  <c r="AZ41" i="33"/>
  <c r="AY41" i="33"/>
  <c r="AX41" i="33"/>
  <c r="AW41" i="33"/>
  <c r="AV41" i="33"/>
  <c r="AU41" i="33"/>
  <c r="AT41" i="33"/>
  <c r="AS41" i="33"/>
  <c r="AR41" i="33"/>
  <c r="CA38" i="33"/>
  <c r="BZ38" i="33"/>
  <c r="BY38" i="33"/>
  <c r="BX38" i="33"/>
  <c r="BW38" i="33"/>
  <c r="BV38" i="33"/>
  <c r="BU38" i="33"/>
  <c r="BT38" i="33"/>
  <c r="BS38" i="33"/>
  <c r="BR38" i="33"/>
  <c r="BQ38" i="33"/>
  <c r="BP38" i="33"/>
  <c r="BO38" i="33"/>
  <c r="BN38" i="33"/>
  <c r="BM38" i="33"/>
  <c r="BL38" i="33"/>
  <c r="BK38" i="33"/>
  <c r="BJ38" i="33"/>
  <c r="BI38" i="33"/>
  <c r="BH38" i="33"/>
  <c r="BG38" i="33"/>
  <c r="BF38" i="33"/>
  <c r="BE38" i="33"/>
  <c r="BD38" i="33"/>
  <c r="BC38" i="33"/>
  <c r="BB38" i="33"/>
  <c r="BA38" i="33"/>
  <c r="AZ38" i="33"/>
  <c r="AY38" i="33"/>
  <c r="AX38" i="33"/>
  <c r="AW38" i="33"/>
  <c r="AV38" i="33"/>
  <c r="AU38" i="33"/>
  <c r="AT38" i="33"/>
  <c r="AS38" i="33"/>
  <c r="AR38" i="33"/>
  <c r="CA37" i="33"/>
  <c r="BZ37" i="33"/>
  <c r="BY37" i="33"/>
  <c r="BX37" i="33"/>
  <c r="BW37" i="33"/>
  <c r="BV37" i="33"/>
  <c r="BU37" i="33"/>
  <c r="BT37" i="33"/>
  <c r="BS37" i="33"/>
  <c r="BR37" i="33"/>
  <c r="BQ37" i="33"/>
  <c r="BP37" i="33"/>
  <c r="BO37" i="33"/>
  <c r="BN37" i="33"/>
  <c r="BM37" i="33"/>
  <c r="BL37" i="33"/>
  <c r="BK37" i="33"/>
  <c r="BJ37" i="33"/>
  <c r="BI37" i="33"/>
  <c r="BH37" i="33"/>
  <c r="BG37" i="33"/>
  <c r="BF37" i="33"/>
  <c r="BE37" i="33"/>
  <c r="BD37" i="33"/>
  <c r="BC37" i="33"/>
  <c r="BB37" i="33"/>
  <c r="BA37" i="33"/>
  <c r="AZ37" i="33"/>
  <c r="AY37" i="33"/>
  <c r="AX37" i="33"/>
  <c r="AW37" i="33"/>
  <c r="AV37" i="33"/>
  <c r="AU37" i="33"/>
  <c r="AT37" i="33"/>
  <c r="AS37" i="33"/>
  <c r="AR37" i="33"/>
  <c r="CA36" i="33"/>
  <c r="BZ36" i="33"/>
  <c r="BY36" i="33"/>
  <c r="BX36" i="33"/>
  <c r="BW36" i="33"/>
  <c r="BV36" i="33"/>
  <c r="BU36" i="33"/>
  <c r="BT36" i="33"/>
  <c r="BS36" i="33"/>
  <c r="BR36" i="33"/>
  <c r="BQ36" i="33"/>
  <c r="BP36" i="33"/>
  <c r="BO36" i="33"/>
  <c r="BN36" i="33"/>
  <c r="BM36" i="33"/>
  <c r="BL36" i="33"/>
  <c r="BK36" i="33"/>
  <c r="BJ36" i="33"/>
  <c r="BI36" i="33"/>
  <c r="BH36" i="33"/>
  <c r="BG36" i="33"/>
  <c r="BF36" i="33"/>
  <c r="BE36" i="33"/>
  <c r="BD36" i="33"/>
  <c r="BC36" i="33"/>
  <c r="BB36" i="33"/>
  <c r="BA36" i="33"/>
  <c r="AZ36" i="33"/>
  <c r="AY36" i="33"/>
  <c r="AX36" i="33"/>
  <c r="AW36" i="33"/>
  <c r="AV36" i="33"/>
  <c r="AU36" i="33"/>
  <c r="AT36" i="33"/>
  <c r="AS36" i="33"/>
  <c r="AR36" i="33"/>
  <c r="CA35" i="33"/>
  <c r="BZ35" i="33"/>
  <c r="BY35" i="33"/>
  <c r="BX35" i="33"/>
  <c r="BW35" i="33"/>
  <c r="BV35" i="33"/>
  <c r="BU35" i="33"/>
  <c r="BT35" i="33"/>
  <c r="BS35" i="33"/>
  <c r="BR35" i="33"/>
  <c r="BQ35" i="33"/>
  <c r="BP35" i="33"/>
  <c r="BO35" i="33"/>
  <c r="BN35" i="33"/>
  <c r="BM35" i="33"/>
  <c r="BL35" i="33"/>
  <c r="BK35" i="33"/>
  <c r="BJ35" i="33"/>
  <c r="BI35" i="33"/>
  <c r="BH35" i="33"/>
  <c r="BG35" i="33"/>
  <c r="BF35" i="33"/>
  <c r="BE35" i="33"/>
  <c r="BD35" i="33"/>
  <c r="BC35" i="33"/>
  <c r="BB35" i="33"/>
  <c r="BA35" i="33"/>
  <c r="AZ35" i="33"/>
  <c r="AY35" i="33"/>
  <c r="AX35" i="33"/>
  <c r="AW35" i="33"/>
  <c r="AV35" i="33"/>
  <c r="AU35" i="33"/>
  <c r="AT35" i="33"/>
  <c r="AS35" i="33"/>
  <c r="AR35" i="33"/>
  <c r="CA34" i="33"/>
  <c r="BZ34" i="33"/>
  <c r="BY34" i="33"/>
  <c r="BX34" i="33"/>
  <c r="BW34" i="33"/>
  <c r="BV34" i="33"/>
  <c r="BU34" i="33"/>
  <c r="BT34" i="33"/>
  <c r="BS34" i="33"/>
  <c r="BR34" i="33"/>
  <c r="BQ34" i="33"/>
  <c r="BP34" i="33"/>
  <c r="BO34" i="33"/>
  <c r="BN34" i="33"/>
  <c r="BM34" i="33"/>
  <c r="BL34" i="33"/>
  <c r="BK34" i="33"/>
  <c r="BJ34" i="33"/>
  <c r="BI34" i="33"/>
  <c r="BH34" i="33"/>
  <c r="BG34" i="33"/>
  <c r="BF34" i="33"/>
  <c r="BE34" i="33"/>
  <c r="BD34" i="33"/>
  <c r="BC34" i="33"/>
  <c r="BB34" i="33"/>
  <c r="BA34" i="33"/>
  <c r="AZ34" i="33"/>
  <c r="AY34" i="33"/>
  <c r="AX34" i="33"/>
  <c r="AW34" i="33"/>
  <c r="AV34" i="33"/>
  <c r="AU34" i="33"/>
  <c r="AT34" i="33"/>
  <c r="AS34" i="33"/>
  <c r="AR34" i="33"/>
  <c r="CA33" i="33"/>
  <c r="BZ33" i="33"/>
  <c r="BY33" i="33"/>
  <c r="BX33" i="33"/>
  <c r="BW33" i="33"/>
  <c r="BV33" i="33"/>
  <c r="BU33" i="33"/>
  <c r="BT33" i="33"/>
  <c r="BS33" i="33"/>
  <c r="BR33" i="33"/>
  <c r="BQ33" i="33"/>
  <c r="BP33" i="33"/>
  <c r="BO33" i="33"/>
  <c r="BN33" i="33"/>
  <c r="BM33" i="33"/>
  <c r="BL33" i="33"/>
  <c r="BK33" i="33"/>
  <c r="BJ33" i="33"/>
  <c r="BI33" i="33"/>
  <c r="BH33" i="33"/>
  <c r="BG33" i="33"/>
  <c r="BF33" i="33"/>
  <c r="BE33" i="33"/>
  <c r="BD33" i="33"/>
  <c r="BC33" i="33"/>
  <c r="BB33" i="33"/>
  <c r="BA33" i="33"/>
  <c r="AZ33" i="33"/>
  <c r="AY33" i="33"/>
  <c r="AX33" i="33"/>
  <c r="AW33" i="33"/>
  <c r="AV33" i="33"/>
  <c r="AU33" i="33"/>
  <c r="AT33" i="33"/>
  <c r="AS33" i="33"/>
  <c r="AR33" i="33"/>
  <c r="CA32" i="33"/>
  <c r="BZ32" i="33"/>
  <c r="BY32" i="33"/>
  <c r="BX32" i="33"/>
  <c r="BW32" i="33"/>
  <c r="BV32" i="33"/>
  <c r="BU32" i="33"/>
  <c r="BT32" i="33"/>
  <c r="BS32" i="33"/>
  <c r="BR32" i="33"/>
  <c r="BQ32" i="33"/>
  <c r="BP32" i="33"/>
  <c r="BO32" i="33"/>
  <c r="BN32" i="33"/>
  <c r="BM32" i="33"/>
  <c r="BL32" i="33"/>
  <c r="BK32" i="33"/>
  <c r="BJ32" i="33"/>
  <c r="BI32" i="33"/>
  <c r="BH32" i="33"/>
  <c r="BG32" i="33"/>
  <c r="BF32" i="33"/>
  <c r="BE32" i="33"/>
  <c r="BD32" i="33"/>
  <c r="BC32" i="33"/>
  <c r="BB32" i="33"/>
  <c r="BA32" i="33"/>
  <c r="AZ32" i="33"/>
  <c r="AY32" i="33"/>
  <c r="AX32" i="33"/>
  <c r="AW32" i="33"/>
  <c r="AV32" i="33"/>
  <c r="AU32" i="33"/>
  <c r="AT32" i="33"/>
  <c r="AS32" i="33"/>
  <c r="AR32" i="33"/>
  <c r="CA31" i="33"/>
  <c r="BZ31" i="33"/>
  <c r="BY31" i="33"/>
  <c r="BX31" i="33"/>
  <c r="BW31" i="33"/>
  <c r="BV31" i="33"/>
  <c r="BU31" i="33"/>
  <c r="BT31" i="33"/>
  <c r="BS31" i="33"/>
  <c r="BR31" i="33"/>
  <c r="BQ31" i="33"/>
  <c r="BP31" i="33"/>
  <c r="BO31" i="33"/>
  <c r="BN31" i="33"/>
  <c r="BM31" i="33"/>
  <c r="BL31" i="33"/>
  <c r="BK31" i="33"/>
  <c r="BJ31" i="33"/>
  <c r="BI31" i="33"/>
  <c r="BH31" i="33"/>
  <c r="BG31" i="33"/>
  <c r="BF31" i="33"/>
  <c r="BE31" i="33"/>
  <c r="BD31" i="33"/>
  <c r="BC31" i="33"/>
  <c r="BB31" i="33"/>
  <c r="BA31" i="33"/>
  <c r="AZ31" i="33"/>
  <c r="AY31" i="33"/>
  <c r="AX31" i="33"/>
  <c r="AW31" i="33"/>
  <c r="AV31" i="33"/>
  <c r="AU31" i="33"/>
  <c r="AT31" i="33"/>
  <c r="AS31" i="33"/>
  <c r="AR31" i="33"/>
  <c r="CA30" i="33"/>
  <c r="BZ30" i="33"/>
  <c r="BY30" i="33"/>
  <c r="BX30" i="33"/>
  <c r="BW30" i="33"/>
  <c r="BV30" i="33"/>
  <c r="BU30" i="33"/>
  <c r="BT30" i="33"/>
  <c r="BS30" i="33"/>
  <c r="BR30" i="33"/>
  <c r="BQ30" i="33"/>
  <c r="BP30" i="33"/>
  <c r="BO30" i="33"/>
  <c r="BN30" i="33"/>
  <c r="BM30" i="33"/>
  <c r="BL30" i="33"/>
  <c r="BK30" i="33"/>
  <c r="BJ30" i="33"/>
  <c r="BI30" i="33"/>
  <c r="BH30" i="33"/>
  <c r="BG30" i="33"/>
  <c r="BF30" i="33"/>
  <c r="BE30" i="33"/>
  <c r="BD30" i="33"/>
  <c r="BC30" i="33"/>
  <c r="BB30" i="33"/>
  <c r="BA30" i="33"/>
  <c r="AZ30" i="33"/>
  <c r="AY30" i="33"/>
  <c r="AX30" i="33"/>
  <c r="AW30" i="33"/>
  <c r="AV30" i="33"/>
  <c r="AU30" i="33"/>
  <c r="AT30" i="33"/>
  <c r="AS30" i="33"/>
  <c r="AR30" i="33"/>
  <c r="CA29" i="33"/>
  <c r="BZ29" i="33"/>
  <c r="BY29" i="33"/>
  <c r="BX29" i="33"/>
  <c r="BW29" i="33"/>
  <c r="BV29" i="33"/>
  <c r="BU29" i="33"/>
  <c r="BT29" i="33"/>
  <c r="BS29" i="33"/>
  <c r="BR29" i="33"/>
  <c r="BQ29" i="33"/>
  <c r="BP29" i="33"/>
  <c r="BO29" i="33"/>
  <c r="BN29" i="33"/>
  <c r="BM29" i="33"/>
  <c r="BL29" i="33"/>
  <c r="BK29" i="33"/>
  <c r="BJ29" i="33"/>
  <c r="BI29" i="33"/>
  <c r="BH29" i="33"/>
  <c r="BG29" i="33"/>
  <c r="BF29" i="33"/>
  <c r="BE29" i="33"/>
  <c r="BD29" i="33"/>
  <c r="BC29" i="33"/>
  <c r="BB29" i="33"/>
  <c r="BA29" i="33"/>
  <c r="AZ29" i="33"/>
  <c r="AY29" i="33"/>
  <c r="AX29" i="33"/>
  <c r="AW29" i="33"/>
  <c r="AV29" i="33"/>
  <c r="AU29" i="33"/>
  <c r="AT29" i="33"/>
  <c r="AS29" i="33"/>
  <c r="AR29" i="33"/>
  <c r="CA28" i="33"/>
  <c r="BZ28" i="33"/>
  <c r="BY28" i="33"/>
  <c r="BX28" i="33"/>
  <c r="BW28" i="33"/>
  <c r="BV28" i="33"/>
  <c r="BU28" i="33"/>
  <c r="BT28" i="33"/>
  <c r="BS28" i="33"/>
  <c r="BR28" i="33"/>
  <c r="BQ28" i="33"/>
  <c r="BP28" i="33"/>
  <c r="BO28" i="33"/>
  <c r="BN28" i="33"/>
  <c r="BM28" i="33"/>
  <c r="BL28" i="33"/>
  <c r="BK28" i="33"/>
  <c r="BJ28" i="33"/>
  <c r="BI28" i="33"/>
  <c r="BH28" i="33"/>
  <c r="BG28" i="33"/>
  <c r="BF28" i="33"/>
  <c r="BE28" i="33"/>
  <c r="BD28" i="33"/>
  <c r="BC28" i="33"/>
  <c r="BB28" i="33"/>
  <c r="BA28" i="33"/>
  <c r="AZ28" i="33"/>
  <c r="AY28" i="33"/>
  <c r="AX28" i="33"/>
  <c r="AW28" i="33"/>
  <c r="AV28" i="33"/>
  <c r="AU28" i="33"/>
  <c r="AT28" i="33"/>
  <c r="AS28" i="33"/>
  <c r="AR28" i="33"/>
  <c r="CA27" i="33"/>
  <c r="BZ27" i="33"/>
  <c r="BY27" i="33"/>
  <c r="BX27" i="33"/>
  <c r="BW27" i="33"/>
  <c r="BV27" i="33"/>
  <c r="BU27" i="33"/>
  <c r="BT27" i="33"/>
  <c r="BS27" i="33"/>
  <c r="BR27" i="33"/>
  <c r="BQ27" i="33"/>
  <c r="BP27" i="33"/>
  <c r="BO27" i="33"/>
  <c r="BN27" i="33"/>
  <c r="BM27" i="33"/>
  <c r="BL27" i="33"/>
  <c r="BK27" i="33"/>
  <c r="BJ27" i="33"/>
  <c r="BI27" i="33"/>
  <c r="BH27" i="33"/>
  <c r="BG27" i="33"/>
  <c r="BF27" i="33"/>
  <c r="BE27" i="33"/>
  <c r="BD27" i="33"/>
  <c r="BC27" i="33"/>
  <c r="BB27" i="33"/>
  <c r="BA27" i="33"/>
  <c r="AZ27" i="33"/>
  <c r="AY27" i="33"/>
  <c r="AX27" i="33"/>
  <c r="AW27" i="33"/>
  <c r="AV27" i="33"/>
  <c r="AU27" i="33"/>
  <c r="AT27" i="33"/>
  <c r="AS27" i="33"/>
  <c r="AR27" i="33"/>
  <c r="CA26" i="33"/>
  <c r="BZ26" i="33"/>
  <c r="BY26" i="33"/>
  <c r="BX26" i="33"/>
  <c r="BW26" i="33"/>
  <c r="BV26" i="33"/>
  <c r="BU26" i="33"/>
  <c r="BT26" i="33"/>
  <c r="BS26" i="33"/>
  <c r="BR26" i="33"/>
  <c r="BQ26" i="33"/>
  <c r="BP26" i="33"/>
  <c r="BO26" i="33"/>
  <c r="BN26" i="33"/>
  <c r="BM26" i="33"/>
  <c r="BL26" i="33"/>
  <c r="BK26" i="33"/>
  <c r="BJ26" i="33"/>
  <c r="BI26" i="33"/>
  <c r="BH26" i="33"/>
  <c r="BG26" i="33"/>
  <c r="BF26" i="33"/>
  <c r="BE26" i="33"/>
  <c r="BD26" i="33"/>
  <c r="BC26" i="33"/>
  <c r="BB26" i="33"/>
  <c r="BA26" i="33"/>
  <c r="AZ26" i="33"/>
  <c r="AY26" i="33"/>
  <c r="AX26" i="33"/>
  <c r="AW26" i="33"/>
  <c r="AV26" i="33"/>
  <c r="AU26" i="33"/>
  <c r="AT26" i="33"/>
  <c r="AS26" i="33"/>
  <c r="AR26" i="33"/>
  <c r="CA23" i="33"/>
  <c r="BZ23" i="33"/>
  <c r="BY23" i="33"/>
  <c r="BX23" i="33"/>
  <c r="BW23" i="33"/>
  <c r="BV23" i="33"/>
  <c r="BU23" i="33"/>
  <c r="BT23" i="33"/>
  <c r="BS23" i="33"/>
  <c r="BR23" i="33"/>
  <c r="BQ23" i="33"/>
  <c r="BP23" i="33"/>
  <c r="BO23" i="33"/>
  <c r="BN23" i="33"/>
  <c r="BM23" i="33"/>
  <c r="BL23" i="33"/>
  <c r="BK23" i="33"/>
  <c r="BJ23" i="33"/>
  <c r="BI23" i="33"/>
  <c r="BH23" i="33"/>
  <c r="BG23" i="33"/>
  <c r="BF23" i="33"/>
  <c r="BE23" i="33"/>
  <c r="BD23" i="33"/>
  <c r="BC23" i="33"/>
  <c r="BB23" i="33"/>
  <c r="BA23" i="33"/>
  <c r="AZ23" i="33"/>
  <c r="AY23" i="33"/>
  <c r="AX23" i="33"/>
  <c r="AW23" i="33"/>
  <c r="AV23" i="33"/>
  <c r="AU23" i="33"/>
  <c r="AT23" i="33"/>
  <c r="AS23" i="33"/>
  <c r="AR23" i="33"/>
  <c r="CA22" i="33"/>
  <c r="BZ22" i="33"/>
  <c r="BY22" i="33"/>
  <c r="BX22" i="33"/>
  <c r="BW22" i="33"/>
  <c r="BV22" i="33"/>
  <c r="BU22" i="33"/>
  <c r="BT22" i="33"/>
  <c r="BS22" i="33"/>
  <c r="BR22" i="33"/>
  <c r="BQ22" i="33"/>
  <c r="BP22" i="33"/>
  <c r="BO22" i="33"/>
  <c r="BN22" i="33"/>
  <c r="BM22" i="33"/>
  <c r="BL22" i="33"/>
  <c r="BK22" i="33"/>
  <c r="BJ22" i="33"/>
  <c r="BI22" i="33"/>
  <c r="BH22" i="33"/>
  <c r="BG22" i="33"/>
  <c r="BF22" i="33"/>
  <c r="BE22" i="33"/>
  <c r="BD22" i="33"/>
  <c r="BC22" i="33"/>
  <c r="BB22" i="33"/>
  <c r="BA22" i="33"/>
  <c r="AZ22" i="33"/>
  <c r="AY22" i="33"/>
  <c r="AX22" i="33"/>
  <c r="AW22" i="33"/>
  <c r="AV22" i="33"/>
  <c r="AU22" i="33"/>
  <c r="AT22" i="33"/>
  <c r="AS22" i="33"/>
  <c r="AR22" i="33"/>
  <c r="CA21" i="33"/>
  <c r="BZ21" i="33"/>
  <c r="BY21" i="33"/>
  <c r="BX21" i="33"/>
  <c r="BW21" i="33"/>
  <c r="BV21" i="33"/>
  <c r="BU21" i="33"/>
  <c r="BT21" i="33"/>
  <c r="BS21" i="33"/>
  <c r="BR21" i="33"/>
  <c r="BQ21" i="33"/>
  <c r="BP21" i="33"/>
  <c r="BO21" i="33"/>
  <c r="BN21" i="33"/>
  <c r="BM21" i="33"/>
  <c r="BL21" i="33"/>
  <c r="BK21" i="33"/>
  <c r="BJ21" i="33"/>
  <c r="BI21" i="33"/>
  <c r="BH21" i="33"/>
  <c r="BG21" i="33"/>
  <c r="BF21" i="33"/>
  <c r="BE21" i="33"/>
  <c r="BD21" i="33"/>
  <c r="BC21" i="33"/>
  <c r="BB21" i="33"/>
  <c r="BA21" i="33"/>
  <c r="AZ21" i="33"/>
  <c r="AY21" i="33"/>
  <c r="AX21" i="33"/>
  <c r="AW21" i="33"/>
  <c r="AV21" i="33"/>
  <c r="AU21" i="33"/>
  <c r="AT21" i="33"/>
  <c r="AS21" i="33"/>
  <c r="AR21" i="33"/>
  <c r="CA20" i="33"/>
  <c r="BZ20" i="33"/>
  <c r="BY20" i="33"/>
  <c r="BX20" i="33"/>
  <c r="BW20" i="33"/>
  <c r="BV20" i="33"/>
  <c r="BU20" i="33"/>
  <c r="BT20" i="33"/>
  <c r="BS20" i="33"/>
  <c r="BR20" i="33"/>
  <c r="BQ20" i="33"/>
  <c r="BP20" i="33"/>
  <c r="BO20" i="33"/>
  <c r="BN20" i="33"/>
  <c r="BM20" i="33"/>
  <c r="BL20" i="33"/>
  <c r="BK20" i="33"/>
  <c r="BJ20" i="33"/>
  <c r="BI20" i="33"/>
  <c r="BH20" i="33"/>
  <c r="BG20" i="33"/>
  <c r="BF20" i="33"/>
  <c r="BE20" i="33"/>
  <c r="BD20" i="33"/>
  <c r="BC20" i="33"/>
  <c r="BB20" i="33"/>
  <c r="BA20" i="33"/>
  <c r="AZ20" i="33"/>
  <c r="AY20" i="33"/>
  <c r="AX20" i="33"/>
  <c r="AW20" i="33"/>
  <c r="AV20" i="33"/>
  <c r="AU20" i="33"/>
  <c r="AT20" i="33"/>
  <c r="AS20" i="33"/>
  <c r="AR20" i="33"/>
  <c r="CA19" i="33"/>
  <c r="BZ19" i="33"/>
  <c r="BY19" i="33"/>
  <c r="BX19" i="33"/>
  <c r="BW19" i="33"/>
  <c r="BV19" i="33"/>
  <c r="BU19" i="33"/>
  <c r="BT19" i="33"/>
  <c r="BS19" i="33"/>
  <c r="BR19" i="33"/>
  <c r="BQ19" i="33"/>
  <c r="BP19" i="33"/>
  <c r="BO19" i="33"/>
  <c r="BN19" i="33"/>
  <c r="BM19" i="33"/>
  <c r="BL19" i="33"/>
  <c r="BK19" i="33"/>
  <c r="BJ19" i="33"/>
  <c r="BI19" i="33"/>
  <c r="BH19" i="33"/>
  <c r="BG19" i="33"/>
  <c r="BF19" i="33"/>
  <c r="BE19" i="33"/>
  <c r="BD19" i="33"/>
  <c r="BC19" i="33"/>
  <c r="BB19" i="33"/>
  <c r="BA19" i="33"/>
  <c r="AZ19" i="33"/>
  <c r="AY19" i="33"/>
  <c r="AX19" i="33"/>
  <c r="AW19" i="33"/>
  <c r="AV19" i="33"/>
  <c r="AU19" i="33"/>
  <c r="AT19" i="33"/>
  <c r="AS19" i="33"/>
  <c r="AR19" i="33"/>
  <c r="CA18" i="33"/>
  <c r="BZ18" i="33"/>
  <c r="BY18" i="33"/>
  <c r="BX18" i="33"/>
  <c r="BW18" i="33"/>
  <c r="BV18" i="33"/>
  <c r="BU18" i="33"/>
  <c r="BT18" i="33"/>
  <c r="BS18" i="33"/>
  <c r="BR18" i="33"/>
  <c r="BQ18" i="33"/>
  <c r="BP18" i="33"/>
  <c r="BO18" i="33"/>
  <c r="BN18" i="33"/>
  <c r="BM18" i="33"/>
  <c r="BL18" i="33"/>
  <c r="BK18" i="33"/>
  <c r="BJ18" i="33"/>
  <c r="BI18" i="33"/>
  <c r="BH18" i="33"/>
  <c r="BG18" i="33"/>
  <c r="BF18" i="33"/>
  <c r="BE18" i="33"/>
  <c r="BD18" i="33"/>
  <c r="BC18" i="33"/>
  <c r="BB18" i="33"/>
  <c r="BA18" i="33"/>
  <c r="AZ18" i="33"/>
  <c r="AY18" i="33"/>
  <c r="AX18" i="33"/>
  <c r="AW18" i="33"/>
  <c r="AV18" i="33"/>
  <c r="AU18" i="33"/>
  <c r="AT18" i="33"/>
  <c r="AS18" i="33"/>
  <c r="AR18" i="33"/>
  <c r="CA17" i="33"/>
  <c r="BZ17" i="33"/>
  <c r="BY17" i="33"/>
  <c r="BX17" i="33"/>
  <c r="BW17" i="33"/>
  <c r="BV17" i="33"/>
  <c r="BU17" i="33"/>
  <c r="BT17" i="33"/>
  <c r="BS17" i="33"/>
  <c r="BR17" i="33"/>
  <c r="BQ17" i="33"/>
  <c r="BP17" i="33"/>
  <c r="BO17" i="33"/>
  <c r="BN17" i="33"/>
  <c r="BM17" i="33"/>
  <c r="BL17" i="33"/>
  <c r="BK17" i="33"/>
  <c r="BJ17" i="33"/>
  <c r="BI17" i="33"/>
  <c r="BH17" i="33"/>
  <c r="BG17" i="33"/>
  <c r="BF17" i="33"/>
  <c r="BE17" i="33"/>
  <c r="BD17" i="33"/>
  <c r="BC17" i="33"/>
  <c r="BB17" i="33"/>
  <c r="BA17" i="33"/>
  <c r="AZ17" i="33"/>
  <c r="AY17" i="33"/>
  <c r="AX17" i="33"/>
  <c r="AW17" i="33"/>
  <c r="AV17" i="33"/>
  <c r="AU17" i="33"/>
  <c r="AT17" i="33"/>
  <c r="AS17" i="33"/>
  <c r="AR17" i="33"/>
  <c r="CA16" i="33"/>
  <c r="BZ16" i="33"/>
  <c r="BY16" i="33"/>
  <c r="BX16" i="33"/>
  <c r="BW16" i="33"/>
  <c r="BV16" i="33"/>
  <c r="BU16" i="33"/>
  <c r="BT16" i="33"/>
  <c r="BS16" i="33"/>
  <c r="BR16" i="33"/>
  <c r="BQ16" i="33"/>
  <c r="BP16" i="33"/>
  <c r="BO16" i="33"/>
  <c r="BN16" i="33"/>
  <c r="BM16" i="33"/>
  <c r="BL16" i="33"/>
  <c r="BK16" i="33"/>
  <c r="BJ16" i="33"/>
  <c r="BI16" i="33"/>
  <c r="BH16" i="33"/>
  <c r="BG16" i="33"/>
  <c r="BF16" i="33"/>
  <c r="BE16" i="33"/>
  <c r="BD16" i="33"/>
  <c r="BC16" i="33"/>
  <c r="BB16" i="33"/>
  <c r="BA16" i="33"/>
  <c r="AZ16" i="33"/>
  <c r="AY16" i="33"/>
  <c r="AX16" i="33"/>
  <c r="AW16" i="33"/>
  <c r="AV16" i="33"/>
  <c r="AU16" i="33"/>
  <c r="AT16" i="33"/>
  <c r="AS16" i="33"/>
  <c r="AR16" i="33"/>
  <c r="CA15" i="33"/>
  <c r="BZ15" i="33"/>
  <c r="BY15" i="33"/>
  <c r="BX15" i="33"/>
  <c r="BW15" i="33"/>
  <c r="BV15" i="33"/>
  <c r="BU15" i="33"/>
  <c r="BT15" i="33"/>
  <c r="BS15" i="33"/>
  <c r="BR15" i="33"/>
  <c r="BQ15" i="33"/>
  <c r="BP15" i="33"/>
  <c r="BO15" i="33"/>
  <c r="BN15" i="33"/>
  <c r="BM15" i="33"/>
  <c r="BL15" i="33"/>
  <c r="BK15" i="33"/>
  <c r="BJ15" i="33"/>
  <c r="BI15" i="33"/>
  <c r="BH15" i="33"/>
  <c r="BG15" i="33"/>
  <c r="BF15" i="33"/>
  <c r="BE15" i="33"/>
  <c r="BD15" i="33"/>
  <c r="BC15" i="33"/>
  <c r="BB15" i="33"/>
  <c r="BA15" i="33"/>
  <c r="AZ15" i="33"/>
  <c r="AY15" i="33"/>
  <c r="AX15" i="33"/>
  <c r="AW15" i="33"/>
  <c r="AV15" i="33"/>
  <c r="AU15" i="33"/>
  <c r="AT15" i="33"/>
  <c r="AS15" i="33"/>
  <c r="AR15" i="33"/>
  <c r="CA14" i="33"/>
  <c r="BZ14" i="33"/>
  <c r="BY14" i="33"/>
  <c r="BX14" i="33"/>
  <c r="BW14" i="33"/>
  <c r="BV14" i="33"/>
  <c r="BU14" i="33"/>
  <c r="BT14" i="33"/>
  <c r="BS14" i="33"/>
  <c r="BR14" i="33"/>
  <c r="BQ14" i="33"/>
  <c r="BP14" i="33"/>
  <c r="BO14" i="33"/>
  <c r="BN14" i="33"/>
  <c r="BM14" i="33"/>
  <c r="BL14" i="33"/>
  <c r="BK14" i="33"/>
  <c r="BJ14" i="33"/>
  <c r="BI14" i="33"/>
  <c r="BH14" i="33"/>
  <c r="BG14" i="33"/>
  <c r="BF14" i="33"/>
  <c r="BE14" i="33"/>
  <c r="BD14" i="33"/>
  <c r="BC14" i="33"/>
  <c r="BB14" i="33"/>
  <c r="BA14" i="33"/>
  <c r="AZ14" i="33"/>
  <c r="AY14" i="33"/>
  <c r="AX14" i="33"/>
  <c r="AW14" i="33"/>
  <c r="AV14" i="33"/>
  <c r="AU14" i="33"/>
  <c r="AT14" i="33"/>
  <c r="AS14" i="33"/>
  <c r="AR14" i="33"/>
  <c r="CA13" i="33"/>
  <c r="BZ13" i="33"/>
  <c r="BY13" i="33"/>
  <c r="BX13" i="33"/>
  <c r="BW13" i="33"/>
  <c r="BV13" i="33"/>
  <c r="BU13" i="33"/>
  <c r="BT13" i="33"/>
  <c r="BS13" i="33"/>
  <c r="BR13" i="33"/>
  <c r="BQ13" i="33"/>
  <c r="BP13" i="33"/>
  <c r="BO13" i="33"/>
  <c r="BN13" i="33"/>
  <c r="BM13" i="33"/>
  <c r="BL13" i="33"/>
  <c r="BK13" i="33"/>
  <c r="BJ13" i="33"/>
  <c r="BI13" i="33"/>
  <c r="BH13" i="33"/>
  <c r="BG13" i="33"/>
  <c r="BF13" i="33"/>
  <c r="BE13" i="33"/>
  <c r="BD13" i="33"/>
  <c r="BC13" i="33"/>
  <c r="BB13" i="33"/>
  <c r="BA13" i="33"/>
  <c r="AZ13" i="33"/>
  <c r="AY13" i="33"/>
  <c r="AX13" i="33"/>
  <c r="AW13" i="33"/>
  <c r="AV13" i="33"/>
  <c r="AU13" i="33"/>
  <c r="AT13" i="33"/>
  <c r="AS13" i="33"/>
  <c r="AR13" i="33"/>
  <c r="CA12" i="33"/>
  <c r="BZ12" i="33"/>
  <c r="BY12" i="33"/>
  <c r="BX12" i="33"/>
  <c r="BW12" i="33"/>
  <c r="BV12" i="33"/>
  <c r="BU12" i="33"/>
  <c r="BT12" i="33"/>
  <c r="BS12" i="33"/>
  <c r="BR12" i="33"/>
  <c r="BQ12" i="33"/>
  <c r="BP12" i="33"/>
  <c r="BO12" i="33"/>
  <c r="BN12" i="33"/>
  <c r="BM12" i="33"/>
  <c r="BL12" i="33"/>
  <c r="BK12" i="33"/>
  <c r="BJ12" i="33"/>
  <c r="BI12" i="33"/>
  <c r="BH12" i="33"/>
  <c r="BG12" i="33"/>
  <c r="BF12" i="33"/>
  <c r="BE12" i="33"/>
  <c r="BD12" i="33"/>
  <c r="BC12" i="33"/>
  <c r="BB12" i="33"/>
  <c r="BA12" i="33"/>
  <c r="AZ12" i="33"/>
  <c r="AY12" i="33"/>
  <c r="AX12" i="33"/>
  <c r="AW12" i="33"/>
  <c r="AV12" i="33"/>
  <c r="AU12" i="33"/>
  <c r="AT12" i="33"/>
  <c r="AS12" i="33"/>
  <c r="AR12" i="33"/>
  <c r="CA11" i="33"/>
  <c r="BZ11" i="33"/>
  <c r="BY11" i="33"/>
  <c r="BX11" i="33"/>
  <c r="BW11" i="33"/>
  <c r="BV11" i="33"/>
  <c r="BU11" i="33"/>
  <c r="BT11" i="33"/>
  <c r="BS11" i="33"/>
  <c r="BR11" i="33"/>
  <c r="BQ11" i="33"/>
  <c r="BP11" i="33"/>
  <c r="BO11" i="33"/>
  <c r="BN11" i="33"/>
  <c r="BM11" i="33"/>
  <c r="BL11" i="33"/>
  <c r="BK11" i="33"/>
  <c r="BJ11" i="33"/>
  <c r="BI11" i="33"/>
  <c r="BH11" i="33"/>
  <c r="BG11" i="33"/>
  <c r="BF11" i="33"/>
  <c r="BE11" i="33"/>
  <c r="BD11" i="33"/>
  <c r="BC11" i="33"/>
  <c r="BB11" i="33"/>
  <c r="BA11" i="33"/>
  <c r="AZ11" i="33"/>
  <c r="AY11" i="33"/>
  <c r="AX11" i="33"/>
  <c r="AW11" i="33"/>
  <c r="AV11" i="33"/>
  <c r="AU11" i="33"/>
  <c r="AT11" i="33"/>
  <c r="AS11" i="33"/>
  <c r="AR11" i="33"/>
  <c r="CA10" i="33"/>
  <c r="BZ10" i="33"/>
  <c r="BY10" i="33"/>
  <c r="BX10" i="33"/>
  <c r="BW10" i="33"/>
  <c r="BV10" i="33"/>
  <c r="BU10" i="33"/>
  <c r="BT10" i="33"/>
  <c r="BS10" i="33"/>
  <c r="BR10" i="33"/>
  <c r="BQ10" i="33"/>
  <c r="BP10" i="33"/>
  <c r="BO10" i="33"/>
  <c r="BN10" i="33"/>
  <c r="BM10" i="33"/>
  <c r="BL10" i="33"/>
  <c r="BK10" i="33"/>
  <c r="BJ10" i="33"/>
  <c r="BI10" i="33"/>
  <c r="BH10" i="33"/>
  <c r="BG10" i="33"/>
  <c r="BF10" i="33"/>
  <c r="BE10" i="33"/>
  <c r="BD10" i="33"/>
  <c r="BC10" i="33"/>
  <c r="BB10" i="33"/>
  <c r="BA10" i="33"/>
  <c r="AZ10" i="33"/>
  <c r="AY10" i="33"/>
  <c r="AX10" i="33"/>
  <c r="AW10" i="33"/>
  <c r="AV10" i="33"/>
  <c r="AU10" i="33"/>
  <c r="AT10" i="33"/>
  <c r="AS10" i="33"/>
  <c r="AR10" i="33"/>
  <c r="CA9" i="33"/>
  <c r="BZ9" i="33"/>
  <c r="BY9" i="33"/>
  <c r="BX9" i="33"/>
  <c r="BW9" i="33"/>
  <c r="BV9" i="33"/>
  <c r="BU9" i="33"/>
  <c r="BT9" i="33"/>
  <c r="BS9" i="33"/>
  <c r="BR9" i="33"/>
  <c r="BQ9" i="33"/>
  <c r="BP9" i="33"/>
  <c r="BO9" i="33"/>
  <c r="BN9" i="33"/>
  <c r="BM9" i="33"/>
  <c r="BL9" i="33"/>
  <c r="BK9" i="33"/>
  <c r="BJ9" i="33"/>
  <c r="BI9" i="33"/>
  <c r="BH9" i="33"/>
  <c r="BG9" i="33"/>
  <c r="BF9" i="33"/>
  <c r="BE9" i="33"/>
  <c r="BD9" i="33"/>
  <c r="BC9" i="33"/>
  <c r="BB9" i="33"/>
  <c r="BA9" i="33"/>
  <c r="AZ9" i="33"/>
  <c r="AY9" i="33"/>
  <c r="AX9" i="33"/>
  <c r="AW9" i="33"/>
  <c r="AV9" i="33"/>
  <c r="AU9" i="33"/>
  <c r="AT9" i="33"/>
  <c r="AS9" i="33"/>
  <c r="AR9" i="33"/>
  <c r="CA8" i="33"/>
  <c r="BZ8" i="33"/>
  <c r="BY8" i="33"/>
  <c r="BX8" i="33"/>
  <c r="BW8" i="33"/>
  <c r="BV8" i="33"/>
  <c r="BU8" i="33"/>
  <c r="BT8" i="33"/>
  <c r="BS8" i="33"/>
  <c r="BR8" i="33"/>
  <c r="BQ8" i="33"/>
  <c r="BP8" i="33"/>
  <c r="BO8" i="33"/>
  <c r="BN8" i="33"/>
  <c r="BM8" i="33"/>
  <c r="BL8" i="33"/>
  <c r="BK8" i="33"/>
  <c r="BJ8" i="33"/>
  <c r="BI8" i="33"/>
  <c r="BH8" i="33"/>
  <c r="BG8" i="33"/>
  <c r="BF8" i="33"/>
  <c r="BE8" i="33"/>
  <c r="BD8" i="33"/>
  <c r="BC8" i="33"/>
  <c r="BB8" i="33"/>
  <c r="BA8" i="33"/>
  <c r="AZ8" i="33"/>
  <c r="AY8" i="33"/>
  <c r="AX8" i="33"/>
  <c r="AW8" i="33"/>
  <c r="AV8" i="33"/>
  <c r="AU8" i="33"/>
  <c r="AT8" i="33"/>
  <c r="AS8" i="33"/>
  <c r="AR8" i="33"/>
  <c r="CA5" i="33"/>
  <c r="BZ5" i="33"/>
  <c r="BY5" i="33"/>
  <c r="BX5" i="33"/>
  <c r="BW5" i="33"/>
  <c r="BV5" i="33"/>
  <c r="BU5" i="33"/>
  <c r="BT5" i="33"/>
  <c r="BS5" i="33"/>
  <c r="BR5" i="33"/>
  <c r="BQ5" i="33"/>
  <c r="BP5" i="33"/>
  <c r="BO5" i="33"/>
  <c r="BN5" i="33"/>
  <c r="BM5" i="33"/>
  <c r="BL5" i="33"/>
  <c r="BK5" i="33"/>
  <c r="BJ5" i="33"/>
  <c r="BI5" i="33"/>
  <c r="BH5" i="33"/>
  <c r="BG5" i="33"/>
  <c r="BF5" i="33"/>
  <c r="BE5" i="33"/>
  <c r="BD5" i="33"/>
  <c r="BC5" i="33"/>
  <c r="BB5" i="33"/>
  <c r="BA5" i="33"/>
  <c r="AZ5" i="33"/>
  <c r="AY5" i="33"/>
  <c r="AX5" i="33"/>
  <c r="AW5" i="33"/>
  <c r="AV5" i="33"/>
  <c r="AU5" i="33"/>
  <c r="AT5" i="33"/>
  <c r="AS5" i="33"/>
  <c r="G42" i="32"/>
  <c r="H42" i="32"/>
  <c r="I42" i="32"/>
  <c r="J42" i="32"/>
  <c r="K42" i="32"/>
  <c r="L42" i="32"/>
  <c r="M42" i="32"/>
  <c r="N42" i="32"/>
  <c r="O42" i="32"/>
  <c r="P42" i="32"/>
  <c r="Q42" i="32"/>
  <c r="R42" i="32"/>
  <c r="S42" i="32"/>
  <c r="T42" i="32"/>
  <c r="U42" i="32"/>
  <c r="V42" i="32"/>
  <c r="W42" i="32"/>
  <c r="Y42" i="32"/>
  <c r="Z42" i="32"/>
  <c r="AA42" i="32"/>
  <c r="AB42" i="32"/>
  <c r="AC42" i="32"/>
  <c r="AD42" i="32"/>
  <c r="AE42" i="32"/>
  <c r="AF42" i="32"/>
  <c r="AG42" i="32"/>
  <c r="AH42" i="32"/>
  <c r="AI42" i="32"/>
  <c r="AJ42" i="32"/>
  <c r="AK42" i="32"/>
  <c r="AL42" i="32"/>
  <c r="AM42" i="32"/>
  <c r="CL42" i="32"/>
  <c r="CM42" i="32"/>
  <c r="CN42" i="32"/>
  <c r="CO42" i="32"/>
  <c r="CP42" i="32"/>
  <c r="CQ42" i="32"/>
  <c r="CR42" i="32"/>
  <c r="CS42" i="32"/>
  <c r="CT42" i="32"/>
  <c r="CU42" i="32"/>
  <c r="CV42" i="32"/>
  <c r="CW42" i="32"/>
  <c r="CX42" i="32"/>
  <c r="CY42" i="32"/>
  <c r="CZ42" i="32"/>
  <c r="DA42" i="32"/>
  <c r="DB42" i="32"/>
  <c r="BL39" i="33" s="1"/>
  <c r="DC42" i="32"/>
  <c r="DD42" i="32"/>
  <c r="DE42" i="32"/>
  <c r="DF42" i="32"/>
  <c r="DG42" i="32"/>
  <c r="DH42" i="32"/>
  <c r="DI42" i="32"/>
  <c r="BS39" i="33" s="1"/>
  <c r="DJ42" i="32"/>
  <c r="DK42" i="32"/>
  <c r="DL42" i="32"/>
  <c r="DM42" i="32"/>
  <c r="DN42" i="32"/>
  <c r="DO42" i="32"/>
  <c r="DP42" i="32"/>
  <c r="DQ42" i="32"/>
  <c r="EA42" i="32"/>
  <c r="EB42" i="32"/>
  <c r="EC42" i="32"/>
  <c r="ED42" i="32"/>
  <c r="EE42" i="32"/>
  <c r="CO39" i="33" s="1"/>
  <c r="EF42" i="32"/>
  <c r="EG42" i="32"/>
  <c r="CQ39" i="33" s="1"/>
  <c r="EH42" i="32"/>
  <c r="EI42" i="32"/>
  <c r="CS39" i="33" s="1"/>
  <c r="EJ42" i="32"/>
  <c r="EK42" i="32"/>
  <c r="EL42" i="32"/>
  <c r="EM42" i="32"/>
  <c r="EN42" i="32"/>
  <c r="EO42" i="32"/>
  <c r="EP42" i="32"/>
  <c r="EQ42" i="32"/>
  <c r="DA39" i="33" s="1"/>
  <c r="ER42" i="32"/>
  <c r="ES42" i="32"/>
  <c r="DC39" i="33" s="1"/>
  <c r="ET42" i="32"/>
  <c r="EU42" i="32"/>
  <c r="DE39" i="33" s="1"/>
  <c r="EV42" i="32"/>
  <c r="EW42" i="32"/>
  <c r="DG39" i="33" s="1"/>
  <c r="EX42" i="32"/>
  <c r="EY42" i="32"/>
  <c r="EZ42" i="32"/>
  <c r="FA42" i="32"/>
  <c r="FB42" i="32"/>
  <c r="FC42" i="32"/>
  <c r="DM39" i="33" s="1"/>
  <c r="FD42" i="32"/>
  <c r="FE42" i="32"/>
  <c r="DO39" i="33" s="1"/>
  <c r="FF42" i="32"/>
  <c r="FP42" i="32"/>
  <c r="FQ42" i="32"/>
  <c r="EA39" i="33" s="1"/>
  <c r="FR42" i="32"/>
  <c r="FS42" i="32"/>
  <c r="FT42" i="32"/>
  <c r="FU42" i="32"/>
  <c r="EE39" i="33" s="1"/>
  <c r="FV42" i="32"/>
  <c r="EF39" i="33" s="1"/>
  <c r="FW42" i="32"/>
  <c r="EG39" i="33" s="1"/>
  <c r="FX42" i="32"/>
  <c r="EH39" i="33" s="1"/>
  <c r="FY42" i="32"/>
  <c r="EI39" i="33" s="1"/>
  <c r="FZ42" i="32"/>
  <c r="EJ39" i="33" s="1"/>
  <c r="GA42" i="32"/>
  <c r="EK39" i="33" s="1"/>
  <c r="GB42" i="32"/>
  <c r="GC42" i="32"/>
  <c r="GD42" i="32"/>
  <c r="EN39" i="33" s="1"/>
  <c r="GE42" i="32"/>
  <c r="EO39" i="33" s="1"/>
  <c r="GF42" i="32"/>
  <c r="EP39" i="33" s="1"/>
  <c r="GG42" i="32"/>
  <c r="GH42" i="32"/>
  <c r="ER39" i="33" s="1"/>
  <c r="GI42" i="32"/>
  <c r="ES39" i="33" s="1"/>
  <c r="GJ42" i="32"/>
  <c r="GK42" i="32"/>
  <c r="EU39" i="33" s="1"/>
  <c r="GL42" i="32"/>
  <c r="EV39" i="33" s="1"/>
  <c r="GM42" i="32"/>
  <c r="EW39" i="33" s="1"/>
  <c r="GN42" i="32"/>
  <c r="EX39" i="33" s="1"/>
  <c r="GO42" i="32"/>
  <c r="EY39" i="33" s="1"/>
  <c r="GP42" i="32"/>
  <c r="EZ39" i="33" s="1"/>
  <c r="GQ42" i="32"/>
  <c r="FA39" i="33" s="1"/>
  <c r="GR42" i="32"/>
  <c r="GS42" i="32"/>
  <c r="FC39" i="33" s="1"/>
  <c r="GT42" i="32"/>
  <c r="FD39" i="33" s="1"/>
  <c r="GU42" i="32"/>
  <c r="FE39" i="33" s="1"/>
  <c r="HE42" i="32"/>
  <c r="HF42" i="32"/>
  <c r="HG42" i="32"/>
  <c r="HH42" i="32"/>
  <c r="HI42" i="32"/>
  <c r="HJ42" i="32"/>
  <c r="HK42" i="32"/>
  <c r="FU39" i="33" s="1"/>
  <c r="HL42" i="32"/>
  <c r="HM42" i="32"/>
  <c r="HN42" i="32"/>
  <c r="HO42" i="32"/>
  <c r="FY39" i="33" s="1"/>
  <c r="HP42" i="32"/>
  <c r="HQ42" i="32"/>
  <c r="HR42" i="32"/>
  <c r="HS42" i="32"/>
  <c r="HT42" i="32"/>
  <c r="HU42" i="32"/>
  <c r="GE39" i="33" s="1"/>
  <c r="HV42" i="32"/>
  <c r="HW42" i="32"/>
  <c r="GG39" i="33" s="1"/>
  <c r="HX42" i="32"/>
  <c r="HY42" i="32"/>
  <c r="HZ42" i="32"/>
  <c r="IA42" i="32"/>
  <c r="GK39" i="33" s="1"/>
  <c r="IB42" i="32"/>
  <c r="IC42" i="32"/>
  <c r="GM39" i="33" s="1"/>
  <c r="ID42" i="32"/>
  <c r="IE42" i="32"/>
  <c r="IF42" i="32"/>
  <c r="IG42" i="32"/>
  <c r="IH42" i="32"/>
  <c r="II42" i="32"/>
  <c r="GS39" i="33" s="1"/>
  <c r="IJ42" i="32"/>
  <c r="IT42" i="32"/>
  <c r="IU42" i="32"/>
  <c r="IV42" i="32"/>
  <c r="IW42" i="32"/>
  <c r="IX42" i="32"/>
  <c r="IY42" i="32"/>
  <c r="HI39" i="33" s="1"/>
  <c r="IZ42" i="32"/>
  <c r="HJ39" i="33" s="1"/>
  <c r="JA42" i="32"/>
  <c r="JB42" i="32"/>
  <c r="HL39" i="33" s="1"/>
  <c r="JC42" i="32"/>
  <c r="HM39" i="33" s="1"/>
  <c r="JD42" i="32"/>
  <c r="HN39" i="33" s="1"/>
  <c r="JE42" i="32"/>
  <c r="JF42" i="32"/>
  <c r="JG42" i="32"/>
  <c r="JH42" i="32"/>
  <c r="JI42" i="32"/>
  <c r="JJ42" i="32"/>
  <c r="HT39" i="33" s="1"/>
  <c r="JK42" i="32"/>
  <c r="JL42" i="32"/>
  <c r="HV39" i="33" s="1"/>
  <c r="JM42" i="32"/>
  <c r="JN42" i="32"/>
  <c r="JO42" i="32"/>
  <c r="HY39" i="33" s="1"/>
  <c r="JP42" i="32"/>
  <c r="HZ39" i="33" s="1"/>
  <c r="JQ42" i="32"/>
  <c r="JR42" i="32"/>
  <c r="JS42" i="32"/>
  <c r="JT42" i="32"/>
  <c r="JU42" i="32"/>
  <c r="JV42" i="32"/>
  <c r="JW42" i="32"/>
  <c r="IG39" i="33" s="1"/>
  <c r="JX42" i="32"/>
  <c r="IH39" i="33" s="1"/>
  <c r="JY42" i="32"/>
  <c r="JY26" i="32"/>
  <c r="JX26" i="32"/>
  <c r="JW26" i="32"/>
  <c r="JV26" i="32"/>
  <c r="JU26" i="32"/>
  <c r="JT26" i="32"/>
  <c r="JS26" i="32"/>
  <c r="JR26" i="32"/>
  <c r="JQ26" i="32"/>
  <c r="JP26" i="32"/>
  <c r="JO26" i="32"/>
  <c r="JN26" i="32"/>
  <c r="JM26" i="32"/>
  <c r="JL26" i="32"/>
  <c r="JK26" i="32"/>
  <c r="JJ26" i="32"/>
  <c r="JI26" i="32"/>
  <c r="JH26" i="32"/>
  <c r="JG26" i="32"/>
  <c r="JF26" i="32"/>
  <c r="JE26" i="32"/>
  <c r="JD26" i="32"/>
  <c r="JC26" i="32"/>
  <c r="JB26" i="32"/>
  <c r="JA26" i="32"/>
  <c r="IZ26" i="32"/>
  <c r="IY26" i="32"/>
  <c r="IX26" i="32"/>
  <c r="IW26" i="32"/>
  <c r="IV26" i="32"/>
  <c r="IU26" i="32"/>
  <c r="IT26" i="32"/>
  <c r="IJ26" i="32"/>
  <c r="II26" i="32"/>
  <c r="IH26" i="32"/>
  <c r="IG26" i="32"/>
  <c r="IF26" i="32"/>
  <c r="IE26" i="32"/>
  <c r="ID26" i="32"/>
  <c r="IC26" i="32"/>
  <c r="IB26" i="32"/>
  <c r="IA26" i="32"/>
  <c r="HZ26" i="32"/>
  <c r="HY26" i="32"/>
  <c r="HX26" i="32"/>
  <c r="HW26" i="32"/>
  <c r="HV26" i="32"/>
  <c r="HU26" i="32"/>
  <c r="HT26" i="32"/>
  <c r="HS26" i="32"/>
  <c r="HR26" i="32"/>
  <c r="HQ26" i="32"/>
  <c r="HP26" i="32"/>
  <c r="HO26" i="32"/>
  <c r="HN26" i="32"/>
  <c r="HM26" i="32"/>
  <c r="HL26" i="32"/>
  <c r="HK26" i="32"/>
  <c r="HJ26" i="32"/>
  <c r="HI26" i="32"/>
  <c r="HH26" i="32"/>
  <c r="HG26" i="32"/>
  <c r="HF26" i="32"/>
  <c r="HE26" i="32"/>
  <c r="GU26" i="32"/>
  <c r="GT26" i="32"/>
  <c r="GS26" i="32"/>
  <c r="GR26" i="32"/>
  <c r="GQ26" i="32"/>
  <c r="GP26" i="32"/>
  <c r="GO26" i="32"/>
  <c r="GN26" i="32"/>
  <c r="GM26" i="32"/>
  <c r="GL26" i="32"/>
  <c r="GK26" i="32"/>
  <c r="GJ26" i="32"/>
  <c r="GI26" i="32"/>
  <c r="GH26" i="32"/>
  <c r="GG26" i="32"/>
  <c r="GF26" i="32"/>
  <c r="GE26" i="32"/>
  <c r="GD26" i="32"/>
  <c r="GC26" i="32"/>
  <c r="GB26" i="32"/>
  <c r="GA26" i="32"/>
  <c r="FZ26" i="32"/>
  <c r="FY26" i="32"/>
  <c r="FX26" i="32"/>
  <c r="FW26" i="32"/>
  <c r="FV26" i="32"/>
  <c r="FU26" i="32"/>
  <c r="FT26" i="32"/>
  <c r="FS26" i="32"/>
  <c r="FR26" i="32"/>
  <c r="FQ26" i="32"/>
  <c r="FP26" i="32"/>
  <c r="FF26" i="32"/>
  <c r="FE26" i="32"/>
  <c r="FD26" i="32"/>
  <c r="FC26" i="32"/>
  <c r="FB26" i="32"/>
  <c r="FA26" i="32"/>
  <c r="EZ26" i="32"/>
  <c r="EY26" i="32"/>
  <c r="EX26" i="32"/>
  <c r="EW26" i="32"/>
  <c r="EV26" i="32"/>
  <c r="EU26" i="32"/>
  <c r="ET26" i="32"/>
  <c r="ES26" i="32"/>
  <c r="ER26" i="32"/>
  <c r="EQ26" i="32"/>
  <c r="EP26" i="32"/>
  <c r="EO26" i="32"/>
  <c r="EN26" i="32"/>
  <c r="EM26" i="32"/>
  <c r="EL26" i="32"/>
  <c r="EK26" i="32"/>
  <c r="EJ26" i="32"/>
  <c r="EI26" i="32"/>
  <c r="EH26" i="32"/>
  <c r="EG26" i="32"/>
  <c r="EF26" i="32"/>
  <c r="EE26" i="32"/>
  <c r="ED26" i="32"/>
  <c r="EC26" i="32"/>
  <c r="EB26" i="32"/>
  <c r="EA26" i="32"/>
  <c r="DQ26" i="32"/>
  <c r="DP26" i="32"/>
  <c r="DO26" i="32"/>
  <c r="DN26" i="32"/>
  <c r="DM26" i="32"/>
  <c r="DL26" i="32"/>
  <c r="DK26" i="32"/>
  <c r="DJ26" i="32"/>
  <c r="DI26" i="32"/>
  <c r="DH26" i="32"/>
  <c r="DG26" i="32"/>
  <c r="DF26" i="32"/>
  <c r="DE26" i="32"/>
  <c r="DD26" i="32"/>
  <c r="DC26" i="32"/>
  <c r="DB26" i="32"/>
  <c r="DA26" i="32"/>
  <c r="CZ26" i="32"/>
  <c r="CY26" i="32"/>
  <c r="CX26" i="32"/>
  <c r="CW26" i="32"/>
  <c r="CV26" i="32"/>
  <c r="CU26" i="32"/>
  <c r="CT26" i="32"/>
  <c r="CS26" i="32"/>
  <c r="CR26" i="32"/>
  <c r="CQ26" i="32"/>
  <c r="CP26" i="32"/>
  <c r="CO26" i="32"/>
  <c r="CN26" i="32"/>
  <c r="CM26" i="32"/>
  <c r="CL26" i="32"/>
  <c r="AM26" i="32"/>
  <c r="AL26" i="32"/>
  <c r="AK26" i="32"/>
  <c r="AJ26" i="32"/>
  <c r="AI26" i="32"/>
  <c r="AH26" i="32"/>
  <c r="AG26" i="32"/>
  <c r="AF26" i="32"/>
  <c r="AE26" i="32"/>
  <c r="AD26" i="32"/>
  <c r="AC26" i="32"/>
  <c r="AB26" i="32"/>
  <c r="AA26" i="32"/>
  <c r="Z26" i="32"/>
  <c r="Y26" i="32"/>
  <c r="W26" i="32"/>
  <c r="V26" i="32"/>
  <c r="U26" i="32"/>
  <c r="T26" i="32"/>
  <c r="S26" i="32"/>
  <c r="R26" i="32"/>
  <c r="Q26" i="32"/>
  <c r="P26" i="32"/>
  <c r="O26" i="32"/>
  <c r="N26" i="32"/>
  <c r="M26" i="32"/>
  <c r="L26" i="32"/>
  <c r="K26" i="32"/>
  <c r="J26" i="32"/>
  <c r="I26" i="32"/>
  <c r="H26" i="32"/>
  <c r="G26" i="32"/>
  <c r="EC39" i="33" l="1"/>
  <c r="DZ39" i="33"/>
  <c r="GO39" i="33"/>
  <c r="GC39" i="33"/>
  <c r="FQ39" i="33"/>
  <c r="AX39" i="33"/>
  <c r="EB39" i="33"/>
  <c r="FO39" i="33"/>
  <c r="HR39" i="33"/>
  <c r="CM39" i="33"/>
  <c r="HF39" i="33"/>
  <c r="DK39" i="33"/>
  <c r="CY39" i="33"/>
  <c r="IC39" i="33"/>
  <c r="ID39" i="33"/>
  <c r="IB39" i="33"/>
  <c r="HD39" i="33"/>
  <c r="FW39" i="33"/>
  <c r="CA39" i="33"/>
  <c r="CU39" i="33"/>
  <c r="BC39" i="33"/>
  <c r="BN39" i="33"/>
  <c r="BU39" i="33"/>
  <c r="AW39" i="33"/>
  <c r="BT39" i="33"/>
  <c r="AV39" i="33"/>
  <c r="HQ39" i="33"/>
  <c r="HE39" i="33"/>
  <c r="DI39" i="33"/>
  <c r="CW39" i="33"/>
  <c r="CK39" i="33"/>
  <c r="BD39" i="33"/>
  <c r="HU39" i="33"/>
  <c r="EQ39" i="33"/>
  <c r="BM39" i="33"/>
  <c r="BK39" i="33"/>
  <c r="EM39" i="33"/>
  <c r="BF39" i="33"/>
  <c r="BV39" i="33"/>
  <c r="BQ39" i="33"/>
  <c r="BE39" i="33"/>
  <c r="BA24" i="33"/>
  <c r="BY24" i="33"/>
  <c r="DN24" i="33"/>
  <c r="EU24" i="33"/>
  <c r="GB24" i="33"/>
  <c r="HY24" i="33"/>
  <c r="BJ24" i="33"/>
  <c r="BZ24" i="33"/>
  <c r="CY24" i="33"/>
  <c r="FU24" i="33"/>
  <c r="GS24" i="33"/>
  <c r="EJ24" i="33"/>
  <c r="EZ24" i="33"/>
  <c r="BG24" i="33"/>
  <c r="AZ24" i="33"/>
  <c r="BH24" i="33"/>
  <c r="BP24" i="33"/>
  <c r="BX24" i="33"/>
  <c r="CO24" i="33"/>
  <c r="CW24" i="33"/>
  <c r="DE24" i="33"/>
  <c r="DM24" i="33"/>
  <c r="ED24" i="33"/>
  <c r="EL24" i="33"/>
  <c r="ET24" i="33"/>
  <c r="FB24" i="33"/>
  <c r="FS24" i="33"/>
  <c r="GA24" i="33"/>
  <c r="GI24" i="33"/>
  <c r="GQ24" i="33"/>
  <c r="CN39" i="33"/>
  <c r="BQ24" i="33"/>
  <c r="CX24" i="33"/>
  <c r="EE24" i="33"/>
  <c r="FC24" i="33"/>
  <c r="HI24" i="33"/>
  <c r="IG24" i="33"/>
  <c r="BR24" i="33"/>
  <c r="DG24" i="33"/>
  <c r="GK24" i="33"/>
  <c r="AW24" i="33"/>
  <c r="BE24" i="33"/>
  <c r="BM24" i="33"/>
  <c r="BU24" i="33"/>
  <c r="CL24" i="33"/>
  <c r="CT24" i="33"/>
  <c r="DB24" i="33"/>
  <c r="DJ24" i="33"/>
  <c r="EA24" i="33"/>
  <c r="EI24" i="33"/>
  <c r="EQ24" i="33"/>
  <c r="EY24" i="33"/>
  <c r="HE24" i="33"/>
  <c r="HM24" i="33"/>
  <c r="HU24" i="33"/>
  <c r="IC24" i="33"/>
  <c r="BI24" i="33"/>
  <c r="CP24" i="33"/>
  <c r="DF24" i="33"/>
  <c r="EM24" i="33"/>
  <c r="FT24" i="33"/>
  <c r="HQ24" i="33"/>
  <c r="BB24" i="33"/>
  <c r="CQ24" i="33"/>
  <c r="DO24" i="33"/>
  <c r="GC24" i="33"/>
  <c r="EB24" i="33"/>
  <c r="ER24" i="33"/>
  <c r="AY24" i="33"/>
  <c r="GE24" i="33"/>
  <c r="FW24" i="33"/>
  <c r="BF24" i="33"/>
  <c r="BV24" i="33"/>
  <c r="CS24" i="33"/>
  <c r="DI24" i="33"/>
  <c r="HN24" i="33"/>
  <c r="HV24" i="33"/>
  <c r="ID24" i="33"/>
  <c r="FO24" i="33"/>
  <c r="GM24" i="33"/>
  <c r="AX24" i="33"/>
  <c r="BN24" i="33"/>
  <c r="CK24" i="33"/>
  <c r="DA24" i="33"/>
  <c r="HF24" i="33"/>
  <c r="BO24" i="33"/>
  <c r="BW24" i="33"/>
  <c r="HG24" i="33"/>
  <c r="HO24" i="33"/>
  <c r="HW24" i="33"/>
  <c r="IE24" i="33"/>
  <c r="CR24" i="33"/>
  <c r="CZ24" i="33"/>
  <c r="DH24" i="33"/>
  <c r="DP24" i="33"/>
  <c r="EC24" i="33"/>
  <c r="EK24" i="33"/>
  <c r="ES24" i="33"/>
  <c r="FA24" i="33"/>
  <c r="FV24" i="33"/>
  <c r="GD24" i="33"/>
  <c r="GL24" i="33"/>
  <c r="GT24" i="33"/>
  <c r="IE39" i="33"/>
  <c r="HW39" i="33"/>
  <c r="HO39" i="33"/>
  <c r="HG39" i="33"/>
  <c r="DN39" i="33"/>
  <c r="DF39" i="33"/>
  <c r="CX39" i="33"/>
  <c r="CP39" i="33"/>
  <c r="BC24" i="33"/>
  <c r="CA24" i="33"/>
  <c r="CU24" i="33"/>
  <c r="DK24" i="33"/>
  <c r="FY24" i="33"/>
  <c r="GO24" i="33"/>
  <c r="IA24" i="33"/>
  <c r="GQ39" i="33"/>
  <c r="GA39" i="33"/>
  <c r="BY39" i="33"/>
  <c r="BI39" i="33"/>
  <c r="BK24" i="33"/>
  <c r="BS24" i="33"/>
  <c r="CM24" i="33"/>
  <c r="DC24" i="33"/>
  <c r="FQ24" i="33"/>
  <c r="GG24" i="33"/>
  <c r="HK24" i="33"/>
  <c r="HS24" i="33"/>
  <c r="II24" i="33"/>
  <c r="GI39" i="33"/>
  <c r="FS39" i="33"/>
  <c r="BA39" i="33"/>
  <c r="AV24" i="33"/>
  <c r="BD24" i="33"/>
  <c r="BL24" i="33"/>
  <c r="BT24" i="33"/>
  <c r="CN24" i="33"/>
  <c r="CV24" i="33"/>
  <c r="DD24" i="33"/>
  <c r="DL24" i="33"/>
  <c r="EG24" i="33"/>
  <c r="EO24" i="33"/>
  <c r="EW24" i="33"/>
  <c r="FE24" i="33"/>
  <c r="II39" i="33"/>
  <c r="IA39" i="33"/>
  <c r="HS39" i="33"/>
  <c r="HK39" i="33"/>
  <c r="GP39" i="33"/>
  <c r="GH39" i="33"/>
  <c r="FZ39" i="33"/>
  <c r="FR39" i="33"/>
  <c r="BW39" i="33"/>
  <c r="BO39" i="33"/>
  <c r="BG39" i="33"/>
  <c r="AY39" i="33"/>
  <c r="EF24" i="33"/>
  <c r="EN24" i="33"/>
  <c r="EV24" i="33"/>
  <c r="FD24" i="33"/>
  <c r="FP24" i="33"/>
  <c r="FX24" i="33"/>
  <c r="GF24" i="33"/>
  <c r="GN24" i="33"/>
  <c r="HH24" i="33"/>
  <c r="HP24" i="33"/>
  <c r="HX24" i="33"/>
  <c r="IF24" i="33"/>
  <c r="IF39" i="33"/>
  <c r="HX39" i="33"/>
  <c r="HP39" i="33"/>
  <c r="HH39" i="33"/>
  <c r="GN39" i="33"/>
  <c r="GF39" i="33"/>
  <c r="FX39" i="33"/>
  <c r="FP39" i="33"/>
  <c r="DL39" i="33"/>
  <c r="DD39" i="33"/>
  <c r="CV39" i="33"/>
  <c r="DZ24" i="33"/>
  <c r="EH24" i="33"/>
  <c r="EP24" i="33"/>
  <c r="EX24" i="33"/>
  <c r="FR24" i="33"/>
  <c r="FZ24" i="33"/>
  <c r="GH24" i="33"/>
  <c r="GP24" i="33"/>
  <c r="HJ24" i="33"/>
  <c r="HR24" i="33"/>
  <c r="HZ24" i="33"/>
  <c r="IH24" i="33"/>
  <c r="GT39" i="33"/>
  <c r="GL39" i="33"/>
  <c r="GD39" i="33"/>
  <c r="FV39" i="33"/>
  <c r="FB39" i="33"/>
  <c r="ET39" i="33"/>
  <c r="EL39" i="33"/>
  <c r="ED39" i="33"/>
  <c r="DJ39" i="33"/>
  <c r="DB39" i="33"/>
  <c r="CT39" i="33"/>
  <c r="CL39" i="33"/>
  <c r="BZ39" i="33"/>
  <c r="BR39" i="33"/>
  <c r="BJ39" i="33"/>
  <c r="BB39" i="33"/>
  <c r="GJ24" i="33"/>
  <c r="GR24" i="33"/>
  <c r="HD24" i="33"/>
  <c r="HL24" i="33"/>
  <c r="HT24" i="33"/>
  <c r="IB24" i="33"/>
  <c r="GR39" i="33"/>
  <c r="GJ39" i="33"/>
  <c r="GB39" i="33"/>
  <c r="FT39" i="33"/>
  <c r="DP39" i="33"/>
  <c r="DH39" i="33"/>
  <c r="CZ39" i="33"/>
  <c r="CR39" i="33"/>
  <c r="BX39" i="33"/>
  <c r="BP39" i="33"/>
  <c r="BH39" i="33"/>
  <c r="AZ39" i="33"/>
  <c r="GY8" i="33"/>
  <c r="GY9" i="33"/>
  <c r="GY10" i="33"/>
  <c r="GY11" i="33"/>
  <c r="GY12" i="33"/>
  <c r="GY13" i="33"/>
  <c r="GY14" i="33"/>
  <c r="GY15" i="33"/>
  <c r="GY16" i="33"/>
  <c r="GY17" i="33"/>
  <c r="GY18" i="33"/>
  <c r="GY19" i="33"/>
  <c r="GY20" i="33"/>
  <c r="GY21" i="33"/>
  <c r="GY22" i="33"/>
  <c r="GY23" i="33"/>
  <c r="GY26" i="33"/>
  <c r="GY27" i="33"/>
  <c r="GY28" i="33"/>
  <c r="GY29" i="33"/>
  <c r="GY30" i="33"/>
  <c r="GY31" i="33"/>
  <c r="GY32" i="33"/>
  <c r="GY33" i="33"/>
  <c r="GY34" i="33"/>
  <c r="GY35" i="33"/>
  <c r="GY36" i="33"/>
  <c r="GY37" i="33"/>
  <c r="GY38" i="33"/>
  <c r="GY41" i="33"/>
  <c r="GY42" i="33"/>
  <c r="GY43" i="33"/>
  <c r="GY44" i="33"/>
  <c r="GY45" i="33"/>
  <c r="GY46" i="33"/>
  <c r="GY47" i="33"/>
  <c r="GY48" i="33"/>
  <c r="GY49" i="33"/>
  <c r="GY50" i="33"/>
  <c r="GY51" i="33"/>
  <c r="GY52" i="33"/>
  <c r="GY55" i="33"/>
  <c r="GY56" i="33"/>
  <c r="GY57" i="33"/>
  <c r="GY58" i="33"/>
  <c r="GY59" i="33"/>
  <c r="GY60" i="33"/>
  <c r="GY61" i="33"/>
  <c r="GY62" i="33"/>
  <c r="GY63" i="33"/>
  <c r="GY64" i="33"/>
  <c r="FJ8" i="33"/>
  <c r="FJ9" i="33"/>
  <c r="FJ10" i="33"/>
  <c r="FJ11" i="33"/>
  <c r="FJ12" i="33"/>
  <c r="FJ13" i="33"/>
  <c r="FJ14" i="33"/>
  <c r="FJ15" i="33"/>
  <c r="FJ16" i="33"/>
  <c r="FJ17" i="33"/>
  <c r="FJ18" i="33"/>
  <c r="FJ19" i="33"/>
  <c r="FJ20" i="33"/>
  <c r="FJ21" i="33"/>
  <c r="FJ22" i="33"/>
  <c r="FJ23" i="33"/>
  <c r="FJ26" i="33"/>
  <c r="FJ27" i="33"/>
  <c r="FJ28" i="33"/>
  <c r="FJ29" i="33"/>
  <c r="FJ30" i="33"/>
  <c r="FJ31" i="33"/>
  <c r="FJ32" i="33"/>
  <c r="FJ33" i="33"/>
  <c r="FJ34" i="33"/>
  <c r="FJ35" i="33"/>
  <c r="FJ36" i="33"/>
  <c r="FJ37" i="33"/>
  <c r="FJ38" i="33"/>
  <c r="FJ41" i="33"/>
  <c r="FJ42" i="33"/>
  <c r="FJ43" i="33"/>
  <c r="FJ44" i="33"/>
  <c r="FJ45" i="33"/>
  <c r="FJ46" i="33"/>
  <c r="FJ47" i="33"/>
  <c r="FJ48" i="33"/>
  <c r="FJ49" i="33"/>
  <c r="FJ50" i="33"/>
  <c r="FJ51" i="33"/>
  <c r="FJ52" i="33"/>
  <c r="FJ55" i="33"/>
  <c r="FJ56" i="33"/>
  <c r="FJ57" i="33"/>
  <c r="FJ58" i="33"/>
  <c r="FJ59" i="33"/>
  <c r="FJ60" i="33"/>
  <c r="FJ61" i="33"/>
  <c r="FJ62" i="33"/>
  <c r="FJ63" i="33"/>
  <c r="FJ64" i="33"/>
  <c r="DU8" i="33"/>
  <c r="DU9" i="33"/>
  <c r="DU10" i="33"/>
  <c r="DU11" i="33"/>
  <c r="DU12" i="33"/>
  <c r="DU13" i="33"/>
  <c r="DU14" i="33"/>
  <c r="DU15" i="33"/>
  <c r="DU16" i="33"/>
  <c r="DU17" i="33"/>
  <c r="DU18" i="33"/>
  <c r="DU19" i="33"/>
  <c r="DU20" i="33"/>
  <c r="DU21" i="33"/>
  <c r="DU22" i="33"/>
  <c r="DU23" i="33"/>
  <c r="DU26" i="33"/>
  <c r="DU27" i="33"/>
  <c r="DU28" i="33"/>
  <c r="DU29" i="33"/>
  <c r="DU30" i="33"/>
  <c r="DU31" i="33"/>
  <c r="DU32" i="33"/>
  <c r="DU33" i="33"/>
  <c r="DU34" i="33"/>
  <c r="DU35" i="33"/>
  <c r="DU36" i="33"/>
  <c r="DU37" i="33"/>
  <c r="DU38" i="33"/>
  <c r="DU41" i="33"/>
  <c r="DU42" i="33"/>
  <c r="DU43" i="33"/>
  <c r="DU44" i="33"/>
  <c r="DU45" i="33"/>
  <c r="DU46" i="33"/>
  <c r="DU47" i="33"/>
  <c r="DU48" i="33"/>
  <c r="DU49" i="33"/>
  <c r="DU50" i="33"/>
  <c r="DU51" i="33"/>
  <c r="DU52" i="33"/>
  <c r="DU55" i="33"/>
  <c r="DU56" i="33"/>
  <c r="DU57" i="33"/>
  <c r="DU58" i="33"/>
  <c r="DU59" i="33"/>
  <c r="DU60" i="33"/>
  <c r="DU61" i="33"/>
  <c r="DU62" i="33"/>
  <c r="DU63" i="33"/>
  <c r="DU64" i="33"/>
  <c r="CF8" i="33"/>
  <c r="CF9" i="33"/>
  <c r="CF10" i="33"/>
  <c r="CF11" i="33"/>
  <c r="CF12" i="33"/>
  <c r="CF13" i="33"/>
  <c r="CF14" i="33"/>
  <c r="CF15" i="33"/>
  <c r="CF16" i="33"/>
  <c r="CF17" i="33"/>
  <c r="CF18" i="33"/>
  <c r="CF19" i="33"/>
  <c r="CF20" i="33"/>
  <c r="CF21" i="33"/>
  <c r="CF22" i="33"/>
  <c r="CF23" i="33"/>
  <c r="CF26" i="33"/>
  <c r="CF27" i="33"/>
  <c r="CF28" i="33"/>
  <c r="CF29" i="33"/>
  <c r="CF30" i="33"/>
  <c r="CF31" i="33"/>
  <c r="CF32" i="33"/>
  <c r="CF33" i="33"/>
  <c r="CF34" i="33"/>
  <c r="CF35" i="33"/>
  <c r="CF36" i="33"/>
  <c r="CF37" i="33"/>
  <c r="CF38" i="33"/>
  <c r="CF41" i="33"/>
  <c r="CF42" i="33"/>
  <c r="CF43" i="33"/>
  <c r="CF44" i="33"/>
  <c r="CF45" i="33"/>
  <c r="CF46" i="33"/>
  <c r="CF47" i="33"/>
  <c r="CF48" i="33"/>
  <c r="CF49" i="33"/>
  <c r="CF50" i="33"/>
  <c r="CF51" i="33"/>
  <c r="CF52" i="33"/>
  <c r="CF55" i="33"/>
  <c r="CF56" i="33"/>
  <c r="CF57" i="33"/>
  <c r="CF58" i="33"/>
  <c r="CF59" i="33"/>
  <c r="CF60" i="33"/>
  <c r="CF61" i="33"/>
  <c r="CF62" i="33"/>
  <c r="CF63" i="33"/>
  <c r="CF64" i="33"/>
  <c r="AQ8" i="33"/>
  <c r="AQ9" i="33"/>
  <c r="AQ10" i="33"/>
  <c r="AQ11" i="33"/>
  <c r="AQ12" i="33"/>
  <c r="AQ13" i="33"/>
  <c r="AQ14" i="33"/>
  <c r="AQ15" i="33"/>
  <c r="AQ16" i="33"/>
  <c r="AQ17" i="33"/>
  <c r="AQ18" i="33"/>
  <c r="AQ19" i="33"/>
  <c r="AQ20" i="33"/>
  <c r="AQ21" i="33"/>
  <c r="AQ22" i="33"/>
  <c r="AQ23" i="33"/>
  <c r="AQ26" i="33"/>
  <c r="AQ27" i="33"/>
  <c r="AQ28" i="33"/>
  <c r="AQ29" i="33"/>
  <c r="AQ30" i="33"/>
  <c r="AQ31" i="33"/>
  <c r="AQ32" i="33"/>
  <c r="AQ33" i="33"/>
  <c r="AQ34" i="33"/>
  <c r="AQ35" i="33"/>
  <c r="AQ36" i="33"/>
  <c r="AQ37" i="33"/>
  <c r="AQ38" i="33"/>
  <c r="AQ41" i="33"/>
  <c r="AQ42" i="33"/>
  <c r="AQ43" i="33"/>
  <c r="AQ44" i="33"/>
  <c r="AQ45" i="33"/>
  <c r="AQ46" i="33"/>
  <c r="AQ47" i="33"/>
  <c r="AQ48" i="33"/>
  <c r="AQ49" i="33"/>
  <c r="AQ50" i="33"/>
  <c r="AQ51" i="33"/>
  <c r="AQ52" i="33"/>
  <c r="AQ55" i="33"/>
  <c r="AQ56" i="33"/>
  <c r="AQ57" i="33"/>
  <c r="AQ58" i="33"/>
  <c r="AQ59" i="33"/>
  <c r="AQ60" i="33"/>
  <c r="AQ61" i="33"/>
  <c r="AQ62" i="33"/>
  <c r="AQ63" i="33"/>
  <c r="AQ64" i="33"/>
  <c r="AS5" i="32"/>
  <c r="AT5" i="32"/>
  <c r="D5" i="33" s="1"/>
  <c r="IP5" i="33" s="1"/>
  <c r="AU5" i="32"/>
  <c r="E5" i="33" s="1"/>
  <c r="AV5" i="32"/>
  <c r="F5" i="33" s="1"/>
  <c r="AW5" i="32"/>
  <c r="AS6" i="32"/>
  <c r="AT6" i="32"/>
  <c r="AU6" i="32"/>
  <c r="AV6" i="32"/>
  <c r="AW6" i="32"/>
  <c r="AS9" i="32"/>
  <c r="AT9" i="32"/>
  <c r="AU9" i="32"/>
  <c r="E8" i="33" s="1"/>
  <c r="AV9" i="32"/>
  <c r="F8" i="33" s="1"/>
  <c r="AW9" i="32"/>
  <c r="G8" i="33" s="1"/>
  <c r="AS10" i="32"/>
  <c r="AT10" i="32"/>
  <c r="D9" i="33" s="1"/>
  <c r="AU10" i="32"/>
  <c r="AV10" i="32"/>
  <c r="AW10" i="32"/>
  <c r="G9" i="33" s="1"/>
  <c r="AS11" i="32"/>
  <c r="C10" i="33" s="1"/>
  <c r="AT11" i="32"/>
  <c r="D10" i="33" s="1"/>
  <c r="AU11" i="32"/>
  <c r="E10" i="33" s="1"/>
  <c r="AV11" i="32"/>
  <c r="AW11" i="32"/>
  <c r="G10" i="33" s="1"/>
  <c r="AS12" i="32"/>
  <c r="AT12" i="32"/>
  <c r="AU12" i="32"/>
  <c r="E11" i="33" s="1"/>
  <c r="AV12" i="32"/>
  <c r="F11" i="33" s="1"/>
  <c r="AW12" i="32"/>
  <c r="G11" i="33" s="1"/>
  <c r="AS13" i="32"/>
  <c r="C12" i="33" s="1"/>
  <c r="AT13" i="32"/>
  <c r="AU13" i="32"/>
  <c r="E12" i="33" s="1"/>
  <c r="AV13" i="32"/>
  <c r="F12" i="33" s="1"/>
  <c r="IR12" i="33" s="1"/>
  <c r="AW13" i="32"/>
  <c r="G12" i="33" s="1"/>
  <c r="AS14" i="32"/>
  <c r="C13" i="33" s="1"/>
  <c r="AT14" i="32"/>
  <c r="D13" i="33" s="1"/>
  <c r="AU14" i="32"/>
  <c r="E13" i="33" s="1"/>
  <c r="AV14" i="32"/>
  <c r="F13" i="33" s="1"/>
  <c r="AW14" i="32"/>
  <c r="G13" i="33" s="1"/>
  <c r="AS15" i="32"/>
  <c r="C14" i="33" s="1"/>
  <c r="AT15" i="32"/>
  <c r="D14" i="33" s="1"/>
  <c r="IP14" i="33" s="1"/>
  <c r="AU15" i="32"/>
  <c r="AV15" i="32"/>
  <c r="AW15" i="32"/>
  <c r="G14" i="33" s="1"/>
  <c r="AS16" i="32"/>
  <c r="C15" i="33" s="1"/>
  <c r="AT16" i="32"/>
  <c r="D15" i="33" s="1"/>
  <c r="AU16" i="32"/>
  <c r="AV16" i="32"/>
  <c r="F15" i="33" s="1"/>
  <c r="AW16" i="32"/>
  <c r="G15" i="33" s="1"/>
  <c r="AS17" i="32"/>
  <c r="AT17" i="32"/>
  <c r="D16" i="33" s="1"/>
  <c r="AU17" i="32"/>
  <c r="E16" i="33" s="1"/>
  <c r="AV17" i="32"/>
  <c r="F16" i="33" s="1"/>
  <c r="AW17" i="32"/>
  <c r="G16" i="33" s="1"/>
  <c r="AS18" i="32"/>
  <c r="AT18" i="32"/>
  <c r="D17" i="33" s="1"/>
  <c r="AU18" i="32"/>
  <c r="E17" i="33" s="1"/>
  <c r="IQ17" i="33" s="1"/>
  <c r="AV18" i="32"/>
  <c r="AW18" i="32"/>
  <c r="G17" i="33" s="1"/>
  <c r="AS19" i="32"/>
  <c r="C18" i="33" s="1"/>
  <c r="AT19" i="32"/>
  <c r="D18" i="33" s="1"/>
  <c r="AU19" i="32"/>
  <c r="E18" i="33" s="1"/>
  <c r="AV19" i="32"/>
  <c r="AW19" i="32"/>
  <c r="G18" i="33" s="1"/>
  <c r="AS20" i="32"/>
  <c r="C19" i="33" s="1"/>
  <c r="IO19" i="33" s="1"/>
  <c r="AT20" i="32"/>
  <c r="AU20" i="32"/>
  <c r="AV20" i="32"/>
  <c r="F19" i="33" s="1"/>
  <c r="AW20" i="32"/>
  <c r="G19" i="33" s="1"/>
  <c r="AS21" i="32"/>
  <c r="C20" i="33" s="1"/>
  <c r="AT21" i="32"/>
  <c r="AU21" i="32"/>
  <c r="E20" i="33" s="1"/>
  <c r="AV21" i="32"/>
  <c r="AW21" i="32"/>
  <c r="G20" i="33" s="1"/>
  <c r="AS22" i="32"/>
  <c r="C21" i="33" s="1"/>
  <c r="AT22" i="32"/>
  <c r="D21" i="33" s="1"/>
  <c r="AU22" i="32"/>
  <c r="E21" i="33" s="1"/>
  <c r="AV22" i="32"/>
  <c r="F21" i="33" s="1"/>
  <c r="AW22" i="32"/>
  <c r="G21" i="33" s="1"/>
  <c r="AS23" i="32"/>
  <c r="C22" i="33" s="1"/>
  <c r="AT23" i="32"/>
  <c r="AU23" i="32"/>
  <c r="AV23" i="32"/>
  <c r="F22" i="33" s="1"/>
  <c r="AW23" i="32"/>
  <c r="G22" i="33" s="1"/>
  <c r="AS24" i="32"/>
  <c r="C23" i="33" s="1"/>
  <c r="AT24" i="32"/>
  <c r="D23" i="33" s="1"/>
  <c r="AU24" i="32"/>
  <c r="AV24" i="32"/>
  <c r="F23" i="33" s="1"/>
  <c r="AW24" i="32"/>
  <c r="G23" i="33" s="1"/>
  <c r="AW25" i="32"/>
  <c r="AS28" i="32"/>
  <c r="AT28" i="32"/>
  <c r="D26" i="33" s="1"/>
  <c r="IP26" i="33" s="1"/>
  <c r="AU28" i="32"/>
  <c r="E26" i="33" s="1"/>
  <c r="IQ26" i="33" s="1"/>
  <c r="AV28" i="32"/>
  <c r="AW28" i="32"/>
  <c r="G26" i="33" s="1"/>
  <c r="AS29" i="32"/>
  <c r="C27" i="33" s="1"/>
  <c r="IO27" i="33" s="1"/>
  <c r="AT29" i="32"/>
  <c r="D27" i="33" s="1"/>
  <c r="AU29" i="32"/>
  <c r="E27" i="33" s="1"/>
  <c r="AV29" i="32"/>
  <c r="AW29" i="32"/>
  <c r="G27" i="33" s="1"/>
  <c r="AS30" i="32"/>
  <c r="AT30" i="32"/>
  <c r="AU30" i="32"/>
  <c r="AV30" i="32"/>
  <c r="F28" i="33" s="1"/>
  <c r="AW30" i="32"/>
  <c r="G28" i="33" s="1"/>
  <c r="AS31" i="32"/>
  <c r="C29" i="33" s="1"/>
  <c r="AT31" i="32"/>
  <c r="AU31" i="32"/>
  <c r="AV31" i="32"/>
  <c r="AW31" i="32"/>
  <c r="G29" i="33" s="1"/>
  <c r="AS32" i="32"/>
  <c r="C30" i="33" s="1"/>
  <c r="AT32" i="32"/>
  <c r="D30" i="33" s="1"/>
  <c r="AU32" i="32"/>
  <c r="E30" i="33" s="1"/>
  <c r="AV32" i="32"/>
  <c r="F30" i="33" s="1"/>
  <c r="AW32" i="32"/>
  <c r="G30" i="33" s="1"/>
  <c r="AS33" i="32"/>
  <c r="AT33" i="32"/>
  <c r="AU33" i="32"/>
  <c r="AV33" i="32"/>
  <c r="F31" i="33" s="1"/>
  <c r="AW33" i="32"/>
  <c r="G31" i="33" s="1"/>
  <c r="AS34" i="32"/>
  <c r="C32" i="33" s="1"/>
  <c r="AT34" i="32"/>
  <c r="D32" i="33" s="1"/>
  <c r="AU34" i="32"/>
  <c r="AV34" i="32"/>
  <c r="F32" i="33" s="1"/>
  <c r="IR32" i="33" s="1"/>
  <c r="AW34" i="32"/>
  <c r="G32" i="33" s="1"/>
  <c r="AS35" i="32"/>
  <c r="AT35" i="32"/>
  <c r="AU35" i="32"/>
  <c r="E33" i="33" s="1"/>
  <c r="AV35" i="32"/>
  <c r="F33" i="33" s="1"/>
  <c r="AW35" i="32"/>
  <c r="G33" i="33" s="1"/>
  <c r="AS36" i="32"/>
  <c r="AT36" i="32"/>
  <c r="AU36" i="32"/>
  <c r="AV36" i="32"/>
  <c r="AW36" i="32"/>
  <c r="G34" i="33" s="1"/>
  <c r="AS37" i="32"/>
  <c r="C35" i="33" s="1"/>
  <c r="AT37" i="32"/>
  <c r="D35" i="33" s="1"/>
  <c r="AU37" i="32"/>
  <c r="E35" i="33" s="1"/>
  <c r="AV37" i="32"/>
  <c r="AW37" i="32"/>
  <c r="G35" i="33" s="1"/>
  <c r="AS38" i="32"/>
  <c r="AT38" i="32"/>
  <c r="AU38" i="32"/>
  <c r="E36" i="33" s="1"/>
  <c r="AV38" i="32"/>
  <c r="F36" i="33" s="1"/>
  <c r="AW38" i="32"/>
  <c r="G36" i="33" s="1"/>
  <c r="AS39" i="32"/>
  <c r="C37" i="33" s="1"/>
  <c r="AT39" i="32"/>
  <c r="AU39" i="32"/>
  <c r="E37" i="33" s="1"/>
  <c r="AV39" i="32"/>
  <c r="F37" i="33" s="1"/>
  <c r="IR37" i="33" s="1"/>
  <c r="AW39" i="32"/>
  <c r="G37" i="33" s="1"/>
  <c r="AS40" i="32"/>
  <c r="C38" i="33" s="1"/>
  <c r="AT40" i="32"/>
  <c r="D38" i="33" s="1"/>
  <c r="IP38" i="33" s="1"/>
  <c r="AU40" i="32"/>
  <c r="E38" i="33" s="1"/>
  <c r="AV40" i="32"/>
  <c r="F38" i="33" s="1"/>
  <c r="AW40" i="32"/>
  <c r="G38" i="33" s="1"/>
  <c r="AW41" i="32"/>
  <c r="AS44" i="32"/>
  <c r="C41" i="33" s="1"/>
  <c r="AT44" i="32"/>
  <c r="D41" i="33" s="1"/>
  <c r="AU44" i="32"/>
  <c r="E41" i="33" s="1"/>
  <c r="AV44" i="32"/>
  <c r="F41" i="33" s="1"/>
  <c r="IR41" i="33" s="1"/>
  <c r="AW44" i="32"/>
  <c r="G41" i="33" s="1"/>
  <c r="AS45" i="32"/>
  <c r="C42" i="33" s="1"/>
  <c r="AT45" i="32"/>
  <c r="D42" i="33" s="1"/>
  <c r="AU45" i="32"/>
  <c r="E42" i="33" s="1"/>
  <c r="IQ42" i="33" s="1"/>
  <c r="AV45" i="32"/>
  <c r="F42" i="33" s="1"/>
  <c r="AW45" i="32"/>
  <c r="G42" i="33" s="1"/>
  <c r="AS46" i="32"/>
  <c r="C43" i="33" s="1"/>
  <c r="IO43" i="33" s="1"/>
  <c r="AT46" i="32"/>
  <c r="D43" i="33" s="1"/>
  <c r="IP43" i="33" s="1"/>
  <c r="AU46" i="32"/>
  <c r="E43" i="33" s="1"/>
  <c r="IQ43" i="33" s="1"/>
  <c r="AV46" i="32"/>
  <c r="F43" i="33" s="1"/>
  <c r="AW46" i="32"/>
  <c r="G43" i="33" s="1"/>
  <c r="AS47" i="32"/>
  <c r="C44" i="33" s="1"/>
  <c r="AT47" i="32"/>
  <c r="D44" i="33" s="1"/>
  <c r="AU47" i="32"/>
  <c r="E44" i="33" s="1"/>
  <c r="AV47" i="32"/>
  <c r="F44" i="33" s="1"/>
  <c r="IR44" i="33" s="1"/>
  <c r="AW47" i="32"/>
  <c r="G44" i="33" s="1"/>
  <c r="AS48" i="32"/>
  <c r="C45" i="33" s="1"/>
  <c r="IO45" i="33" s="1"/>
  <c r="AT48" i="32"/>
  <c r="D45" i="33" s="1"/>
  <c r="AU48" i="32"/>
  <c r="E45" i="33" s="1"/>
  <c r="AV48" i="32"/>
  <c r="F45" i="33" s="1"/>
  <c r="AW48" i="32"/>
  <c r="G45" i="33" s="1"/>
  <c r="AS49" i="32"/>
  <c r="C46" i="33" s="1"/>
  <c r="AT49" i="32"/>
  <c r="D46" i="33" s="1"/>
  <c r="IP46" i="33" s="1"/>
  <c r="AU49" i="32"/>
  <c r="E46" i="33" s="1"/>
  <c r="AV49" i="32"/>
  <c r="F46" i="33" s="1"/>
  <c r="IR46" i="33" s="1"/>
  <c r="AW49" i="32"/>
  <c r="G46" i="33" s="1"/>
  <c r="AS50" i="32"/>
  <c r="C47" i="33" s="1"/>
  <c r="AT50" i="32"/>
  <c r="D47" i="33" s="1"/>
  <c r="AU50" i="32"/>
  <c r="E47" i="33" s="1"/>
  <c r="AV50" i="32"/>
  <c r="F47" i="33" s="1"/>
  <c r="AW50" i="32"/>
  <c r="G47" i="33" s="1"/>
  <c r="AS51" i="32"/>
  <c r="C48" i="33" s="1"/>
  <c r="IO48" i="33" s="1"/>
  <c r="AT51" i="32"/>
  <c r="D48" i="33" s="1"/>
  <c r="AU51" i="32"/>
  <c r="E48" i="33" s="1"/>
  <c r="IQ48" i="33" s="1"/>
  <c r="AV51" i="32"/>
  <c r="F48" i="33" s="1"/>
  <c r="IR48" i="33" s="1"/>
  <c r="AW51" i="32"/>
  <c r="G48" i="33" s="1"/>
  <c r="AS52" i="32"/>
  <c r="C49" i="33" s="1"/>
  <c r="AT52" i="32"/>
  <c r="D49" i="33" s="1"/>
  <c r="AU52" i="32"/>
  <c r="E49" i="33" s="1"/>
  <c r="AV52" i="32"/>
  <c r="F49" i="33" s="1"/>
  <c r="IR49" i="33" s="1"/>
  <c r="AW52" i="32"/>
  <c r="G49" i="33" s="1"/>
  <c r="AS53" i="32"/>
  <c r="C50" i="33" s="1"/>
  <c r="IO50" i="33" s="1"/>
  <c r="AT53" i="32"/>
  <c r="D50" i="33" s="1"/>
  <c r="AU53" i="32"/>
  <c r="E50" i="33" s="1"/>
  <c r="IQ50" i="33" s="1"/>
  <c r="AV53" i="32"/>
  <c r="F50" i="33" s="1"/>
  <c r="AW53" i="32"/>
  <c r="G50" i="33" s="1"/>
  <c r="AS54" i="32"/>
  <c r="C51" i="33" s="1"/>
  <c r="AT54" i="32"/>
  <c r="D51" i="33" s="1"/>
  <c r="IP51" i="33" s="1"/>
  <c r="AU54" i="32"/>
  <c r="E51" i="33" s="1"/>
  <c r="IQ51" i="33" s="1"/>
  <c r="AV54" i="32"/>
  <c r="F51" i="33" s="1"/>
  <c r="IR51" i="33" s="1"/>
  <c r="AW54" i="32"/>
  <c r="G51" i="33" s="1"/>
  <c r="AS55" i="32"/>
  <c r="C52" i="33" s="1"/>
  <c r="IO52" i="33" s="1"/>
  <c r="AT55" i="32"/>
  <c r="D52" i="33" s="1"/>
  <c r="AU55" i="32"/>
  <c r="E52" i="33" s="1"/>
  <c r="IQ52" i="33" s="1"/>
  <c r="AV55" i="32"/>
  <c r="F52" i="33" s="1"/>
  <c r="AW55" i="32"/>
  <c r="G52" i="33" s="1"/>
  <c r="AW56" i="32"/>
  <c r="G53" i="33" s="1"/>
  <c r="AS58" i="32"/>
  <c r="C55" i="33" s="1"/>
  <c r="AT58" i="32"/>
  <c r="D55" i="33" s="1"/>
  <c r="IP55" i="33" s="1"/>
  <c r="AU58" i="32"/>
  <c r="E55" i="33" s="1"/>
  <c r="IQ55" i="33" s="1"/>
  <c r="AV58" i="32"/>
  <c r="F55" i="33" s="1"/>
  <c r="IR55" i="33" s="1"/>
  <c r="AW58" i="32"/>
  <c r="G55" i="33" s="1"/>
  <c r="AS59" i="32"/>
  <c r="C56" i="33" s="1"/>
  <c r="AT59" i="32"/>
  <c r="D56" i="33" s="1"/>
  <c r="AU59" i="32"/>
  <c r="E56" i="33" s="1"/>
  <c r="AV59" i="32"/>
  <c r="F56" i="33" s="1"/>
  <c r="AW59" i="32"/>
  <c r="G56" i="33" s="1"/>
  <c r="AS60" i="32"/>
  <c r="C57" i="33" s="1"/>
  <c r="IO57" i="33" s="1"/>
  <c r="AT60" i="32"/>
  <c r="D57" i="33" s="1"/>
  <c r="IP57" i="33" s="1"/>
  <c r="AU60" i="32"/>
  <c r="E57" i="33" s="1"/>
  <c r="AV60" i="32"/>
  <c r="F57" i="33" s="1"/>
  <c r="AW60" i="32"/>
  <c r="G57" i="33" s="1"/>
  <c r="AS61" i="32"/>
  <c r="C58" i="33" s="1"/>
  <c r="AT61" i="32"/>
  <c r="D58" i="33" s="1"/>
  <c r="AU61" i="32"/>
  <c r="E58" i="33" s="1"/>
  <c r="IQ58" i="33" s="1"/>
  <c r="AV61" i="32"/>
  <c r="F58" i="33" s="1"/>
  <c r="IR58" i="33" s="1"/>
  <c r="AW61" i="32"/>
  <c r="G58" i="33" s="1"/>
  <c r="AS62" i="32"/>
  <c r="C59" i="33" s="1"/>
  <c r="IO59" i="33" s="1"/>
  <c r="AT62" i="32"/>
  <c r="D59" i="33" s="1"/>
  <c r="IP59" i="33" s="1"/>
  <c r="AU62" i="32"/>
  <c r="E59" i="33" s="1"/>
  <c r="IQ59" i="33" s="1"/>
  <c r="AV62" i="32"/>
  <c r="F59" i="33" s="1"/>
  <c r="AW62" i="32"/>
  <c r="G59" i="33" s="1"/>
  <c r="AS63" i="32"/>
  <c r="C60" i="33" s="1"/>
  <c r="AT63" i="32"/>
  <c r="D60" i="33" s="1"/>
  <c r="IP60" i="33" s="1"/>
  <c r="AU63" i="32"/>
  <c r="E60" i="33" s="1"/>
  <c r="IQ60" i="33" s="1"/>
  <c r="AV63" i="32"/>
  <c r="F60" i="33" s="1"/>
  <c r="AW63" i="32"/>
  <c r="G60" i="33" s="1"/>
  <c r="AS64" i="32"/>
  <c r="C61" i="33" s="1"/>
  <c r="IO61" i="33" s="1"/>
  <c r="AT64" i="32"/>
  <c r="D61" i="33" s="1"/>
  <c r="AU64" i="32"/>
  <c r="E61" i="33" s="1"/>
  <c r="AV64" i="32"/>
  <c r="F61" i="33" s="1"/>
  <c r="AW64" i="32"/>
  <c r="G61" i="33" s="1"/>
  <c r="AS65" i="32"/>
  <c r="C62" i="33" s="1"/>
  <c r="IO62" i="33" s="1"/>
  <c r="AT65" i="32"/>
  <c r="D62" i="33" s="1"/>
  <c r="IP62" i="33" s="1"/>
  <c r="AU65" i="32"/>
  <c r="E62" i="33" s="1"/>
  <c r="AV65" i="32"/>
  <c r="F62" i="33" s="1"/>
  <c r="IR62" i="33" s="1"/>
  <c r="AW65" i="32"/>
  <c r="G62" i="33" s="1"/>
  <c r="AS66" i="32"/>
  <c r="C63" i="33" s="1"/>
  <c r="AT66" i="32"/>
  <c r="D63" i="33" s="1"/>
  <c r="AU66" i="32"/>
  <c r="E63" i="33" s="1"/>
  <c r="AV66" i="32"/>
  <c r="F63" i="33" s="1"/>
  <c r="IR63" i="33" s="1"/>
  <c r="AW66" i="32"/>
  <c r="G63" i="33" s="1"/>
  <c r="AS67" i="32"/>
  <c r="C64" i="33" s="1"/>
  <c r="AT67" i="32"/>
  <c r="D64" i="33" s="1"/>
  <c r="AU67" i="32"/>
  <c r="E64" i="33" s="1"/>
  <c r="AV67" i="32"/>
  <c r="F64" i="33" s="1"/>
  <c r="AW67" i="32"/>
  <c r="G64" i="33" s="1"/>
  <c r="AR67" i="32"/>
  <c r="B64" i="33" s="1"/>
  <c r="AR66" i="32"/>
  <c r="B63" i="33" s="1"/>
  <c r="AR65" i="32"/>
  <c r="AR64" i="32"/>
  <c r="B61" i="33" s="1"/>
  <c r="AR63" i="32"/>
  <c r="B60" i="33" s="1"/>
  <c r="AR62" i="32"/>
  <c r="B59" i="33" s="1"/>
  <c r="AR61" i="32"/>
  <c r="B58" i="33" s="1"/>
  <c r="AR60" i="32"/>
  <c r="AR59" i="32"/>
  <c r="AR58" i="32"/>
  <c r="B55" i="33" s="1"/>
  <c r="AR55" i="32"/>
  <c r="B52" i="33" s="1"/>
  <c r="AR54" i="32"/>
  <c r="B51" i="33" s="1"/>
  <c r="AR53" i="32"/>
  <c r="B50" i="33" s="1"/>
  <c r="AR52" i="32"/>
  <c r="B49" i="33" s="1"/>
  <c r="AR51" i="32"/>
  <c r="AR50" i="32"/>
  <c r="B47" i="33" s="1"/>
  <c r="AR49" i="32"/>
  <c r="B46" i="33" s="1"/>
  <c r="AR48" i="32"/>
  <c r="AR47" i="32"/>
  <c r="AR46" i="32"/>
  <c r="B43" i="33" s="1"/>
  <c r="AR45" i="32"/>
  <c r="B42" i="33" s="1"/>
  <c r="AR44" i="32"/>
  <c r="B41" i="33" s="1"/>
  <c r="AR40" i="32"/>
  <c r="AR39" i="32"/>
  <c r="B37" i="33" s="1"/>
  <c r="AR38" i="32"/>
  <c r="AR37" i="32"/>
  <c r="AR36" i="32"/>
  <c r="B34" i="33" s="1"/>
  <c r="AR35" i="32"/>
  <c r="B33" i="33" s="1"/>
  <c r="AR34" i="32"/>
  <c r="B32" i="33" s="1"/>
  <c r="AR33" i="32"/>
  <c r="AR32" i="32"/>
  <c r="B30" i="33" s="1"/>
  <c r="AR31" i="32"/>
  <c r="B29" i="33" s="1"/>
  <c r="AR30" i="32"/>
  <c r="AR29" i="32"/>
  <c r="B27" i="33" s="1"/>
  <c r="AR28" i="32"/>
  <c r="B26" i="33" s="1"/>
  <c r="AR24" i="32"/>
  <c r="B23" i="33" s="1"/>
  <c r="AR23" i="32"/>
  <c r="B22" i="33" s="1"/>
  <c r="AR22" i="32"/>
  <c r="B21" i="33" s="1"/>
  <c r="AR21" i="32"/>
  <c r="B20" i="33" s="1"/>
  <c r="AR20" i="32"/>
  <c r="B19" i="33" s="1"/>
  <c r="AR19" i="32"/>
  <c r="B18" i="33" s="1"/>
  <c r="AR18" i="32"/>
  <c r="B17" i="33" s="1"/>
  <c r="AR17" i="32"/>
  <c r="B16" i="33" s="1"/>
  <c r="AR16" i="32"/>
  <c r="B15" i="33" s="1"/>
  <c r="AR15" i="32"/>
  <c r="B14" i="33" s="1"/>
  <c r="AR14" i="32"/>
  <c r="B13" i="33" s="1"/>
  <c r="AR13" i="32"/>
  <c r="B12" i="33" s="1"/>
  <c r="AR12" i="32"/>
  <c r="B11" i="33" s="1"/>
  <c r="AR11" i="32"/>
  <c r="B10" i="33" s="1"/>
  <c r="AR10" i="32"/>
  <c r="B9" i="33" s="1"/>
  <c r="AR9" i="32"/>
  <c r="B8" i="33" s="1"/>
  <c r="AR6" i="32"/>
  <c r="AR5" i="32"/>
  <c r="IS56" i="32"/>
  <c r="IR56" i="32"/>
  <c r="IQ56" i="32"/>
  <c r="IP56" i="32"/>
  <c r="IO56" i="32"/>
  <c r="IS41" i="32"/>
  <c r="IS42" i="32" s="1"/>
  <c r="IR41" i="32"/>
  <c r="IR42" i="32" s="1"/>
  <c r="IQ41" i="32"/>
  <c r="IQ42" i="32" s="1"/>
  <c r="IP41" i="32"/>
  <c r="IP42" i="32" s="1"/>
  <c r="IO41" i="32"/>
  <c r="IO42" i="32" s="1"/>
  <c r="IS25" i="32"/>
  <c r="IS26" i="32" s="1"/>
  <c r="IR25" i="32"/>
  <c r="IR26" i="32" s="1"/>
  <c r="IQ25" i="32"/>
  <c r="IQ26" i="32" s="1"/>
  <c r="IP25" i="32"/>
  <c r="IP26" i="32" s="1"/>
  <c r="IO25" i="32"/>
  <c r="IO26" i="32" s="1"/>
  <c r="IS7" i="32"/>
  <c r="IR7" i="32"/>
  <c r="IQ7" i="32"/>
  <c r="IP7" i="32"/>
  <c r="IO7" i="32"/>
  <c r="HD56" i="32"/>
  <c r="HC56" i="32"/>
  <c r="HB56" i="32"/>
  <c r="HA56" i="32"/>
  <c r="GZ56" i="32"/>
  <c r="HD41" i="32"/>
  <c r="HD42" i="32" s="1"/>
  <c r="HC41" i="32"/>
  <c r="HC42" i="32" s="1"/>
  <c r="HB41" i="32"/>
  <c r="HB42" i="32" s="1"/>
  <c r="HA41" i="32"/>
  <c r="HA42" i="32" s="1"/>
  <c r="GZ41" i="32"/>
  <c r="GZ42" i="32" s="1"/>
  <c r="HD25" i="32"/>
  <c r="HD26" i="32" s="1"/>
  <c r="HC25" i="32"/>
  <c r="HC26" i="32" s="1"/>
  <c r="HB25" i="32"/>
  <c r="HB26" i="32" s="1"/>
  <c r="HA25" i="32"/>
  <c r="HA26" i="32" s="1"/>
  <c r="GZ25" i="32"/>
  <c r="GZ26" i="32" s="1"/>
  <c r="HD7" i="32"/>
  <c r="HC7" i="32"/>
  <c r="HB7" i="32"/>
  <c r="HA7" i="32"/>
  <c r="GZ7" i="32"/>
  <c r="FO56" i="32"/>
  <c r="FN56" i="32"/>
  <c r="FM56" i="32"/>
  <c r="FL56" i="32"/>
  <c r="FK56" i="32"/>
  <c r="FO41" i="32"/>
  <c r="FO42" i="32" s="1"/>
  <c r="FN41" i="32"/>
  <c r="FN42" i="32" s="1"/>
  <c r="FM41" i="32"/>
  <c r="FM42" i="32" s="1"/>
  <c r="FL41" i="32"/>
  <c r="FL42" i="32" s="1"/>
  <c r="FK41" i="32"/>
  <c r="FK42" i="32" s="1"/>
  <c r="FO25" i="32"/>
  <c r="FO26" i="32" s="1"/>
  <c r="FN25" i="32"/>
  <c r="FN26" i="32" s="1"/>
  <c r="FM25" i="32"/>
  <c r="FM26" i="32" s="1"/>
  <c r="FL25" i="32"/>
  <c r="FL26" i="32" s="1"/>
  <c r="FK25" i="32"/>
  <c r="FK26" i="32" s="1"/>
  <c r="FO7" i="32"/>
  <c r="FN7" i="32"/>
  <c r="FM7" i="32"/>
  <c r="FL7" i="32"/>
  <c r="FK7" i="32"/>
  <c r="DZ56" i="32"/>
  <c r="DY56" i="32"/>
  <c r="DX56" i="32"/>
  <c r="DW56" i="32"/>
  <c r="DV56" i="32"/>
  <c r="DZ41" i="32"/>
  <c r="DZ42" i="32" s="1"/>
  <c r="DY41" i="32"/>
  <c r="DY42" i="32" s="1"/>
  <c r="DX41" i="32"/>
  <c r="DX42" i="32" s="1"/>
  <c r="DW41" i="32"/>
  <c r="DW42" i="32" s="1"/>
  <c r="DV41" i="32"/>
  <c r="DV42" i="32" s="1"/>
  <c r="DZ25" i="32"/>
  <c r="DZ26" i="32" s="1"/>
  <c r="DY25" i="32"/>
  <c r="DY26" i="32" s="1"/>
  <c r="DX25" i="32"/>
  <c r="DX26" i="32" s="1"/>
  <c r="DW25" i="32"/>
  <c r="DW26" i="32" s="1"/>
  <c r="DV25" i="32"/>
  <c r="DV26" i="32" s="1"/>
  <c r="DZ7" i="32"/>
  <c r="DY7" i="32"/>
  <c r="DX7" i="32"/>
  <c r="DW7" i="32"/>
  <c r="DV7" i="32"/>
  <c r="CK56" i="32"/>
  <c r="CJ56" i="32"/>
  <c r="CI56" i="32"/>
  <c r="CH56" i="32"/>
  <c r="CG56" i="32"/>
  <c r="CK41" i="32"/>
  <c r="CK42" i="32" s="1"/>
  <c r="CJ41" i="32"/>
  <c r="CJ42" i="32" s="1"/>
  <c r="CI41" i="32"/>
  <c r="CI42" i="32" s="1"/>
  <c r="CH41" i="32"/>
  <c r="CH42" i="32" s="1"/>
  <c r="CG41" i="32"/>
  <c r="CG42" i="32" s="1"/>
  <c r="CK25" i="32"/>
  <c r="CK26" i="32" s="1"/>
  <c r="CJ25" i="32"/>
  <c r="CJ26" i="32" s="1"/>
  <c r="CI25" i="32"/>
  <c r="CI26" i="32" s="1"/>
  <c r="CH25" i="32"/>
  <c r="CH26" i="32" s="1"/>
  <c r="CG25" i="32"/>
  <c r="CG26" i="32" s="1"/>
  <c r="CK7" i="32"/>
  <c r="CJ7" i="32"/>
  <c r="CI7" i="32"/>
  <c r="CH7" i="32"/>
  <c r="CG7" i="32"/>
  <c r="F56" i="32"/>
  <c r="E56" i="32"/>
  <c r="D56" i="32"/>
  <c r="C56" i="32"/>
  <c r="B56" i="32"/>
  <c r="F41" i="32"/>
  <c r="F42" i="32" s="1"/>
  <c r="E41" i="32"/>
  <c r="E42" i="32" s="1"/>
  <c r="D41" i="32"/>
  <c r="D42" i="32" s="1"/>
  <c r="C41" i="32"/>
  <c r="C42" i="32" s="1"/>
  <c r="B41" i="32"/>
  <c r="B42" i="32" s="1"/>
  <c r="F25" i="32"/>
  <c r="F26" i="32" s="1"/>
  <c r="E25" i="32"/>
  <c r="E26" i="32" s="1"/>
  <c r="D25" i="32"/>
  <c r="D26" i="32" s="1"/>
  <c r="C25" i="32"/>
  <c r="C26" i="32" s="1"/>
  <c r="B25" i="32"/>
  <c r="B26" i="32" s="1"/>
  <c r="F7" i="32"/>
  <c r="E7" i="32"/>
  <c r="D7" i="32"/>
  <c r="C7" i="32"/>
  <c r="B7" i="32"/>
  <c r="FJ6" i="33" l="1"/>
  <c r="AR7" i="32"/>
  <c r="B6" i="33" s="1"/>
  <c r="AS56" i="32"/>
  <c r="C53" i="33" s="1"/>
  <c r="CF6" i="33"/>
  <c r="AQ53" i="33"/>
  <c r="DU53" i="33"/>
  <c r="GY53" i="33"/>
  <c r="DU6" i="33"/>
  <c r="GY6" i="33"/>
  <c r="AS24" i="33"/>
  <c r="FJ53" i="33"/>
  <c r="AR6" i="33"/>
  <c r="AU24" i="33"/>
  <c r="AS53" i="33"/>
  <c r="DV6" i="33"/>
  <c r="DY24" i="33"/>
  <c r="DW53" i="33"/>
  <c r="GZ6" i="33"/>
  <c r="HC24" i="33"/>
  <c r="HA53" i="33"/>
  <c r="AR56" i="32"/>
  <c r="B53" i="33" s="1"/>
  <c r="IN10" i="33"/>
  <c r="AT25" i="32"/>
  <c r="AT26" i="32" s="1"/>
  <c r="D24" i="33" s="1"/>
  <c r="IN47" i="33"/>
  <c r="AS6" i="33"/>
  <c r="AT53" i="33"/>
  <c r="DU39" i="33"/>
  <c r="HA6" i="33"/>
  <c r="GY39" i="33"/>
  <c r="HB53" i="33"/>
  <c r="CF53" i="33"/>
  <c r="AV41" i="32"/>
  <c r="AV42" i="32" s="1"/>
  <c r="F39" i="33" s="1"/>
  <c r="AQ39" i="33"/>
  <c r="DW6" i="33"/>
  <c r="DX53" i="33"/>
  <c r="AQ6" i="33"/>
  <c r="AU56" i="32"/>
  <c r="E53" i="33" s="1"/>
  <c r="AT41" i="32"/>
  <c r="AT42" i="32" s="1"/>
  <c r="D39" i="33" s="1"/>
  <c r="FJ24" i="33"/>
  <c r="F14" i="33"/>
  <c r="IR14" i="33" s="1"/>
  <c r="CJ39" i="33"/>
  <c r="FK24" i="33"/>
  <c r="FN39" i="33"/>
  <c r="B28" i="33"/>
  <c r="IN28" i="33" s="1"/>
  <c r="AS25" i="32"/>
  <c r="AS26" i="32" s="1"/>
  <c r="C24" i="33" s="1"/>
  <c r="D19" i="33"/>
  <c r="IP19" i="33" s="1"/>
  <c r="C8" i="33"/>
  <c r="IO8" i="33" s="1"/>
  <c r="AT6" i="33"/>
  <c r="CH24" i="33"/>
  <c r="DX6" i="33"/>
  <c r="DV39" i="33"/>
  <c r="DY53" i="33"/>
  <c r="FL24" i="33"/>
  <c r="HB6" i="33"/>
  <c r="GZ39" i="33"/>
  <c r="HC53" i="33"/>
  <c r="C36" i="33"/>
  <c r="IO36" i="33" s="1"/>
  <c r="E34" i="33"/>
  <c r="IQ34" i="33" s="1"/>
  <c r="D31" i="33"/>
  <c r="IP31" i="33" s="1"/>
  <c r="F29" i="33"/>
  <c r="IR29" i="33" s="1"/>
  <c r="C28" i="33"/>
  <c r="IO28" i="33" s="1"/>
  <c r="D22" i="33"/>
  <c r="IP22" i="33" s="1"/>
  <c r="F20" i="33"/>
  <c r="IR20" i="33" s="1"/>
  <c r="C11" i="33"/>
  <c r="IO11" i="33" s="1"/>
  <c r="E9" i="33"/>
  <c r="IQ9" i="33" s="1"/>
  <c r="B5" i="32"/>
  <c r="AU6" i="33"/>
  <c r="AS39" i="33"/>
  <c r="CI24" i="33"/>
  <c r="CG53" i="33"/>
  <c r="DY6" i="33"/>
  <c r="DW39" i="33"/>
  <c r="FM24" i="33"/>
  <c r="FK53" i="33"/>
  <c r="HC6" i="33"/>
  <c r="HA39" i="33"/>
  <c r="IN13" i="33"/>
  <c r="B38" i="33"/>
  <c r="IN38" i="33" s="1"/>
  <c r="B56" i="33"/>
  <c r="IN56" i="33" s="1"/>
  <c r="AS41" i="32"/>
  <c r="D34" i="33"/>
  <c r="IP34" i="33" s="1"/>
  <c r="C31" i="33"/>
  <c r="IO31" i="33" s="1"/>
  <c r="E29" i="33"/>
  <c r="IQ29" i="33" s="1"/>
  <c r="AV7" i="32"/>
  <c r="F6" i="33" s="1"/>
  <c r="CF24" i="33"/>
  <c r="FM39" i="33"/>
  <c r="B44" i="33"/>
  <c r="IN44" i="33" s="1"/>
  <c r="D33" i="33"/>
  <c r="IP33" i="33" s="1"/>
  <c r="IN11" i="33"/>
  <c r="B36" i="33"/>
  <c r="IN36" i="33" s="1"/>
  <c r="B62" i="33"/>
  <c r="IN62" i="33" s="1"/>
  <c r="F34" i="33"/>
  <c r="IR34" i="33" s="1"/>
  <c r="D28" i="33"/>
  <c r="IP28" i="33" s="1"/>
  <c r="F17" i="33"/>
  <c r="IR17" i="33" s="1"/>
  <c r="E14" i="33"/>
  <c r="IQ14" i="33" s="1"/>
  <c r="D11" i="33"/>
  <c r="IP11" i="33" s="1"/>
  <c r="AR39" i="33"/>
  <c r="AU53" i="33"/>
  <c r="C5" i="32"/>
  <c r="C5" i="33" s="1"/>
  <c r="AQ24" i="33"/>
  <c r="AT39" i="33"/>
  <c r="CG6" i="33"/>
  <c r="CJ24" i="33"/>
  <c r="CH53" i="33"/>
  <c r="DU24" i="33"/>
  <c r="DX39" i="33"/>
  <c r="FK6" i="33"/>
  <c r="FN24" i="33"/>
  <c r="FL53" i="33"/>
  <c r="GY24" i="33"/>
  <c r="HB39" i="33"/>
  <c r="IN14" i="33"/>
  <c r="IN22" i="33"/>
  <c r="B31" i="33"/>
  <c r="IN31" i="33" s="1"/>
  <c r="AR41" i="32"/>
  <c r="B48" i="33"/>
  <c r="IN48" i="33" s="1"/>
  <c r="B57" i="33"/>
  <c r="IN57" i="33" s="1"/>
  <c r="D37" i="33"/>
  <c r="IP37" i="33" s="1"/>
  <c r="F35" i="33"/>
  <c r="IR35" i="33" s="1"/>
  <c r="C34" i="33"/>
  <c r="IO34" i="33" s="1"/>
  <c r="E32" i="33"/>
  <c r="IQ32" i="33" s="1"/>
  <c r="D29" i="33"/>
  <c r="IP29" i="33" s="1"/>
  <c r="F27" i="33"/>
  <c r="IR27" i="33" s="1"/>
  <c r="C26" i="33"/>
  <c r="IO26" i="33" s="1"/>
  <c r="E23" i="33"/>
  <c r="IQ23" i="33" s="1"/>
  <c r="D20" i="33"/>
  <c r="IP20" i="33" s="1"/>
  <c r="F18" i="33"/>
  <c r="IR18" i="33" s="1"/>
  <c r="C17" i="33"/>
  <c r="IO17" i="33" s="1"/>
  <c r="E15" i="33"/>
  <c r="IQ15" i="33" s="1"/>
  <c r="D12" i="33"/>
  <c r="IP12" i="33" s="1"/>
  <c r="F10" i="33"/>
  <c r="IR10" i="33" s="1"/>
  <c r="C9" i="33"/>
  <c r="IO9" i="33" s="1"/>
  <c r="AU7" i="32"/>
  <c r="AR24" i="33"/>
  <c r="AU39" i="33"/>
  <c r="CH6" i="33"/>
  <c r="CF39" i="33"/>
  <c r="CI53" i="33"/>
  <c r="DV24" i="33"/>
  <c r="DY39" i="33"/>
  <c r="FL6" i="33"/>
  <c r="FJ39" i="33"/>
  <c r="FM53" i="33"/>
  <c r="GZ24" i="33"/>
  <c r="HC39" i="33"/>
  <c r="AW26" i="32"/>
  <c r="G24" i="33" s="1"/>
  <c r="AT7" i="32"/>
  <c r="D6" i="33" s="1"/>
  <c r="CI39" i="33"/>
  <c r="B35" i="33"/>
  <c r="IN35" i="33" s="1"/>
  <c r="E28" i="33"/>
  <c r="IQ28" i="33" s="1"/>
  <c r="E19" i="33"/>
  <c r="IQ19" i="33" s="1"/>
  <c r="D8" i="33"/>
  <c r="IP8" i="33" s="1"/>
  <c r="CG24" i="33"/>
  <c r="IN19" i="33"/>
  <c r="B45" i="33"/>
  <c r="IN45" i="33" s="1"/>
  <c r="AT56" i="32"/>
  <c r="D53" i="33" s="1"/>
  <c r="AU41" i="32"/>
  <c r="D36" i="33"/>
  <c r="IP36" i="33" s="1"/>
  <c r="C33" i="33"/>
  <c r="IO33" i="33" s="1"/>
  <c r="E31" i="33"/>
  <c r="IQ31" i="33" s="1"/>
  <c r="F26" i="33"/>
  <c r="IR26" i="33" s="1"/>
  <c r="E22" i="33"/>
  <c r="IQ22" i="33" s="1"/>
  <c r="C16" i="33"/>
  <c r="IO16" i="33" s="1"/>
  <c r="F9" i="33"/>
  <c r="IR9" i="33" s="1"/>
  <c r="CI6" i="33"/>
  <c r="CG39" i="33"/>
  <c r="CJ53" i="33"/>
  <c r="DW24" i="33"/>
  <c r="FM6" i="33"/>
  <c r="FK39" i="33"/>
  <c r="FN53" i="33"/>
  <c r="HA24" i="33"/>
  <c r="AR25" i="32"/>
  <c r="AV25" i="32"/>
  <c r="AV26" i="32" s="1"/>
  <c r="F24" i="33" s="1"/>
  <c r="AS7" i="32"/>
  <c r="C6" i="33" s="1"/>
  <c r="AT24" i="33"/>
  <c r="AR53" i="33"/>
  <c r="CJ6" i="33"/>
  <c r="CH39" i="33"/>
  <c r="DX24" i="33"/>
  <c r="DV53" i="33"/>
  <c r="FN6" i="33"/>
  <c r="FL39" i="33"/>
  <c r="HB24" i="33"/>
  <c r="GZ53" i="33"/>
  <c r="AV56" i="32"/>
  <c r="F53" i="33" s="1"/>
  <c r="AW42" i="32"/>
  <c r="G39" i="33" s="1"/>
  <c r="AU25" i="32"/>
  <c r="AU26" i="32" s="1"/>
  <c r="E24" i="33" s="1"/>
  <c r="IR64" i="33"/>
  <c r="IO58" i="33"/>
  <c r="IR42" i="33"/>
  <c r="IN20" i="33"/>
  <c r="IN63" i="33"/>
  <c r="IO44" i="33"/>
  <c r="IR22" i="33"/>
  <c r="IN15" i="33"/>
  <c r="IN23" i="33"/>
  <c r="IN32" i="33"/>
  <c r="IN41" i="33"/>
  <c r="IN49" i="33"/>
  <c r="IN58" i="33"/>
  <c r="IR38" i="33"/>
  <c r="IO37" i="33"/>
  <c r="IQ35" i="33"/>
  <c r="IP32" i="33"/>
  <c r="IQ27" i="33"/>
  <c r="IN64" i="33"/>
  <c r="IP56" i="33"/>
  <c r="IR45" i="33"/>
  <c r="IQ36" i="33"/>
  <c r="IN30" i="33"/>
  <c r="IP48" i="33"/>
  <c r="IO63" i="33"/>
  <c r="IN12" i="33"/>
  <c r="IN37" i="33"/>
  <c r="IN55" i="33"/>
  <c r="IR30" i="33"/>
  <c r="IP64" i="33"/>
  <c r="IP47" i="33"/>
  <c r="IO29" i="33"/>
  <c r="IN21" i="33"/>
  <c r="IQ63" i="33"/>
  <c r="IQ46" i="33"/>
  <c r="IQ37" i="33"/>
  <c r="IP61" i="33"/>
  <c r="IR59" i="33"/>
  <c r="IO49" i="33"/>
  <c r="IQ47" i="33"/>
  <c r="IN29" i="33"/>
  <c r="IN46" i="33"/>
  <c r="IR36" i="33"/>
  <c r="IO35" i="33"/>
  <c r="IQ33" i="33"/>
  <c r="IP30" i="33"/>
  <c r="IP21" i="33"/>
  <c r="IR19" i="33"/>
  <c r="IO18" i="33"/>
  <c r="IQ16" i="33"/>
  <c r="IP13" i="33"/>
  <c r="IR11" i="33"/>
  <c r="IO10" i="33"/>
  <c r="IQ8" i="33"/>
  <c r="IP41" i="33"/>
  <c r="IR28" i="33"/>
  <c r="IN61" i="33"/>
  <c r="IO38" i="33"/>
  <c r="IN27" i="33"/>
  <c r="IN18" i="33"/>
  <c r="IO13" i="33"/>
  <c r="IQ64" i="33"/>
  <c r="IQ56" i="33"/>
  <c r="IP52" i="33"/>
  <c r="IR50" i="33"/>
  <c r="IP44" i="33"/>
  <c r="IO41" i="33"/>
  <c r="IQ38" i="33"/>
  <c r="IP35" i="33"/>
  <c r="IR33" i="33"/>
  <c r="IO32" i="33"/>
  <c r="IQ30" i="33"/>
  <c r="IP27" i="33"/>
  <c r="IR23" i="33"/>
  <c r="IO22" i="33"/>
  <c r="IQ20" i="33"/>
  <c r="IP17" i="33"/>
  <c r="IR15" i="33"/>
  <c r="IO14" i="33"/>
  <c r="IQ12" i="33"/>
  <c r="IP9" i="33"/>
  <c r="IQ62" i="33"/>
  <c r="IR60" i="33"/>
  <c r="IR56" i="33"/>
  <c r="IO55" i="33"/>
  <c r="IP50" i="33"/>
  <c r="IQ44" i="33"/>
  <c r="IO64" i="33"/>
  <c r="IO30" i="33"/>
  <c r="IR21" i="33"/>
  <c r="IP15" i="33"/>
  <c r="IR13" i="33"/>
  <c r="IR47" i="33"/>
  <c r="IP42" i="33"/>
  <c r="IN8" i="33"/>
  <c r="IN16" i="33"/>
  <c r="AR26" i="32"/>
  <c r="B24" i="33" s="1"/>
  <c r="IN33" i="33"/>
  <c r="IN42" i="33"/>
  <c r="IN50" i="33"/>
  <c r="IN59" i="33"/>
  <c r="IO23" i="33"/>
  <c r="IQ21" i="33"/>
  <c r="IP18" i="33"/>
  <c r="IR16" i="33"/>
  <c r="IO15" i="33"/>
  <c r="IQ13" i="33"/>
  <c r="IP10" i="33"/>
  <c r="IR8" i="33"/>
  <c r="IQ5" i="33"/>
  <c r="IR61" i="33"/>
  <c r="IO60" i="33"/>
  <c r="IO56" i="33"/>
  <c r="IQ49" i="33"/>
  <c r="IO42" i="33"/>
  <c r="IO21" i="33"/>
  <c r="IP23" i="33"/>
  <c r="IQ18" i="33"/>
  <c r="IO12" i="33"/>
  <c r="IR31" i="33"/>
  <c r="IQ11" i="33"/>
  <c r="IN17" i="33"/>
  <c r="IN34" i="33"/>
  <c r="IN51" i="33"/>
  <c r="IN60" i="33"/>
  <c r="IQ61" i="33"/>
  <c r="IR57" i="33"/>
  <c r="IP49" i="33"/>
  <c r="IQ45" i="33"/>
  <c r="IR43" i="33"/>
  <c r="IN52" i="33"/>
  <c r="IO20" i="33"/>
  <c r="IQ10" i="33"/>
  <c r="IR5" i="33"/>
  <c r="IP58" i="33"/>
  <c r="IO46" i="33"/>
  <c r="IP16" i="33"/>
  <c r="IN9" i="33"/>
  <c r="IN26" i="33"/>
  <c r="IN43" i="33"/>
  <c r="IP63" i="33"/>
  <c r="IQ57" i="33"/>
  <c r="IR52" i="33"/>
  <c r="IO51" i="33"/>
  <c r="IO47" i="33"/>
  <c r="IP45" i="33"/>
  <c r="IQ41" i="33"/>
  <c r="IN6" i="33" l="1"/>
  <c r="IR24" i="33"/>
  <c r="IN53" i="33"/>
  <c r="IO53" i="33"/>
  <c r="IR53" i="33"/>
  <c r="IP53" i="33"/>
  <c r="IR39" i="33"/>
  <c r="IN24" i="33"/>
  <c r="IO6" i="33"/>
  <c r="IP39" i="33"/>
  <c r="IQ53" i="33"/>
  <c r="IQ24" i="33"/>
  <c r="IP24" i="33"/>
  <c r="IO24" i="33"/>
  <c r="IR6" i="33"/>
  <c r="IP6" i="33"/>
  <c r="AR42" i="32"/>
  <c r="B39" i="33" s="1"/>
  <c r="IN39" i="33" s="1"/>
  <c r="GZ5" i="33"/>
  <c r="AR5" i="33"/>
  <c r="FK5" i="33"/>
  <c r="DV5" i="33"/>
  <c r="CG5" i="33"/>
  <c r="AS42" i="32"/>
  <c r="C39" i="33" s="1"/>
  <c r="IO39" i="33" s="1"/>
  <c r="CF5" i="33"/>
  <c r="DU5" i="33"/>
  <c r="FJ5" i="33"/>
  <c r="GY5" i="33"/>
  <c r="AQ5" i="33"/>
  <c r="E6" i="33"/>
  <c r="IQ6" i="33" s="1"/>
  <c r="AU42" i="32"/>
  <c r="E39" i="33" s="1"/>
  <c r="IQ39" i="33" s="1"/>
  <c r="B5" i="33"/>
  <c r="AL64" i="33"/>
  <c r="AK64" i="33"/>
  <c r="AJ64" i="33"/>
  <c r="AI64" i="33"/>
  <c r="AG64" i="33"/>
  <c r="AF64" i="33"/>
  <c r="AE64" i="33"/>
  <c r="AD64" i="33"/>
  <c r="AC64" i="33"/>
  <c r="AB64" i="33"/>
  <c r="Y64" i="33"/>
  <c r="X64" i="33"/>
  <c r="W64" i="33"/>
  <c r="BL67" i="32"/>
  <c r="V64" i="33" s="1"/>
  <c r="BK67" i="32"/>
  <c r="U64" i="33" s="1"/>
  <c r="BJ67" i="32"/>
  <c r="T64" i="33" s="1"/>
  <c r="BI67" i="32"/>
  <c r="BH67" i="32"/>
  <c r="BG67" i="32"/>
  <c r="Q64" i="33" s="1"/>
  <c r="BF67" i="32"/>
  <c r="P64" i="33" s="1"/>
  <c r="BE67" i="32"/>
  <c r="O64" i="33" s="1"/>
  <c r="BD67" i="32"/>
  <c r="N64" i="33" s="1"/>
  <c r="BC67" i="32"/>
  <c r="M64" i="33" s="1"/>
  <c r="BB67" i="32"/>
  <c r="L64" i="33" s="1"/>
  <c r="BA67" i="32"/>
  <c r="AZ67" i="32"/>
  <c r="AY67" i="32"/>
  <c r="I64" i="33" s="1"/>
  <c r="AX67" i="32"/>
  <c r="H64" i="33" s="1"/>
  <c r="CB66" i="32"/>
  <c r="AL63" i="33" s="1"/>
  <c r="CA66" i="32"/>
  <c r="AK63" i="33" s="1"/>
  <c r="BZ66" i="32"/>
  <c r="AJ63" i="33" s="1"/>
  <c r="BY66" i="32"/>
  <c r="AI63" i="33" s="1"/>
  <c r="BX66" i="32"/>
  <c r="BW66" i="32"/>
  <c r="BV66" i="32"/>
  <c r="AF63" i="33" s="1"/>
  <c r="BU66" i="32"/>
  <c r="AE63" i="33" s="1"/>
  <c r="BT66" i="32"/>
  <c r="AD63" i="33" s="1"/>
  <c r="BS66" i="32"/>
  <c r="AC63" i="33" s="1"/>
  <c r="BR66" i="32"/>
  <c r="AB63" i="33" s="1"/>
  <c r="BQ66" i="32"/>
  <c r="AA63" i="33" s="1"/>
  <c r="BP66" i="32"/>
  <c r="BO66" i="32"/>
  <c r="BN66" i="32"/>
  <c r="X63" i="33" s="1"/>
  <c r="BM66" i="32"/>
  <c r="W63" i="33" s="1"/>
  <c r="BL66" i="32"/>
  <c r="V63" i="33" s="1"/>
  <c r="BK66" i="32"/>
  <c r="U63" i="33" s="1"/>
  <c r="BJ66" i="32"/>
  <c r="T63" i="33" s="1"/>
  <c r="BI66" i="32"/>
  <c r="S63" i="33" s="1"/>
  <c r="BH66" i="32"/>
  <c r="BG66" i="32"/>
  <c r="BF66" i="32"/>
  <c r="P63" i="33" s="1"/>
  <c r="BE66" i="32"/>
  <c r="O63" i="33" s="1"/>
  <c r="BD66" i="32"/>
  <c r="N63" i="33" s="1"/>
  <c r="BC66" i="32"/>
  <c r="M63" i="33" s="1"/>
  <c r="BB66" i="32"/>
  <c r="L63" i="33" s="1"/>
  <c r="BA66" i="32"/>
  <c r="K63" i="33" s="1"/>
  <c r="AZ66" i="32"/>
  <c r="AY66" i="32"/>
  <c r="AX66" i="32"/>
  <c r="H63" i="33" s="1"/>
  <c r="CB65" i="32"/>
  <c r="AL62" i="33" s="1"/>
  <c r="CA65" i="32"/>
  <c r="AK62" i="33" s="1"/>
  <c r="BZ65" i="32"/>
  <c r="AJ62" i="33" s="1"/>
  <c r="BY65" i="32"/>
  <c r="AI62" i="33" s="1"/>
  <c r="BX65" i="32"/>
  <c r="AH62" i="33" s="1"/>
  <c r="BW65" i="32"/>
  <c r="BV65" i="32"/>
  <c r="BU65" i="32"/>
  <c r="AE62" i="33" s="1"/>
  <c r="BT65" i="32"/>
  <c r="AD62" i="33" s="1"/>
  <c r="BS65" i="32"/>
  <c r="AC62" i="33" s="1"/>
  <c r="BR65" i="32"/>
  <c r="AB62" i="33" s="1"/>
  <c r="BQ65" i="32"/>
  <c r="AA62" i="33" s="1"/>
  <c r="BP65" i="32"/>
  <c r="Z62" i="33" s="1"/>
  <c r="BO65" i="32"/>
  <c r="BN65" i="32"/>
  <c r="BM65" i="32"/>
  <c r="W62" i="33" s="1"/>
  <c r="BL65" i="32"/>
  <c r="V62" i="33" s="1"/>
  <c r="BK65" i="32"/>
  <c r="U62" i="33" s="1"/>
  <c r="BJ65" i="32"/>
  <c r="T62" i="33" s="1"/>
  <c r="BI65" i="32"/>
  <c r="S62" i="33" s="1"/>
  <c r="BH65" i="32"/>
  <c r="R62" i="33" s="1"/>
  <c r="BG65" i="32"/>
  <c r="BF65" i="32"/>
  <c r="BE65" i="32"/>
  <c r="O62" i="33" s="1"/>
  <c r="BD65" i="32"/>
  <c r="N62" i="33" s="1"/>
  <c r="BC65" i="32"/>
  <c r="M62" i="33" s="1"/>
  <c r="BB65" i="32"/>
  <c r="L62" i="33" s="1"/>
  <c r="BA65" i="32"/>
  <c r="K62" i="33" s="1"/>
  <c r="AZ65" i="32"/>
  <c r="J62" i="33" s="1"/>
  <c r="AY65" i="32"/>
  <c r="AX65" i="32"/>
  <c r="CB64" i="32"/>
  <c r="AL61" i="33" s="1"/>
  <c r="CA64" i="32"/>
  <c r="AK61" i="33" s="1"/>
  <c r="BZ64" i="32"/>
  <c r="AJ61" i="33" s="1"/>
  <c r="BY64" i="32"/>
  <c r="AI61" i="33" s="1"/>
  <c r="BX64" i="32"/>
  <c r="AH61" i="33" s="1"/>
  <c r="BW64" i="32"/>
  <c r="AG61" i="33" s="1"/>
  <c r="BV64" i="32"/>
  <c r="BU64" i="32"/>
  <c r="BT64" i="32"/>
  <c r="AD61" i="33" s="1"/>
  <c r="BS64" i="32"/>
  <c r="AC61" i="33" s="1"/>
  <c r="BR64" i="32"/>
  <c r="AB61" i="33" s="1"/>
  <c r="BQ64" i="32"/>
  <c r="AA61" i="33" s="1"/>
  <c r="BP64" i="32"/>
  <c r="Z61" i="33" s="1"/>
  <c r="BO64" i="32"/>
  <c r="Y61" i="33" s="1"/>
  <c r="BN64" i="32"/>
  <c r="BM64" i="32"/>
  <c r="BL64" i="32"/>
  <c r="V61" i="33" s="1"/>
  <c r="BK64" i="32"/>
  <c r="U61" i="33" s="1"/>
  <c r="BJ64" i="32"/>
  <c r="T61" i="33" s="1"/>
  <c r="BI64" i="32"/>
  <c r="S61" i="33" s="1"/>
  <c r="BH64" i="32"/>
  <c r="R61" i="33" s="1"/>
  <c r="BG64" i="32"/>
  <c r="Q61" i="33" s="1"/>
  <c r="BF64" i="32"/>
  <c r="BE64" i="32"/>
  <c r="BD64" i="32"/>
  <c r="N61" i="33" s="1"/>
  <c r="BC64" i="32"/>
  <c r="M61" i="33" s="1"/>
  <c r="BB64" i="32"/>
  <c r="L61" i="33" s="1"/>
  <c r="BA64" i="32"/>
  <c r="K61" i="33" s="1"/>
  <c r="AZ64" i="32"/>
  <c r="J61" i="33" s="1"/>
  <c r="AY64" i="32"/>
  <c r="I61" i="33" s="1"/>
  <c r="AX64" i="32"/>
  <c r="CB63" i="32"/>
  <c r="CA63" i="32"/>
  <c r="AK60" i="33" s="1"/>
  <c r="BZ63" i="32"/>
  <c r="AJ60" i="33" s="1"/>
  <c r="BY63" i="32"/>
  <c r="AI60" i="33" s="1"/>
  <c r="BX63" i="32"/>
  <c r="AH60" i="33" s="1"/>
  <c r="BW63" i="32"/>
  <c r="AG60" i="33" s="1"/>
  <c r="BV63" i="32"/>
  <c r="AF60" i="33" s="1"/>
  <c r="BU63" i="32"/>
  <c r="BT63" i="32"/>
  <c r="BS63" i="32"/>
  <c r="AC60" i="33" s="1"/>
  <c r="BR63" i="32"/>
  <c r="AB60" i="33" s="1"/>
  <c r="BQ63" i="32"/>
  <c r="AA60" i="33" s="1"/>
  <c r="BP63" i="32"/>
  <c r="Z60" i="33" s="1"/>
  <c r="BO63" i="32"/>
  <c r="Y60" i="33" s="1"/>
  <c r="BN63" i="32"/>
  <c r="X60" i="33" s="1"/>
  <c r="BM63" i="32"/>
  <c r="BL63" i="32"/>
  <c r="BK63" i="32"/>
  <c r="U60" i="33" s="1"/>
  <c r="BJ63" i="32"/>
  <c r="T60" i="33" s="1"/>
  <c r="BI63" i="32"/>
  <c r="S60" i="33" s="1"/>
  <c r="BH63" i="32"/>
  <c r="R60" i="33" s="1"/>
  <c r="BG63" i="32"/>
  <c r="Q60" i="33" s="1"/>
  <c r="BF63" i="32"/>
  <c r="P60" i="33" s="1"/>
  <c r="BE63" i="32"/>
  <c r="BD63" i="32"/>
  <c r="BC63" i="32"/>
  <c r="M60" i="33" s="1"/>
  <c r="BB63" i="32"/>
  <c r="L60" i="33" s="1"/>
  <c r="BA63" i="32"/>
  <c r="K60" i="33" s="1"/>
  <c r="AZ63" i="32"/>
  <c r="J60" i="33" s="1"/>
  <c r="AY63" i="32"/>
  <c r="I60" i="33" s="1"/>
  <c r="AX63" i="32"/>
  <c r="H60" i="33" s="1"/>
  <c r="CB62" i="32"/>
  <c r="CA62" i="32"/>
  <c r="BZ62" i="32"/>
  <c r="AJ59" i="33" s="1"/>
  <c r="BY62" i="32"/>
  <c r="AI59" i="33" s="1"/>
  <c r="BX62" i="32"/>
  <c r="AH59" i="33" s="1"/>
  <c r="BW62" i="32"/>
  <c r="AG59" i="33" s="1"/>
  <c r="BV62" i="32"/>
  <c r="AF59" i="33" s="1"/>
  <c r="BU62" i="32"/>
  <c r="AE59" i="33" s="1"/>
  <c r="BT62" i="32"/>
  <c r="BS62" i="32"/>
  <c r="BR62" i="32"/>
  <c r="AB59" i="33" s="1"/>
  <c r="BQ62" i="32"/>
  <c r="AA59" i="33" s="1"/>
  <c r="BP62" i="32"/>
  <c r="Z59" i="33" s="1"/>
  <c r="BO62" i="32"/>
  <c r="Y59" i="33" s="1"/>
  <c r="BN62" i="32"/>
  <c r="X59" i="33" s="1"/>
  <c r="BM62" i="32"/>
  <c r="W59" i="33" s="1"/>
  <c r="BL62" i="32"/>
  <c r="BK62" i="32"/>
  <c r="BJ62" i="32"/>
  <c r="T59" i="33" s="1"/>
  <c r="BI62" i="32"/>
  <c r="S59" i="33" s="1"/>
  <c r="BH62" i="32"/>
  <c r="R59" i="33" s="1"/>
  <c r="BG62" i="32"/>
  <c r="Q59" i="33" s="1"/>
  <c r="BF62" i="32"/>
  <c r="P59" i="33" s="1"/>
  <c r="BE62" i="32"/>
  <c r="O59" i="33" s="1"/>
  <c r="BD62" i="32"/>
  <c r="BC62" i="32"/>
  <c r="BB62" i="32"/>
  <c r="L59" i="33" s="1"/>
  <c r="BA62" i="32"/>
  <c r="K59" i="33" s="1"/>
  <c r="AZ62" i="32"/>
  <c r="J59" i="33" s="1"/>
  <c r="AY62" i="32"/>
  <c r="I59" i="33" s="1"/>
  <c r="AX62" i="32"/>
  <c r="H59" i="33" s="1"/>
  <c r="CB61" i="32"/>
  <c r="AL58" i="33" s="1"/>
  <c r="CA61" i="32"/>
  <c r="BZ61" i="32"/>
  <c r="BY61" i="32"/>
  <c r="AI58" i="33" s="1"/>
  <c r="BX61" i="32"/>
  <c r="AH58" i="33" s="1"/>
  <c r="BW61" i="32"/>
  <c r="AG58" i="33" s="1"/>
  <c r="BV61" i="32"/>
  <c r="AF58" i="33" s="1"/>
  <c r="BU61" i="32"/>
  <c r="AE58" i="33" s="1"/>
  <c r="BT61" i="32"/>
  <c r="AD58" i="33" s="1"/>
  <c r="BS61" i="32"/>
  <c r="BR61" i="32"/>
  <c r="BQ61" i="32"/>
  <c r="AA58" i="33" s="1"/>
  <c r="BP61" i="32"/>
  <c r="Z58" i="33" s="1"/>
  <c r="BO61" i="32"/>
  <c r="Y58" i="33" s="1"/>
  <c r="BN61" i="32"/>
  <c r="X58" i="33" s="1"/>
  <c r="BM61" i="32"/>
  <c r="W58" i="33" s="1"/>
  <c r="BL61" i="32"/>
  <c r="V58" i="33" s="1"/>
  <c r="BK61" i="32"/>
  <c r="BJ61" i="32"/>
  <c r="BI61" i="32"/>
  <c r="S58" i="33" s="1"/>
  <c r="BH61" i="32"/>
  <c r="R58" i="33" s="1"/>
  <c r="BG61" i="32"/>
  <c r="Q58" i="33" s="1"/>
  <c r="BF61" i="32"/>
  <c r="P58" i="33" s="1"/>
  <c r="BE61" i="32"/>
  <c r="O58" i="33" s="1"/>
  <c r="BD61" i="32"/>
  <c r="N58" i="33" s="1"/>
  <c r="BC61" i="32"/>
  <c r="BB61" i="32"/>
  <c r="BA61" i="32"/>
  <c r="K58" i="33" s="1"/>
  <c r="AZ61" i="32"/>
  <c r="J58" i="33" s="1"/>
  <c r="AY61" i="32"/>
  <c r="I58" i="33" s="1"/>
  <c r="AX61" i="32"/>
  <c r="H58" i="33" s="1"/>
  <c r="CB60" i="32"/>
  <c r="AL57" i="33" s="1"/>
  <c r="CA60" i="32"/>
  <c r="AK57" i="33" s="1"/>
  <c r="BZ60" i="32"/>
  <c r="BY60" i="32"/>
  <c r="BX60" i="32"/>
  <c r="AH57" i="33" s="1"/>
  <c r="BW60" i="32"/>
  <c r="AG57" i="33" s="1"/>
  <c r="BV60" i="32"/>
  <c r="AF57" i="33" s="1"/>
  <c r="BU60" i="32"/>
  <c r="AE57" i="33" s="1"/>
  <c r="BT60" i="32"/>
  <c r="AD57" i="33" s="1"/>
  <c r="BS60" i="32"/>
  <c r="AC57" i="33" s="1"/>
  <c r="BR60" i="32"/>
  <c r="BQ60" i="32"/>
  <c r="BP60" i="32"/>
  <c r="Z57" i="33" s="1"/>
  <c r="BO60" i="32"/>
  <c r="Y57" i="33" s="1"/>
  <c r="BN60" i="32"/>
  <c r="X57" i="33" s="1"/>
  <c r="BM60" i="32"/>
  <c r="W57" i="33" s="1"/>
  <c r="BL60" i="32"/>
  <c r="V57" i="33" s="1"/>
  <c r="BK60" i="32"/>
  <c r="U57" i="33" s="1"/>
  <c r="BJ60" i="32"/>
  <c r="BI60" i="32"/>
  <c r="BH60" i="32"/>
  <c r="R57" i="33" s="1"/>
  <c r="BG60" i="32"/>
  <c r="Q57" i="33" s="1"/>
  <c r="BF60" i="32"/>
  <c r="P57" i="33" s="1"/>
  <c r="BE60" i="32"/>
  <c r="O57" i="33" s="1"/>
  <c r="BD60" i="32"/>
  <c r="N57" i="33" s="1"/>
  <c r="BC60" i="32"/>
  <c r="M57" i="33" s="1"/>
  <c r="BB60" i="32"/>
  <c r="BA60" i="32"/>
  <c r="AZ60" i="32"/>
  <c r="J57" i="33" s="1"/>
  <c r="AY60" i="32"/>
  <c r="I57" i="33" s="1"/>
  <c r="AX60" i="32"/>
  <c r="H57" i="33" s="1"/>
  <c r="CB59" i="32"/>
  <c r="AL56" i="33" s="1"/>
  <c r="CA59" i="32"/>
  <c r="AK56" i="33" s="1"/>
  <c r="BZ59" i="32"/>
  <c r="AJ56" i="33" s="1"/>
  <c r="BY59" i="32"/>
  <c r="BX59" i="32"/>
  <c r="BW59" i="32"/>
  <c r="AG56" i="33" s="1"/>
  <c r="BV59" i="32"/>
  <c r="AF56" i="33" s="1"/>
  <c r="BU59" i="32"/>
  <c r="AE56" i="33" s="1"/>
  <c r="BT59" i="32"/>
  <c r="AD56" i="33" s="1"/>
  <c r="BS59" i="32"/>
  <c r="AC56" i="33" s="1"/>
  <c r="BR59" i="32"/>
  <c r="AB56" i="33" s="1"/>
  <c r="BQ59" i="32"/>
  <c r="BP59" i="32"/>
  <c r="BO59" i="32"/>
  <c r="Y56" i="33" s="1"/>
  <c r="BN59" i="32"/>
  <c r="X56" i="33" s="1"/>
  <c r="BM59" i="32"/>
  <c r="W56" i="33" s="1"/>
  <c r="BL59" i="32"/>
  <c r="V56" i="33" s="1"/>
  <c r="BK59" i="32"/>
  <c r="U56" i="33" s="1"/>
  <c r="BJ59" i="32"/>
  <c r="T56" i="33" s="1"/>
  <c r="BI59" i="32"/>
  <c r="BH59" i="32"/>
  <c r="BG59" i="32"/>
  <c r="Q56" i="33" s="1"/>
  <c r="BF59" i="32"/>
  <c r="P56" i="33" s="1"/>
  <c r="BE59" i="32"/>
  <c r="O56" i="33" s="1"/>
  <c r="BD59" i="32"/>
  <c r="N56" i="33" s="1"/>
  <c r="BC59" i="32"/>
  <c r="M56" i="33" s="1"/>
  <c r="BB59" i="32"/>
  <c r="L56" i="33" s="1"/>
  <c r="BA59" i="32"/>
  <c r="AZ59" i="32"/>
  <c r="AY59" i="32"/>
  <c r="I56" i="33" s="1"/>
  <c r="AX59" i="32"/>
  <c r="H56" i="33" s="1"/>
  <c r="CB58" i="32"/>
  <c r="AL55" i="33" s="1"/>
  <c r="CA58" i="32"/>
  <c r="AK55" i="33" s="1"/>
  <c r="BZ58" i="32"/>
  <c r="AJ55" i="33" s="1"/>
  <c r="BY58" i="32"/>
  <c r="AI55" i="33" s="1"/>
  <c r="BX58" i="32"/>
  <c r="BW58" i="32"/>
  <c r="BV58" i="32"/>
  <c r="AF55" i="33" s="1"/>
  <c r="BU58" i="32"/>
  <c r="AE55" i="33" s="1"/>
  <c r="BT58" i="32"/>
  <c r="AD55" i="33" s="1"/>
  <c r="BS58" i="32"/>
  <c r="AC55" i="33" s="1"/>
  <c r="BR58" i="32"/>
  <c r="AB55" i="33" s="1"/>
  <c r="BQ58" i="32"/>
  <c r="AA55" i="33" s="1"/>
  <c r="BP58" i="32"/>
  <c r="BO58" i="32"/>
  <c r="BN58" i="32"/>
  <c r="X55" i="33" s="1"/>
  <c r="BM58" i="32"/>
  <c r="W55" i="33" s="1"/>
  <c r="BL58" i="32"/>
  <c r="V55" i="33" s="1"/>
  <c r="BK58" i="32"/>
  <c r="U55" i="33" s="1"/>
  <c r="BJ58" i="32"/>
  <c r="T55" i="33" s="1"/>
  <c r="BI58" i="32"/>
  <c r="S55" i="33" s="1"/>
  <c r="BH58" i="32"/>
  <c r="BG58" i="32"/>
  <c r="BF58" i="32"/>
  <c r="P55" i="33" s="1"/>
  <c r="BE58" i="32"/>
  <c r="O55" i="33" s="1"/>
  <c r="BD58" i="32"/>
  <c r="N55" i="33" s="1"/>
  <c r="BC58" i="32"/>
  <c r="M55" i="33" s="1"/>
  <c r="BB58" i="32"/>
  <c r="L55" i="33" s="1"/>
  <c r="BA58" i="32"/>
  <c r="K55" i="33" s="1"/>
  <c r="AZ58" i="32"/>
  <c r="AY58" i="32"/>
  <c r="AX58" i="32"/>
  <c r="H55" i="33" s="1"/>
  <c r="CB56" i="32"/>
  <c r="AL53" i="33" s="1"/>
  <c r="CA56" i="32"/>
  <c r="AK53" i="33" s="1"/>
  <c r="BZ56" i="32"/>
  <c r="AJ53" i="33" s="1"/>
  <c r="BY56" i="32"/>
  <c r="AI53" i="33" s="1"/>
  <c r="BX56" i="32"/>
  <c r="AH53" i="33" s="1"/>
  <c r="BW56" i="32"/>
  <c r="BV56" i="32"/>
  <c r="BU56" i="32"/>
  <c r="AE53" i="33" s="1"/>
  <c r="BT56" i="32"/>
  <c r="AD53" i="33" s="1"/>
  <c r="BS56" i="32"/>
  <c r="AC53" i="33" s="1"/>
  <c r="BR56" i="32"/>
  <c r="AB53" i="33" s="1"/>
  <c r="BQ56" i="32"/>
  <c r="AA53" i="33" s="1"/>
  <c r="BP56" i="32"/>
  <c r="Z53" i="33" s="1"/>
  <c r="BO56" i="32"/>
  <c r="BN56" i="32"/>
  <c r="BM56" i="32"/>
  <c r="W53" i="33" s="1"/>
  <c r="BL56" i="32"/>
  <c r="V53" i="33" s="1"/>
  <c r="BK56" i="32"/>
  <c r="U53" i="33" s="1"/>
  <c r="BJ56" i="32"/>
  <c r="T53" i="33" s="1"/>
  <c r="BI56" i="32"/>
  <c r="S53" i="33" s="1"/>
  <c r="BH56" i="32"/>
  <c r="R53" i="33" s="1"/>
  <c r="BG56" i="32"/>
  <c r="BF56" i="32"/>
  <c r="BE56" i="32"/>
  <c r="O53" i="33" s="1"/>
  <c r="BD56" i="32"/>
  <c r="N53" i="33" s="1"/>
  <c r="BC56" i="32"/>
  <c r="M53" i="33" s="1"/>
  <c r="BB56" i="32"/>
  <c r="L53" i="33" s="1"/>
  <c r="BA56" i="32"/>
  <c r="K53" i="33" s="1"/>
  <c r="AZ56" i="32"/>
  <c r="J53" i="33" s="1"/>
  <c r="AY56" i="32"/>
  <c r="AX56" i="32"/>
  <c r="CB55" i="32"/>
  <c r="AL52" i="33" s="1"/>
  <c r="CA55" i="32"/>
  <c r="AK52" i="33" s="1"/>
  <c r="BZ55" i="32"/>
  <c r="AJ52" i="33" s="1"/>
  <c r="BY55" i="32"/>
  <c r="AI52" i="33" s="1"/>
  <c r="BX55" i="32"/>
  <c r="AH52" i="33" s="1"/>
  <c r="BW55" i="32"/>
  <c r="AG52" i="33" s="1"/>
  <c r="BV55" i="32"/>
  <c r="BU55" i="32"/>
  <c r="BT55" i="32"/>
  <c r="AD52" i="33" s="1"/>
  <c r="BS55" i="32"/>
  <c r="AC52" i="33" s="1"/>
  <c r="BR55" i="32"/>
  <c r="AB52" i="33" s="1"/>
  <c r="BQ55" i="32"/>
  <c r="AA52" i="33" s="1"/>
  <c r="BP55" i="32"/>
  <c r="Z52" i="33" s="1"/>
  <c r="BO55" i="32"/>
  <c r="Y52" i="33" s="1"/>
  <c r="BN55" i="32"/>
  <c r="BM55" i="32"/>
  <c r="BL55" i="32"/>
  <c r="V52" i="33" s="1"/>
  <c r="BK55" i="32"/>
  <c r="U52" i="33" s="1"/>
  <c r="BJ55" i="32"/>
  <c r="T52" i="33" s="1"/>
  <c r="BI55" i="32"/>
  <c r="S52" i="33" s="1"/>
  <c r="BH55" i="32"/>
  <c r="R52" i="33" s="1"/>
  <c r="BG55" i="32"/>
  <c r="Q52" i="33" s="1"/>
  <c r="BF55" i="32"/>
  <c r="BE55" i="32"/>
  <c r="BD55" i="32"/>
  <c r="N52" i="33" s="1"/>
  <c r="BC55" i="32"/>
  <c r="M52" i="33" s="1"/>
  <c r="BB55" i="32"/>
  <c r="L52" i="33" s="1"/>
  <c r="BA55" i="32"/>
  <c r="K52" i="33" s="1"/>
  <c r="AZ55" i="32"/>
  <c r="J52" i="33" s="1"/>
  <c r="AY55" i="32"/>
  <c r="I52" i="33" s="1"/>
  <c r="AX55" i="32"/>
  <c r="CB54" i="32"/>
  <c r="CA54" i="32"/>
  <c r="AK51" i="33" s="1"/>
  <c r="BZ54" i="32"/>
  <c r="AJ51" i="33" s="1"/>
  <c r="BY54" i="32"/>
  <c r="AI51" i="33" s="1"/>
  <c r="BX54" i="32"/>
  <c r="AH51" i="33" s="1"/>
  <c r="BW54" i="32"/>
  <c r="AG51" i="33" s="1"/>
  <c r="BV54" i="32"/>
  <c r="AF51" i="33" s="1"/>
  <c r="BU54" i="32"/>
  <c r="BT54" i="32"/>
  <c r="BS54" i="32"/>
  <c r="AC51" i="33" s="1"/>
  <c r="BR54" i="32"/>
  <c r="AB51" i="33" s="1"/>
  <c r="BQ54" i="32"/>
  <c r="AA51" i="33" s="1"/>
  <c r="BP54" i="32"/>
  <c r="Z51" i="33" s="1"/>
  <c r="BO54" i="32"/>
  <c r="Y51" i="33" s="1"/>
  <c r="BN54" i="32"/>
  <c r="X51" i="33" s="1"/>
  <c r="BM54" i="32"/>
  <c r="BL54" i="32"/>
  <c r="BK54" i="32"/>
  <c r="U51" i="33" s="1"/>
  <c r="BJ54" i="32"/>
  <c r="T51" i="33" s="1"/>
  <c r="BI54" i="32"/>
  <c r="S51" i="33" s="1"/>
  <c r="BH54" i="32"/>
  <c r="R51" i="33" s="1"/>
  <c r="JD51" i="33" s="1"/>
  <c r="BG54" i="32"/>
  <c r="Q51" i="33" s="1"/>
  <c r="BF54" i="32"/>
  <c r="P51" i="33" s="1"/>
  <c r="BE54" i="32"/>
  <c r="BD54" i="32"/>
  <c r="BC54" i="32"/>
  <c r="M51" i="33" s="1"/>
  <c r="BB54" i="32"/>
  <c r="L51" i="33" s="1"/>
  <c r="BA54" i="32"/>
  <c r="K51" i="33" s="1"/>
  <c r="AZ54" i="32"/>
  <c r="J51" i="33" s="1"/>
  <c r="AY54" i="32"/>
  <c r="I51" i="33" s="1"/>
  <c r="AX54" i="32"/>
  <c r="H51" i="33" s="1"/>
  <c r="CB53" i="32"/>
  <c r="CA53" i="32"/>
  <c r="BZ53" i="32"/>
  <c r="AJ50" i="33" s="1"/>
  <c r="BY53" i="32"/>
  <c r="AI50" i="33" s="1"/>
  <c r="BX53" i="32"/>
  <c r="AH50" i="33" s="1"/>
  <c r="BW53" i="32"/>
  <c r="AG50" i="33" s="1"/>
  <c r="BV53" i="32"/>
  <c r="AF50" i="33" s="1"/>
  <c r="BU53" i="32"/>
  <c r="AE50" i="33" s="1"/>
  <c r="BT53" i="32"/>
  <c r="BS53" i="32"/>
  <c r="BR53" i="32"/>
  <c r="AB50" i="33" s="1"/>
  <c r="BQ53" i="32"/>
  <c r="AA50" i="33" s="1"/>
  <c r="BP53" i="32"/>
  <c r="Z50" i="33" s="1"/>
  <c r="BO53" i="32"/>
  <c r="Y50" i="33" s="1"/>
  <c r="BN53" i="32"/>
  <c r="X50" i="33" s="1"/>
  <c r="BM53" i="32"/>
  <c r="W50" i="33" s="1"/>
  <c r="BL53" i="32"/>
  <c r="BK53" i="32"/>
  <c r="BJ53" i="32"/>
  <c r="T50" i="33" s="1"/>
  <c r="BI53" i="32"/>
  <c r="S50" i="33" s="1"/>
  <c r="BH53" i="32"/>
  <c r="R50" i="33" s="1"/>
  <c r="BG53" i="32"/>
  <c r="Q50" i="33" s="1"/>
  <c r="BF53" i="32"/>
  <c r="P50" i="33" s="1"/>
  <c r="BE53" i="32"/>
  <c r="O50" i="33" s="1"/>
  <c r="BD53" i="32"/>
  <c r="BC53" i="32"/>
  <c r="BB53" i="32"/>
  <c r="L50" i="33" s="1"/>
  <c r="BA53" i="32"/>
  <c r="K50" i="33" s="1"/>
  <c r="AZ53" i="32"/>
  <c r="J50" i="33" s="1"/>
  <c r="AY53" i="32"/>
  <c r="I50" i="33" s="1"/>
  <c r="AX53" i="32"/>
  <c r="H50" i="33" s="1"/>
  <c r="CB52" i="32"/>
  <c r="AL49" i="33" s="1"/>
  <c r="CA52" i="32"/>
  <c r="BZ52" i="32"/>
  <c r="BY52" i="32"/>
  <c r="AI49" i="33" s="1"/>
  <c r="BX52" i="32"/>
  <c r="AH49" i="33" s="1"/>
  <c r="BW52" i="32"/>
  <c r="AG49" i="33" s="1"/>
  <c r="BV52" i="32"/>
  <c r="AF49" i="33" s="1"/>
  <c r="BU52" i="32"/>
  <c r="AE49" i="33" s="1"/>
  <c r="BT52" i="32"/>
  <c r="AD49" i="33" s="1"/>
  <c r="BS52" i="32"/>
  <c r="BR52" i="32"/>
  <c r="BQ52" i="32"/>
  <c r="AA49" i="33" s="1"/>
  <c r="BP52" i="32"/>
  <c r="Z49" i="33" s="1"/>
  <c r="BO52" i="32"/>
  <c r="Y49" i="33" s="1"/>
  <c r="BN52" i="32"/>
  <c r="X49" i="33" s="1"/>
  <c r="BM52" i="32"/>
  <c r="W49" i="33" s="1"/>
  <c r="BL52" i="32"/>
  <c r="V49" i="33" s="1"/>
  <c r="BK52" i="32"/>
  <c r="BJ52" i="32"/>
  <c r="BI52" i="32"/>
  <c r="S49" i="33" s="1"/>
  <c r="BH52" i="32"/>
  <c r="R49" i="33" s="1"/>
  <c r="BG52" i="32"/>
  <c r="Q49" i="33" s="1"/>
  <c r="BF52" i="32"/>
  <c r="P49" i="33" s="1"/>
  <c r="BE52" i="32"/>
  <c r="O49" i="33" s="1"/>
  <c r="BD52" i="32"/>
  <c r="N49" i="33" s="1"/>
  <c r="BC52" i="32"/>
  <c r="BB52" i="32"/>
  <c r="BA52" i="32"/>
  <c r="K49" i="33" s="1"/>
  <c r="AZ52" i="32"/>
  <c r="J49" i="33" s="1"/>
  <c r="AY52" i="32"/>
  <c r="I49" i="33" s="1"/>
  <c r="AX52" i="32"/>
  <c r="H49" i="33" s="1"/>
  <c r="CB51" i="32"/>
  <c r="AL48" i="33" s="1"/>
  <c r="CA51" i="32"/>
  <c r="AK48" i="33" s="1"/>
  <c r="BZ51" i="32"/>
  <c r="BY51" i="32"/>
  <c r="BX51" i="32"/>
  <c r="AH48" i="33" s="1"/>
  <c r="BW51" i="32"/>
  <c r="AG48" i="33" s="1"/>
  <c r="BV51" i="32"/>
  <c r="AF48" i="33" s="1"/>
  <c r="BU51" i="32"/>
  <c r="AE48" i="33" s="1"/>
  <c r="BT51" i="32"/>
  <c r="AD48" i="33" s="1"/>
  <c r="BS51" i="32"/>
  <c r="AC48" i="33" s="1"/>
  <c r="BR51" i="32"/>
  <c r="BQ51" i="32"/>
  <c r="BP51" i="32"/>
  <c r="Z48" i="33" s="1"/>
  <c r="BO51" i="32"/>
  <c r="Y48" i="33" s="1"/>
  <c r="BN51" i="32"/>
  <c r="X48" i="33" s="1"/>
  <c r="BM51" i="32"/>
  <c r="W48" i="33" s="1"/>
  <c r="BL51" i="32"/>
  <c r="V48" i="33" s="1"/>
  <c r="BK51" i="32"/>
  <c r="U48" i="33" s="1"/>
  <c r="BJ51" i="32"/>
  <c r="BI51" i="32"/>
  <c r="BH51" i="32"/>
  <c r="R48" i="33" s="1"/>
  <c r="BG51" i="32"/>
  <c r="Q48" i="33" s="1"/>
  <c r="BF51" i="32"/>
  <c r="P48" i="33" s="1"/>
  <c r="BE51" i="32"/>
  <c r="O48" i="33" s="1"/>
  <c r="BD51" i="32"/>
  <c r="N48" i="33" s="1"/>
  <c r="BC51" i="32"/>
  <c r="M48" i="33" s="1"/>
  <c r="BB51" i="32"/>
  <c r="BA51" i="32"/>
  <c r="AZ51" i="32"/>
  <c r="J48" i="33" s="1"/>
  <c r="AY51" i="32"/>
  <c r="I48" i="33" s="1"/>
  <c r="AX51" i="32"/>
  <c r="H48" i="33" s="1"/>
  <c r="CB50" i="32"/>
  <c r="AL47" i="33" s="1"/>
  <c r="CA50" i="32"/>
  <c r="AK47" i="33" s="1"/>
  <c r="BZ50" i="32"/>
  <c r="AJ47" i="33" s="1"/>
  <c r="BY50" i="32"/>
  <c r="BX50" i="32"/>
  <c r="BW50" i="32"/>
  <c r="AG47" i="33" s="1"/>
  <c r="BV50" i="32"/>
  <c r="AF47" i="33" s="1"/>
  <c r="BU50" i="32"/>
  <c r="AE47" i="33" s="1"/>
  <c r="BT50" i="32"/>
  <c r="AD47" i="33" s="1"/>
  <c r="BS50" i="32"/>
  <c r="AC47" i="33" s="1"/>
  <c r="BR50" i="32"/>
  <c r="AB47" i="33" s="1"/>
  <c r="BQ50" i="32"/>
  <c r="BP50" i="32"/>
  <c r="BO50" i="32"/>
  <c r="Y47" i="33" s="1"/>
  <c r="BN50" i="32"/>
  <c r="X47" i="33" s="1"/>
  <c r="BM50" i="32"/>
  <c r="W47" i="33" s="1"/>
  <c r="BL50" i="32"/>
  <c r="V47" i="33" s="1"/>
  <c r="BK50" i="32"/>
  <c r="U47" i="33" s="1"/>
  <c r="BJ50" i="32"/>
  <c r="T47" i="33" s="1"/>
  <c r="BI50" i="32"/>
  <c r="BH50" i="32"/>
  <c r="BG50" i="32"/>
  <c r="Q47" i="33" s="1"/>
  <c r="BF50" i="32"/>
  <c r="P47" i="33" s="1"/>
  <c r="BE50" i="32"/>
  <c r="O47" i="33" s="1"/>
  <c r="BD50" i="32"/>
  <c r="N47" i="33" s="1"/>
  <c r="BC50" i="32"/>
  <c r="M47" i="33" s="1"/>
  <c r="BB50" i="32"/>
  <c r="L47" i="33" s="1"/>
  <c r="BA50" i="32"/>
  <c r="AZ50" i="32"/>
  <c r="AY50" i="32"/>
  <c r="I47" i="33" s="1"/>
  <c r="AX50" i="32"/>
  <c r="H47" i="33" s="1"/>
  <c r="CB49" i="32"/>
  <c r="AL46" i="33" s="1"/>
  <c r="CA49" i="32"/>
  <c r="AK46" i="33" s="1"/>
  <c r="BZ49" i="32"/>
  <c r="AJ46" i="33" s="1"/>
  <c r="BY49" i="32"/>
  <c r="AI46" i="33" s="1"/>
  <c r="BX49" i="32"/>
  <c r="BW49" i="32"/>
  <c r="BV49" i="32"/>
  <c r="AF46" i="33" s="1"/>
  <c r="BU49" i="32"/>
  <c r="AE46" i="33" s="1"/>
  <c r="BT49" i="32"/>
  <c r="AD46" i="33" s="1"/>
  <c r="BS49" i="32"/>
  <c r="AC46" i="33" s="1"/>
  <c r="BR49" i="32"/>
  <c r="AB46" i="33" s="1"/>
  <c r="BQ49" i="32"/>
  <c r="AA46" i="33" s="1"/>
  <c r="BP49" i="32"/>
  <c r="BO49" i="32"/>
  <c r="BN49" i="32"/>
  <c r="X46" i="33" s="1"/>
  <c r="BM49" i="32"/>
  <c r="W46" i="33" s="1"/>
  <c r="BL49" i="32"/>
  <c r="V46" i="33" s="1"/>
  <c r="BK49" i="32"/>
  <c r="U46" i="33" s="1"/>
  <c r="BJ49" i="32"/>
  <c r="T46" i="33" s="1"/>
  <c r="BI49" i="32"/>
  <c r="S46" i="33" s="1"/>
  <c r="BH49" i="32"/>
  <c r="BG49" i="32"/>
  <c r="BF49" i="32"/>
  <c r="P46" i="33" s="1"/>
  <c r="BE49" i="32"/>
  <c r="O46" i="33" s="1"/>
  <c r="BD49" i="32"/>
  <c r="N46" i="33" s="1"/>
  <c r="BC49" i="32"/>
  <c r="M46" i="33" s="1"/>
  <c r="BB49" i="32"/>
  <c r="L46" i="33" s="1"/>
  <c r="BA49" i="32"/>
  <c r="K46" i="33" s="1"/>
  <c r="AZ49" i="32"/>
  <c r="AY49" i="32"/>
  <c r="AX49" i="32"/>
  <c r="H46" i="33" s="1"/>
  <c r="CB48" i="32"/>
  <c r="AL45" i="33" s="1"/>
  <c r="CA48" i="32"/>
  <c r="AK45" i="33" s="1"/>
  <c r="BZ48" i="32"/>
  <c r="AJ45" i="33" s="1"/>
  <c r="BY48" i="32"/>
  <c r="AI45" i="33" s="1"/>
  <c r="BX48" i="32"/>
  <c r="AH45" i="33" s="1"/>
  <c r="BW48" i="32"/>
  <c r="BV48" i="32"/>
  <c r="BU48" i="32"/>
  <c r="AE45" i="33" s="1"/>
  <c r="BT48" i="32"/>
  <c r="AD45" i="33" s="1"/>
  <c r="BS48" i="32"/>
  <c r="AC45" i="33" s="1"/>
  <c r="BR48" i="32"/>
  <c r="AB45" i="33" s="1"/>
  <c r="BQ48" i="32"/>
  <c r="AA45" i="33" s="1"/>
  <c r="BP48" i="32"/>
  <c r="Z45" i="33" s="1"/>
  <c r="BO48" i="32"/>
  <c r="BN48" i="32"/>
  <c r="BM48" i="32"/>
  <c r="W45" i="33" s="1"/>
  <c r="BL48" i="32"/>
  <c r="V45" i="33" s="1"/>
  <c r="BK48" i="32"/>
  <c r="U45" i="33" s="1"/>
  <c r="BJ48" i="32"/>
  <c r="T45" i="33" s="1"/>
  <c r="BI48" i="32"/>
  <c r="S45" i="33" s="1"/>
  <c r="BH48" i="32"/>
  <c r="R45" i="33" s="1"/>
  <c r="BG48" i="32"/>
  <c r="BF48" i="32"/>
  <c r="BE48" i="32"/>
  <c r="O45" i="33" s="1"/>
  <c r="BD48" i="32"/>
  <c r="N45" i="33" s="1"/>
  <c r="BC48" i="32"/>
  <c r="M45" i="33" s="1"/>
  <c r="BB48" i="32"/>
  <c r="L45" i="33" s="1"/>
  <c r="BA48" i="32"/>
  <c r="K45" i="33" s="1"/>
  <c r="AZ48" i="32"/>
  <c r="J45" i="33" s="1"/>
  <c r="AY48" i="32"/>
  <c r="AX48" i="32"/>
  <c r="CB47" i="32"/>
  <c r="AL44" i="33" s="1"/>
  <c r="CA47" i="32"/>
  <c r="AK44" i="33" s="1"/>
  <c r="BZ47" i="32"/>
  <c r="AJ44" i="33" s="1"/>
  <c r="BY47" i="32"/>
  <c r="AI44" i="33" s="1"/>
  <c r="BX47" i="32"/>
  <c r="AH44" i="33" s="1"/>
  <c r="BW47" i="32"/>
  <c r="AG44" i="33" s="1"/>
  <c r="BV47" i="32"/>
  <c r="BU47" i="32"/>
  <c r="BT47" i="32"/>
  <c r="AD44" i="33" s="1"/>
  <c r="BS47" i="32"/>
  <c r="AC44" i="33" s="1"/>
  <c r="BR47" i="32"/>
  <c r="AB44" i="33" s="1"/>
  <c r="BQ47" i="32"/>
  <c r="AA44" i="33" s="1"/>
  <c r="BP47" i="32"/>
  <c r="Z44" i="33" s="1"/>
  <c r="BO47" i="32"/>
  <c r="Y44" i="33" s="1"/>
  <c r="BN47" i="32"/>
  <c r="BM47" i="32"/>
  <c r="BL47" i="32"/>
  <c r="V44" i="33" s="1"/>
  <c r="BK47" i="32"/>
  <c r="U44" i="33" s="1"/>
  <c r="BJ47" i="32"/>
  <c r="T44" i="33" s="1"/>
  <c r="BI47" i="32"/>
  <c r="S44" i="33" s="1"/>
  <c r="BH47" i="32"/>
  <c r="R44" i="33" s="1"/>
  <c r="BG47" i="32"/>
  <c r="Q44" i="33" s="1"/>
  <c r="BF47" i="32"/>
  <c r="BE47" i="32"/>
  <c r="BD47" i="32"/>
  <c r="N44" i="33" s="1"/>
  <c r="BC47" i="32"/>
  <c r="M44" i="33" s="1"/>
  <c r="BB47" i="32"/>
  <c r="L44" i="33" s="1"/>
  <c r="BA47" i="32"/>
  <c r="K44" i="33" s="1"/>
  <c r="AZ47" i="32"/>
  <c r="J44" i="33" s="1"/>
  <c r="AY47" i="32"/>
  <c r="I44" i="33" s="1"/>
  <c r="AX47" i="32"/>
  <c r="CB46" i="32"/>
  <c r="CA46" i="32"/>
  <c r="AK43" i="33" s="1"/>
  <c r="BZ46" i="32"/>
  <c r="AJ43" i="33" s="1"/>
  <c r="BY46" i="32"/>
  <c r="AI43" i="33" s="1"/>
  <c r="BX46" i="32"/>
  <c r="AH43" i="33" s="1"/>
  <c r="BW46" i="32"/>
  <c r="AG43" i="33" s="1"/>
  <c r="BV46" i="32"/>
  <c r="AF43" i="33" s="1"/>
  <c r="BU46" i="32"/>
  <c r="BT46" i="32"/>
  <c r="BS46" i="32"/>
  <c r="AC43" i="33" s="1"/>
  <c r="BR46" i="32"/>
  <c r="AB43" i="33" s="1"/>
  <c r="BQ46" i="32"/>
  <c r="AA43" i="33" s="1"/>
  <c r="BP46" i="32"/>
  <c r="Z43" i="33" s="1"/>
  <c r="BO46" i="32"/>
  <c r="Y43" i="33" s="1"/>
  <c r="BN46" i="32"/>
  <c r="X43" i="33" s="1"/>
  <c r="BM46" i="32"/>
  <c r="BL46" i="32"/>
  <c r="BK46" i="32"/>
  <c r="U43" i="33" s="1"/>
  <c r="BJ46" i="32"/>
  <c r="T43" i="33" s="1"/>
  <c r="BI46" i="32"/>
  <c r="S43" i="33" s="1"/>
  <c r="BH46" i="32"/>
  <c r="R43" i="33" s="1"/>
  <c r="BG46" i="32"/>
  <c r="Q43" i="33" s="1"/>
  <c r="BF46" i="32"/>
  <c r="P43" i="33" s="1"/>
  <c r="BE46" i="32"/>
  <c r="BD46" i="32"/>
  <c r="BC46" i="32"/>
  <c r="M43" i="33" s="1"/>
  <c r="BB46" i="32"/>
  <c r="L43" i="33" s="1"/>
  <c r="BA46" i="32"/>
  <c r="K43" i="33" s="1"/>
  <c r="AZ46" i="32"/>
  <c r="J43" i="33" s="1"/>
  <c r="AY46" i="32"/>
  <c r="I43" i="33" s="1"/>
  <c r="AX46" i="32"/>
  <c r="H43" i="33" s="1"/>
  <c r="CB45" i="32"/>
  <c r="CA45" i="32"/>
  <c r="BZ45" i="32"/>
  <c r="AJ42" i="33" s="1"/>
  <c r="BY45" i="32"/>
  <c r="AI42" i="33" s="1"/>
  <c r="BX45" i="32"/>
  <c r="AH42" i="33" s="1"/>
  <c r="BW45" i="32"/>
  <c r="AG42" i="33" s="1"/>
  <c r="BV45" i="32"/>
  <c r="AF42" i="33" s="1"/>
  <c r="BU45" i="32"/>
  <c r="AE42" i="33" s="1"/>
  <c r="BT45" i="32"/>
  <c r="BS45" i="32"/>
  <c r="BR45" i="32"/>
  <c r="AB42" i="33" s="1"/>
  <c r="BQ45" i="32"/>
  <c r="AA42" i="33" s="1"/>
  <c r="BP45" i="32"/>
  <c r="Z42" i="33" s="1"/>
  <c r="BO45" i="32"/>
  <c r="Y42" i="33" s="1"/>
  <c r="BN45" i="32"/>
  <c r="X42" i="33" s="1"/>
  <c r="BM45" i="32"/>
  <c r="W42" i="33" s="1"/>
  <c r="BL45" i="32"/>
  <c r="BK45" i="32"/>
  <c r="BJ45" i="32"/>
  <c r="T42" i="33" s="1"/>
  <c r="BI45" i="32"/>
  <c r="S42" i="33" s="1"/>
  <c r="BH45" i="32"/>
  <c r="R42" i="33" s="1"/>
  <c r="BG45" i="32"/>
  <c r="Q42" i="33" s="1"/>
  <c r="BF45" i="32"/>
  <c r="P42" i="33" s="1"/>
  <c r="BE45" i="32"/>
  <c r="O42" i="33" s="1"/>
  <c r="BD45" i="32"/>
  <c r="BC45" i="32"/>
  <c r="BB45" i="32"/>
  <c r="L42" i="33" s="1"/>
  <c r="BA45" i="32"/>
  <c r="K42" i="33" s="1"/>
  <c r="AZ45" i="32"/>
  <c r="J42" i="33" s="1"/>
  <c r="AY45" i="32"/>
  <c r="I42" i="33" s="1"/>
  <c r="AX45" i="32"/>
  <c r="H42" i="33" s="1"/>
  <c r="CB44" i="32"/>
  <c r="AL41" i="33" s="1"/>
  <c r="CA44" i="32"/>
  <c r="BZ44" i="32"/>
  <c r="BY44" i="32"/>
  <c r="AI41" i="33" s="1"/>
  <c r="BX44" i="32"/>
  <c r="AH41" i="33" s="1"/>
  <c r="BW44" i="32"/>
  <c r="AG41" i="33" s="1"/>
  <c r="BV44" i="32"/>
  <c r="AF41" i="33" s="1"/>
  <c r="BU44" i="32"/>
  <c r="AE41" i="33" s="1"/>
  <c r="BT44" i="32"/>
  <c r="AD41" i="33" s="1"/>
  <c r="BS44" i="32"/>
  <c r="BR44" i="32"/>
  <c r="BQ44" i="32"/>
  <c r="AA41" i="33" s="1"/>
  <c r="BP44" i="32"/>
  <c r="Z41" i="33" s="1"/>
  <c r="BO44" i="32"/>
  <c r="Y41" i="33" s="1"/>
  <c r="BN44" i="32"/>
  <c r="X41" i="33" s="1"/>
  <c r="BM44" i="32"/>
  <c r="W41" i="33" s="1"/>
  <c r="BL44" i="32"/>
  <c r="V41" i="33" s="1"/>
  <c r="BK44" i="32"/>
  <c r="BJ44" i="32"/>
  <c r="BI44" i="32"/>
  <c r="S41" i="33" s="1"/>
  <c r="BH44" i="32"/>
  <c r="R41" i="33" s="1"/>
  <c r="BG44" i="32"/>
  <c r="Q41" i="33" s="1"/>
  <c r="BF44" i="32"/>
  <c r="P41" i="33" s="1"/>
  <c r="BE44" i="32"/>
  <c r="O41" i="33" s="1"/>
  <c r="BD44" i="32"/>
  <c r="N41" i="33" s="1"/>
  <c r="BC44" i="32"/>
  <c r="BB44" i="32"/>
  <c r="BA44" i="32"/>
  <c r="K41" i="33" s="1"/>
  <c r="AZ44" i="32"/>
  <c r="J41" i="33" s="1"/>
  <c r="AY44" i="32"/>
  <c r="I41" i="33" s="1"/>
  <c r="AX44" i="32"/>
  <c r="H41" i="33" s="1"/>
  <c r="AZ41" i="32"/>
  <c r="AY41" i="32"/>
  <c r="AX41" i="32"/>
  <c r="CB40" i="32"/>
  <c r="AL38" i="33" s="1"/>
  <c r="CA40" i="32"/>
  <c r="AK38" i="33" s="1"/>
  <c r="BZ40" i="32"/>
  <c r="AJ38" i="33" s="1"/>
  <c r="BY40" i="32"/>
  <c r="BX40" i="32"/>
  <c r="BW40" i="32"/>
  <c r="AG38" i="33" s="1"/>
  <c r="BV40" i="32"/>
  <c r="AF38" i="33" s="1"/>
  <c r="BU40" i="32"/>
  <c r="AE38" i="33" s="1"/>
  <c r="BT40" i="32"/>
  <c r="AD38" i="33" s="1"/>
  <c r="BS40" i="32"/>
  <c r="AC38" i="33" s="1"/>
  <c r="BR40" i="32"/>
  <c r="AB38" i="33" s="1"/>
  <c r="BQ40" i="32"/>
  <c r="BP40" i="32"/>
  <c r="BO40" i="32"/>
  <c r="Y38" i="33" s="1"/>
  <c r="BN40" i="32"/>
  <c r="X38" i="33" s="1"/>
  <c r="BM40" i="32"/>
  <c r="W38" i="33" s="1"/>
  <c r="BL40" i="32"/>
  <c r="V38" i="33" s="1"/>
  <c r="BK40" i="32"/>
  <c r="U38" i="33" s="1"/>
  <c r="BJ40" i="32"/>
  <c r="T38" i="33" s="1"/>
  <c r="BI40" i="32"/>
  <c r="BH40" i="32"/>
  <c r="BG40" i="32"/>
  <c r="Q38" i="33" s="1"/>
  <c r="BF40" i="32"/>
  <c r="P38" i="33" s="1"/>
  <c r="BE40" i="32"/>
  <c r="O38" i="33" s="1"/>
  <c r="BD40" i="32"/>
  <c r="N38" i="33" s="1"/>
  <c r="BC40" i="32"/>
  <c r="M38" i="33" s="1"/>
  <c r="BB40" i="32"/>
  <c r="L38" i="33" s="1"/>
  <c r="BA40" i="32"/>
  <c r="AZ40" i="32"/>
  <c r="AY40" i="32"/>
  <c r="I38" i="33" s="1"/>
  <c r="AX40" i="32"/>
  <c r="H38" i="33" s="1"/>
  <c r="CB39" i="32"/>
  <c r="AL37" i="33" s="1"/>
  <c r="CA39" i="32"/>
  <c r="AK37" i="33" s="1"/>
  <c r="BZ39" i="32"/>
  <c r="AJ37" i="33" s="1"/>
  <c r="BY39" i="32"/>
  <c r="AI37" i="33" s="1"/>
  <c r="BX39" i="32"/>
  <c r="BW39" i="32"/>
  <c r="BV39" i="32"/>
  <c r="AF37" i="33" s="1"/>
  <c r="BU39" i="32"/>
  <c r="AE37" i="33" s="1"/>
  <c r="BT39" i="32"/>
  <c r="AD37" i="33" s="1"/>
  <c r="BS39" i="32"/>
  <c r="AC37" i="33" s="1"/>
  <c r="BR39" i="32"/>
  <c r="AB37" i="33" s="1"/>
  <c r="BQ39" i="32"/>
  <c r="AA37" i="33" s="1"/>
  <c r="BP39" i="32"/>
  <c r="BO39" i="32"/>
  <c r="BN39" i="32"/>
  <c r="X37" i="33" s="1"/>
  <c r="BM39" i="32"/>
  <c r="W37" i="33" s="1"/>
  <c r="BL39" i="32"/>
  <c r="V37" i="33" s="1"/>
  <c r="BK39" i="32"/>
  <c r="U37" i="33" s="1"/>
  <c r="BJ39" i="32"/>
  <c r="T37" i="33" s="1"/>
  <c r="BI39" i="32"/>
  <c r="S37" i="33" s="1"/>
  <c r="BH39" i="32"/>
  <c r="BG39" i="32"/>
  <c r="BF39" i="32"/>
  <c r="P37" i="33" s="1"/>
  <c r="BE39" i="32"/>
  <c r="O37" i="33" s="1"/>
  <c r="BD39" i="32"/>
  <c r="N37" i="33" s="1"/>
  <c r="BC39" i="32"/>
  <c r="M37" i="33" s="1"/>
  <c r="BB39" i="32"/>
  <c r="L37" i="33" s="1"/>
  <c r="BA39" i="32"/>
  <c r="K37" i="33" s="1"/>
  <c r="AZ39" i="32"/>
  <c r="AY39" i="32"/>
  <c r="AX39" i="32"/>
  <c r="H37" i="33" s="1"/>
  <c r="CB38" i="32"/>
  <c r="AL36" i="33" s="1"/>
  <c r="CA38" i="32"/>
  <c r="AK36" i="33" s="1"/>
  <c r="BZ38" i="32"/>
  <c r="AJ36" i="33" s="1"/>
  <c r="BY38" i="32"/>
  <c r="AI36" i="33" s="1"/>
  <c r="BX38" i="32"/>
  <c r="AH36" i="33" s="1"/>
  <c r="BW38" i="32"/>
  <c r="BV38" i="32"/>
  <c r="BU38" i="32"/>
  <c r="AE36" i="33" s="1"/>
  <c r="BT38" i="32"/>
  <c r="AD36" i="33" s="1"/>
  <c r="BS38" i="32"/>
  <c r="AC36" i="33" s="1"/>
  <c r="BR38" i="32"/>
  <c r="AB36" i="33" s="1"/>
  <c r="BQ38" i="32"/>
  <c r="AA36" i="33" s="1"/>
  <c r="BP38" i="32"/>
  <c r="Z36" i="33" s="1"/>
  <c r="BO38" i="32"/>
  <c r="BN38" i="32"/>
  <c r="BM38" i="32"/>
  <c r="W36" i="33" s="1"/>
  <c r="BL38" i="32"/>
  <c r="V36" i="33" s="1"/>
  <c r="BK38" i="32"/>
  <c r="U36" i="33" s="1"/>
  <c r="BJ38" i="32"/>
  <c r="T36" i="33" s="1"/>
  <c r="BI38" i="32"/>
  <c r="S36" i="33" s="1"/>
  <c r="BH38" i="32"/>
  <c r="R36" i="33" s="1"/>
  <c r="BG38" i="32"/>
  <c r="BF38" i="32"/>
  <c r="BE38" i="32"/>
  <c r="O36" i="33" s="1"/>
  <c r="BD38" i="32"/>
  <c r="N36" i="33" s="1"/>
  <c r="BC38" i="32"/>
  <c r="M36" i="33" s="1"/>
  <c r="BB38" i="32"/>
  <c r="L36" i="33" s="1"/>
  <c r="BA38" i="32"/>
  <c r="K36" i="33" s="1"/>
  <c r="AZ38" i="32"/>
  <c r="J36" i="33" s="1"/>
  <c r="AY38" i="32"/>
  <c r="AX38" i="32"/>
  <c r="CB37" i="32"/>
  <c r="AL35" i="33" s="1"/>
  <c r="CA37" i="32"/>
  <c r="AK35" i="33" s="1"/>
  <c r="BZ37" i="32"/>
  <c r="AJ35" i="33" s="1"/>
  <c r="BY37" i="32"/>
  <c r="AI35" i="33" s="1"/>
  <c r="BX37" i="32"/>
  <c r="AH35" i="33" s="1"/>
  <c r="BW37" i="32"/>
  <c r="AG35" i="33" s="1"/>
  <c r="BV37" i="32"/>
  <c r="BU37" i="32"/>
  <c r="BT37" i="32"/>
  <c r="AD35" i="33" s="1"/>
  <c r="BS37" i="32"/>
  <c r="AC35" i="33" s="1"/>
  <c r="BR37" i="32"/>
  <c r="AB35" i="33" s="1"/>
  <c r="BQ37" i="32"/>
  <c r="AA35" i="33" s="1"/>
  <c r="BP37" i="32"/>
  <c r="Z35" i="33" s="1"/>
  <c r="BO37" i="32"/>
  <c r="Y35" i="33" s="1"/>
  <c r="BN37" i="32"/>
  <c r="BM37" i="32"/>
  <c r="BL37" i="32"/>
  <c r="V35" i="33" s="1"/>
  <c r="BK37" i="32"/>
  <c r="U35" i="33" s="1"/>
  <c r="BJ37" i="32"/>
  <c r="T35" i="33" s="1"/>
  <c r="BI37" i="32"/>
  <c r="S35" i="33" s="1"/>
  <c r="BH37" i="32"/>
  <c r="R35" i="33" s="1"/>
  <c r="BG37" i="32"/>
  <c r="Q35" i="33" s="1"/>
  <c r="BF37" i="32"/>
  <c r="BE37" i="32"/>
  <c r="BD37" i="32"/>
  <c r="N35" i="33" s="1"/>
  <c r="BC37" i="32"/>
  <c r="M35" i="33" s="1"/>
  <c r="BB37" i="32"/>
  <c r="L35" i="33" s="1"/>
  <c r="BA37" i="32"/>
  <c r="K35" i="33" s="1"/>
  <c r="AZ37" i="32"/>
  <c r="J35" i="33" s="1"/>
  <c r="AY37" i="32"/>
  <c r="I35" i="33" s="1"/>
  <c r="AX37" i="32"/>
  <c r="CB36" i="32"/>
  <c r="CA36" i="32"/>
  <c r="AK34" i="33" s="1"/>
  <c r="BZ36" i="32"/>
  <c r="AJ34" i="33" s="1"/>
  <c r="BY36" i="32"/>
  <c r="AI34" i="33" s="1"/>
  <c r="BX36" i="32"/>
  <c r="AH34" i="33" s="1"/>
  <c r="BW36" i="32"/>
  <c r="AG34" i="33" s="1"/>
  <c r="BV36" i="32"/>
  <c r="AF34" i="33" s="1"/>
  <c r="BU36" i="32"/>
  <c r="BT36" i="32"/>
  <c r="BS36" i="32"/>
  <c r="AC34" i="33" s="1"/>
  <c r="BR36" i="32"/>
  <c r="AB34" i="33" s="1"/>
  <c r="BQ36" i="32"/>
  <c r="AA34" i="33" s="1"/>
  <c r="BP36" i="32"/>
  <c r="Z34" i="33" s="1"/>
  <c r="BO36" i="32"/>
  <c r="Y34" i="33" s="1"/>
  <c r="BN36" i="32"/>
  <c r="X34" i="33" s="1"/>
  <c r="BM36" i="32"/>
  <c r="BL36" i="32"/>
  <c r="BK36" i="32"/>
  <c r="U34" i="33" s="1"/>
  <c r="BJ36" i="32"/>
  <c r="T34" i="33" s="1"/>
  <c r="BI36" i="32"/>
  <c r="S34" i="33" s="1"/>
  <c r="BH36" i="32"/>
  <c r="R34" i="33" s="1"/>
  <c r="BG36" i="32"/>
  <c r="Q34" i="33" s="1"/>
  <c r="BF36" i="32"/>
  <c r="P34" i="33" s="1"/>
  <c r="BE36" i="32"/>
  <c r="BD36" i="32"/>
  <c r="BC36" i="32"/>
  <c r="M34" i="33" s="1"/>
  <c r="BB36" i="32"/>
  <c r="L34" i="33" s="1"/>
  <c r="BA36" i="32"/>
  <c r="K34" i="33" s="1"/>
  <c r="AZ36" i="32"/>
  <c r="J34" i="33" s="1"/>
  <c r="AY36" i="32"/>
  <c r="I34" i="33" s="1"/>
  <c r="AX36" i="32"/>
  <c r="H34" i="33" s="1"/>
  <c r="CB35" i="32"/>
  <c r="CA35" i="32"/>
  <c r="BZ35" i="32"/>
  <c r="AJ33" i="33" s="1"/>
  <c r="BY35" i="32"/>
  <c r="AI33" i="33" s="1"/>
  <c r="BX35" i="32"/>
  <c r="AH33" i="33" s="1"/>
  <c r="BW35" i="32"/>
  <c r="AG33" i="33" s="1"/>
  <c r="BV35" i="32"/>
  <c r="AF33" i="33" s="1"/>
  <c r="BU35" i="32"/>
  <c r="AE33" i="33" s="1"/>
  <c r="BT35" i="32"/>
  <c r="BS35" i="32"/>
  <c r="BR35" i="32"/>
  <c r="AB33" i="33" s="1"/>
  <c r="BQ35" i="32"/>
  <c r="AA33" i="33" s="1"/>
  <c r="BP35" i="32"/>
  <c r="Z33" i="33" s="1"/>
  <c r="BO35" i="32"/>
  <c r="Y33" i="33" s="1"/>
  <c r="BN35" i="32"/>
  <c r="X33" i="33" s="1"/>
  <c r="BM35" i="32"/>
  <c r="W33" i="33" s="1"/>
  <c r="BL35" i="32"/>
  <c r="BK35" i="32"/>
  <c r="BJ35" i="32"/>
  <c r="T33" i="33" s="1"/>
  <c r="BI35" i="32"/>
  <c r="S33" i="33" s="1"/>
  <c r="BH35" i="32"/>
  <c r="R33" i="33" s="1"/>
  <c r="BG35" i="32"/>
  <c r="Q33" i="33" s="1"/>
  <c r="BF35" i="32"/>
  <c r="P33" i="33" s="1"/>
  <c r="BE35" i="32"/>
  <c r="O33" i="33" s="1"/>
  <c r="BD35" i="32"/>
  <c r="BC35" i="32"/>
  <c r="BB35" i="32"/>
  <c r="L33" i="33" s="1"/>
  <c r="BA35" i="32"/>
  <c r="K33" i="33" s="1"/>
  <c r="AZ35" i="32"/>
  <c r="J33" i="33" s="1"/>
  <c r="AY35" i="32"/>
  <c r="I33" i="33" s="1"/>
  <c r="AX35" i="32"/>
  <c r="H33" i="33" s="1"/>
  <c r="CB34" i="32"/>
  <c r="AL32" i="33" s="1"/>
  <c r="CA34" i="32"/>
  <c r="BZ34" i="32"/>
  <c r="BY34" i="32"/>
  <c r="AI32" i="33" s="1"/>
  <c r="BX34" i="32"/>
  <c r="AH32" i="33" s="1"/>
  <c r="BW34" i="32"/>
  <c r="AG32" i="33" s="1"/>
  <c r="BV34" i="32"/>
  <c r="AF32" i="33" s="1"/>
  <c r="BU34" i="32"/>
  <c r="AE32" i="33" s="1"/>
  <c r="BT34" i="32"/>
  <c r="AD32" i="33" s="1"/>
  <c r="BS34" i="32"/>
  <c r="BR34" i="32"/>
  <c r="BQ34" i="32"/>
  <c r="AA32" i="33" s="1"/>
  <c r="BP34" i="32"/>
  <c r="Z32" i="33" s="1"/>
  <c r="BO34" i="32"/>
  <c r="Y32" i="33" s="1"/>
  <c r="BN34" i="32"/>
  <c r="X32" i="33" s="1"/>
  <c r="BM34" i="32"/>
  <c r="W32" i="33" s="1"/>
  <c r="BL34" i="32"/>
  <c r="V32" i="33" s="1"/>
  <c r="BK34" i="32"/>
  <c r="BJ34" i="32"/>
  <c r="BI34" i="32"/>
  <c r="S32" i="33" s="1"/>
  <c r="BH34" i="32"/>
  <c r="R32" i="33" s="1"/>
  <c r="BG34" i="32"/>
  <c r="Q32" i="33" s="1"/>
  <c r="BF34" i="32"/>
  <c r="P32" i="33" s="1"/>
  <c r="BE34" i="32"/>
  <c r="O32" i="33" s="1"/>
  <c r="BD34" i="32"/>
  <c r="N32" i="33" s="1"/>
  <c r="BC34" i="32"/>
  <c r="BB34" i="32"/>
  <c r="BA34" i="32"/>
  <c r="K32" i="33" s="1"/>
  <c r="AZ34" i="32"/>
  <c r="J32" i="33" s="1"/>
  <c r="AY34" i="32"/>
  <c r="I32" i="33" s="1"/>
  <c r="AX34" i="32"/>
  <c r="H32" i="33" s="1"/>
  <c r="CB33" i="32"/>
  <c r="AL31" i="33" s="1"/>
  <c r="CA33" i="32"/>
  <c r="AK31" i="33" s="1"/>
  <c r="BZ33" i="32"/>
  <c r="BY33" i="32"/>
  <c r="BX33" i="32"/>
  <c r="AH31" i="33" s="1"/>
  <c r="BW33" i="32"/>
  <c r="AG31" i="33" s="1"/>
  <c r="BV33" i="32"/>
  <c r="AF31" i="33" s="1"/>
  <c r="BU33" i="32"/>
  <c r="AE31" i="33" s="1"/>
  <c r="BT33" i="32"/>
  <c r="AD31" i="33" s="1"/>
  <c r="BS33" i="32"/>
  <c r="AC31" i="33" s="1"/>
  <c r="BR33" i="32"/>
  <c r="BQ33" i="32"/>
  <c r="BP33" i="32"/>
  <c r="Z31" i="33" s="1"/>
  <c r="BO33" i="32"/>
  <c r="Y31" i="33" s="1"/>
  <c r="BN33" i="32"/>
  <c r="X31" i="33" s="1"/>
  <c r="BM33" i="32"/>
  <c r="W31" i="33" s="1"/>
  <c r="BL33" i="32"/>
  <c r="V31" i="33" s="1"/>
  <c r="BK33" i="32"/>
  <c r="U31" i="33" s="1"/>
  <c r="BJ33" i="32"/>
  <c r="BI33" i="32"/>
  <c r="BH33" i="32"/>
  <c r="R31" i="33" s="1"/>
  <c r="BG33" i="32"/>
  <c r="Q31" i="33" s="1"/>
  <c r="BF33" i="32"/>
  <c r="P31" i="33" s="1"/>
  <c r="BE33" i="32"/>
  <c r="O31" i="33" s="1"/>
  <c r="BD33" i="32"/>
  <c r="N31" i="33" s="1"/>
  <c r="BC33" i="32"/>
  <c r="M31" i="33" s="1"/>
  <c r="BB33" i="32"/>
  <c r="BA33" i="32"/>
  <c r="AZ33" i="32"/>
  <c r="J31" i="33" s="1"/>
  <c r="AY33" i="32"/>
  <c r="I31" i="33" s="1"/>
  <c r="AX33" i="32"/>
  <c r="H31" i="33" s="1"/>
  <c r="CB32" i="32"/>
  <c r="AL30" i="33" s="1"/>
  <c r="CA32" i="32"/>
  <c r="AK30" i="33" s="1"/>
  <c r="BZ32" i="32"/>
  <c r="AJ30" i="33" s="1"/>
  <c r="BY32" i="32"/>
  <c r="BX32" i="32"/>
  <c r="BW32" i="32"/>
  <c r="AG30" i="33" s="1"/>
  <c r="BV32" i="32"/>
  <c r="AF30" i="33" s="1"/>
  <c r="BU32" i="32"/>
  <c r="AE30" i="33" s="1"/>
  <c r="BT32" i="32"/>
  <c r="AD30" i="33" s="1"/>
  <c r="BS32" i="32"/>
  <c r="AC30" i="33" s="1"/>
  <c r="BR32" i="32"/>
  <c r="AB30" i="33" s="1"/>
  <c r="BQ32" i="32"/>
  <c r="BP32" i="32"/>
  <c r="BO32" i="32"/>
  <c r="Y30" i="33" s="1"/>
  <c r="BN32" i="32"/>
  <c r="X30" i="33" s="1"/>
  <c r="BM32" i="32"/>
  <c r="W30" i="33" s="1"/>
  <c r="BL32" i="32"/>
  <c r="V30" i="33" s="1"/>
  <c r="BK32" i="32"/>
  <c r="U30" i="33" s="1"/>
  <c r="BJ32" i="32"/>
  <c r="T30" i="33" s="1"/>
  <c r="BI32" i="32"/>
  <c r="BH32" i="32"/>
  <c r="BG32" i="32"/>
  <c r="Q30" i="33" s="1"/>
  <c r="BF32" i="32"/>
  <c r="P30" i="33" s="1"/>
  <c r="BE32" i="32"/>
  <c r="O30" i="33" s="1"/>
  <c r="BD32" i="32"/>
  <c r="N30" i="33" s="1"/>
  <c r="BC32" i="32"/>
  <c r="M30" i="33" s="1"/>
  <c r="BB32" i="32"/>
  <c r="L30" i="33" s="1"/>
  <c r="BA32" i="32"/>
  <c r="AZ32" i="32"/>
  <c r="AY32" i="32"/>
  <c r="I30" i="33" s="1"/>
  <c r="AX32" i="32"/>
  <c r="H30" i="33" s="1"/>
  <c r="CB31" i="32"/>
  <c r="AL29" i="33" s="1"/>
  <c r="CA31" i="32"/>
  <c r="AK29" i="33" s="1"/>
  <c r="BZ31" i="32"/>
  <c r="AJ29" i="33" s="1"/>
  <c r="BY31" i="32"/>
  <c r="AI29" i="33" s="1"/>
  <c r="BX31" i="32"/>
  <c r="BW31" i="32"/>
  <c r="BV31" i="32"/>
  <c r="AF29" i="33" s="1"/>
  <c r="BU31" i="32"/>
  <c r="AE29" i="33" s="1"/>
  <c r="BT31" i="32"/>
  <c r="AD29" i="33" s="1"/>
  <c r="BS31" i="32"/>
  <c r="AC29" i="33" s="1"/>
  <c r="BR31" i="32"/>
  <c r="AB29" i="33" s="1"/>
  <c r="BQ31" i="32"/>
  <c r="AA29" i="33" s="1"/>
  <c r="BP31" i="32"/>
  <c r="BO31" i="32"/>
  <c r="BN31" i="32"/>
  <c r="X29" i="33" s="1"/>
  <c r="BM31" i="32"/>
  <c r="W29" i="33" s="1"/>
  <c r="BL31" i="32"/>
  <c r="V29" i="33" s="1"/>
  <c r="BK31" i="32"/>
  <c r="U29" i="33" s="1"/>
  <c r="BJ31" i="32"/>
  <c r="T29" i="33" s="1"/>
  <c r="BI31" i="32"/>
  <c r="S29" i="33" s="1"/>
  <c r="BH31" i="32"/>
  <c r="BG31" i="32"/>
  <c r="BF31" i="32"/>
  <c r="P29" i="33" s="1"/>
  <c r="BE31" i="32"/>
  <c r="O29" i="33" s="1"/>
  <c r="BD31" i="32"/>
  <c r="N29" i="33" s="1"/>
  <c r="BC31" i="32"/>
  <c r="M29" i="33" s="1"/>
  <c r="BB31" i="32"/>
  <c r="L29" i="33" s="1"/>
  <c r="BA31" i="32"/>
  <c r="K29" i="33" s="1"/>
  <c r="AZ31" i="32"/>
  <c r="AY31" i="32"/>
  <c r="AX31" i="32"/>
  <c r="H29" i="33" s="1"/>
  <c r="CB30" i="32"/>
  <c r="AL28" i="33" s="1"/>
  <c r="CA30" i="32"/>
  <c r="AK28" i="33" s="1"/>
  <c r="BZ30" i="32"/>
  <c r="AJ28" i="33" s="1"/>
  <c r="BY30" i="32"/>
  <c r="AI28" i="33" s="1"/>
  <c r="BX30" i="32"/>
  <c r="AH28" i="33" s="1"/>
  <c r="BW30" i="32"/>
  <c r="BV30" i="32"/>
  <c r="BU30" i="32"/>
  <c r="AE28" i="33" s="1"/>
  <c r="BT30" i="32"/>
  <c r="AD28" i="33" s="1"/>
  <c r="BS30" i="32"/>
  <c r="AC28" i="33" s="1"/>
  <c r="BR30" i="32"/>
  <c r="AB28" i="33" s="1"/>
  <c r="BQ30" i="32"/>
  <c r="AA28" i="33" s="1"/>
  <c r="BP30" i="32"/>
  <c r="Z28" i="33" s="1"/>
  <c r="BO30" i="32"/>
  <c r="BN30" i="32"/>
  <c r="BM30" i="32"/>
  <c r="W28" i="33" s="1"/>
  <c r="BL30" i="32"/>
  <c r="V28" i="33" s="1"/>
  <c r="BK30" i="32"/>
  <c r="U28" i="33" s="1"/>
  <c r="BJ30" i="32"/>
  <c r="T28" i="33" s="1"/>
  <c r="BI30" i="32"/>
  <c r="S28" i="33" s="1"/>
  <c r="BH30" i="32"/>
  <c r="R28" i="33" s="1"/>
  <c r="BG30" i="32"/>
  <c r="BF30" i="32"/>
  <c r="BE30" i="32"/>
  <c r="O28" i="33" s="1"/>
  <c r="BD30" i="32"/>
  <c r="N28" i="33" s="1"/>
  <c r="BC30" i="32"/>
  <c r="M28" i="33" s="1"/>
  <c r="BB30" i="32"/>
  <c r="L28" i="33" s="1"/>
  <c r="BA30" i="32"/>
  <c r="K28" i="33" s="1"/>
  <c r="AZ30" i="32"/>
  <c r="J28" i="33" s="1"/>
  <c r="AY30" i="32"/>
  <c r="AX30" i="32"/>
  <c r="CB29" i="32"/>
  <c r="AL27" i="33" s="1"/>
  <c r="CA29" i="32"/>
  <c r="AK27" i="33" s="1"/>
  <c r="BZ29" i="32"/>
  <c r="AJ27" i="33" s="1"/>
  <c r="BY29" i="32"/>
  <c r="AI27" i="33" s="1"/>
  <c r="BX29" i="32"/>
  <c r="AH27" i="33" s="1"/>
  <c r="BW29" i="32"/>
  <c r="AG27" i="33" s="1"/>
  <c r="BV29" i="32"/>
  <c r="BU29" i="32"/>
  <c r="BT29" i="32"/>
  <c r="AD27" i="33" s="1"/>
  <c r="BS29" i="32"/>
  <c r="AC27" i="33" s="1"/>
  <c r="BR29" i="32"/>
  <c r="AB27" i="33" s="1"/>
  <c r="BQ29" i="32"/>
  <c r="AA27" i="33" s="1"/>
  <c r="BP29" i="32"/>
  <c r="Z27" i="33" s="1"/>
  <c r="BO29" i="32"/>
  <c r="Y27" i="33" s="1"/>
  <c r="BN29" i="32"/>
  <c r="BM29" i="32"/>
  <c r="BL29" i="32"/>
  <c r="V27" i="33" s="1"/>
  <c r="BK29" i="32"/>
  <c r="U27" i="33" s="1"/>
  <c r="BJ29" i="32"/>
  <c r="T27" i="33" s="1"/>
  <c r="BI29" i="32"/>
  <c r="S27" i="33" s="1"/>
  <c r="BH29" i="32"/>
  <c r="R27" i="33" s="1"/>
  <c r="BG29" i="32"/>
  <c r="Q27" i="33" s="1"/>
  <c r="BF29" i="32"/>
  <c r="BE29" i="32"/>
  <c r="BD29" i="32"/>
  <c r="N27" i="33" s="1"/>
  <c r="BC29" i="32"/>
  <c r="M27" i="33" s="1"/>
  <c r="BB29" i="32"/>
  <c r="L27" i="33" s="1"/>
  <c r="BA29" i="32"/>
  <c r="K27" i="33" s="1"/>
  <c r="AZ29" i="32"/>
  <c r="J27" i="33" s="1"/>
  <c r="AY29" i="32"/>
  <c r="I27" i="33" s="1"/>
  <c r="AX29" i="32"/>
  <c r="CB28" i="32"/>
  <c r="CA28" i="32"/>
  <c r="AK26" i="33" s="1"/>
  <c r="BZ28" i="32"/>
  <c r="AJ26" i="33" s="1"/>
  <c r="BY28" i="32"/>
  <c r="AI26" i="33" s="1"/>
  <c r="BX28" i="32"/>
  <c r="AH26" i="33" s="1"/>
  <c r="BW28" i="32"/>
  <c r="AG26" i="33" s="1"/>
  <c r="BV28" i="32"/>
  <c r="AF26" i="33" s="1"/>
  <c r="BU28" i="32"/>
  <c r="BT28" i="32"/>
  <c r="BS28" i="32"/>
  <c r="AC26" i="33" s="1"/>
  <c r="BR28" i="32"/>
  <c r="AB26" i="33" s="1"/>
  <c r="BQ28" i="32"/>
  <c r="AA26" i="33" s="1"/>
  <c r="BP28" i="32"/>
  <c r="Z26" i="33" s="1"/>
  <c r="BO28" i="32"/>
  <c r="Y26" i="33" s="1"/>
  <c r="BN28" i="32"/>
  <c r="X26" i="33" s="1"/>
  <c r="BM28" i="32"/>
  <c r="BL28" i="32"/>
  <c r="BK28" i="32"/>
  <c r="U26" i="33" s="1"/>
  <c r="BJ28" i="32"/>
  <c r="BI28" i="32"/>
  <c r="S26" i="33" s="1"/>
  <c r="BH28" i="32"/>
  <c r="R26" i="33" s="1"/>
  <c r="BG28" i="32"/>
  <c r="Q26" i="33" s="1"/>
  <c r="BF28" i="32"/>
  <c r="P26" i="33" s="1"/>
  <c r="BE28" i="32"/>
  <c r="BD28" i="32"/>
  <c r="BC28" i="32"/>
  <c r="M26" i="33" s="1"/>
  <c r="BB28" i="32"/>
  <c r="L26" i="33" s="1"/>
  <c r="BA28" i="32"/>
  <c r="K26" i="33" s="1"/>
  <c r="AZ28" i="32"/>
  <c r="J26" i="33" s="1"/>
  <c r="AY28" i="32"/>
  <c r="I26" i="33" s="1"/>
  <c r="AX28" i="32"/>
  <c r="H26" i="33" s="1"/>
  <c r="AZ25" i="32"/>
  <c r="AY25" i="32"/>
  <c r="AX25" i="32"/>
  <c r="CB24" i="32"/>
  <c r="AL23" i="33" s="1"/>
  <c r="CA24" i="32"/>
  <c r="BZ24" i="32"/>
  <c r="BY24" i="32"/>
  <c r="AI23" i="33" s="1"/>
  <c r="BX24" i="32"/>
  <c r="AH23" i="33" s="1"/>
  <c r="BW24" i="32"/>
  <c r="AG23" i="33" s="1"/>
  <c r="BV24" i="32"/>
  <c r="AF23" i="33" s="1"/>
  <c r="BU24" i="32"/>
  <c r="AE23" i="33" s="1"/>
  <c r="BT24" i="32"/>
  <c r="AD23" i="33" s="1"/>
  <c r="BS24" i="32"/>
  <c r="BR24" i="32"/>
  <c r="BQ24" i="32"/>
  <c r="AA23" i="33" s="1"/>
  <c r="BP24" i="32"/>
  <c r="Z23" i="33" s="1"/>
  <c r="BO24" i="32"/>
  <c r="Y23" i="33" s="1"/>
  <c r="BN24" i="32"/>
  <c r="X23" i="33" s="1"/>
  <c r="BM24" i="32"/>
  <c r="W23" i="33" s="1"/>
  <c r="BL24" i="32"/>
  <c r="V23" i="33" s="1"/>
  <c r="BK24" i="32"/>
  <c r="BJ24" i="32"/>
  <c r="BI24" i="32"/>
  <c r="S23" i="33" s="1"/>
  <c r="BH24" i="32"/>
  <c r="R23" i="33" s="1"/>
  <c r="BG24" i="32"/>
  <c r="Q23" i="33" s="1"/>
  <c r="BF24" i="32"/>
  <c r="P23" i="33" s="1"/>
  <c r="BE24" i="32"/>
  <c r="O23" i="33" s="1"/>
  <c r="BD24" i="32"/>
  <c r="N23" i="33" s="1"/>
  <c r="BC24" i="32"/>
  <c r="BB24" i="32"/>
  <c r="BA24" i="32"/>
  <c r="K23" i="33" s="1"/>
  <c r="AZ24" i="32"/>
  <c r="J23" i="33" s="1"/>
  <c r="AY24" i="32"/>
  <c r="I23" i="33" s="1"/>
  <c r="AX24" i="32"/>
  <c r="H23" i="33" s="1"/>
  <c r="CB23" i="32"/>
  <c r="AL22" i="33" s="1"/>
  <c r="CA23" i="32"/>
  <c r="AK22" i="33" s="1"/>
  <c r="BZ23" i="32"/>
  <c r="BY23" i="32"/>
  <c r="BX23" i="32"/>
  <c r="AH22" i="33" s="1"/>
  <c r="BW23" i="32"/>
  <c r="AG22" i="33" s="1"/>
  <c r="BV23" i="32"/>
  <c r="AF22" i="33" s="1"/>
  <c r="BU23" i="32"/>
  <c r="AE22" i="33" s="1"/>
  <c r="BT23" i="32"/>
  <c r="AD22" i="33" s="1"/>
  <c r="BS23" i="32"/>
  <c r="AC22" i="33" s="1"/>
  <c r="BR23" i="32"/>
  <c r="BQ23" i="32"/>
  <c r="BP23" i="32"/>
  <c r="Z22" i="33" s="1"/>
  <c r="BO23" i="32"/>
  <c r="Y22" i="33" s="1"/>
  <c r="BN23" i="32"/>
  <c r="X22" i="33" s="1"/>
  <c r="BM23" i="32"/>
  <c r="W22" i="33" s="1"/>
  <c r="BL23" i="32"/>
  <c r="V22" i="33" s="1"/>
  <c r="BK23" i="32"/>
  <c r="U22" i="33" s="1"/>
  <c r="BJ23" i="32"/>
  <c r="BI23" i="32"/>
  <c r="BH23" i="32"/>
  <c r="R22" i="33" s="1"/>
  <c r="BG23" i="32"/>
  <c r="Q22" i="33" s="1"/>
  <c r="BF23" i="32"/>
  <c r="P22" i="33" s="1"/>
  <c r="BE23" i="32"/>
  <c r="O22" i="33" s="1"/>
  <c r="BD23" i="32"/>
  <c r="N22" i="33" s="1"/>
  <c r="BC23" i="32"/>
  <c r="M22" i="33" s="1"/>
  <c r="BB23" i="32"/>
  <c r="BA23" i="32"/>
  <c r="AZ23" i="32"/>
  <c r="J22" i="33" s="1"/>
  <c r="AY23" i="32"/>
  <c r="I22" i="33" s="1"/>
  <c r="AX23" i="32"/>
  <c r="H22" i="33" s="1"/>
  <c r="CB22" i="32"/>
  <c r="AL21" i="33" s="1"/>
  <c r="CA22" i="32"/>
  <c r="AK21" i="33" s="1"/>
  <c r="BZ22" i="32"/>
  <c r="AJ21" i="33" s="1"/>
  <c r="BY22" i="32"/>
  <c r="BX22" i="32"/>
  <c r="BW22" i="32"/>
  <c r="AG21" i="33" s="1"/>
  <c r="BV22" i="32"/>
  <c r="AF21" i="33" s="1"/>
  <c r="BU22" i="32"/>
  <c r="AE21" i="33" s="1"/>
  <c r="BT22" i="32"/>
  <c r="AD21" i="33" s="1"/>
  <c r="BS22" i="32"/>
  <c r="AC21" i="33" s="1"/>
  <c r="BR22" i="32"/>
  <c r="AB21" i="33" s="1"/>
  <c r="BQ22" i="32"/>
  <c r="BP22" i="32"/>
  <c r="BO22" i="32"/>
  <c r="Y21" i="33" s="1"/>
  <c r="BN22" i="32"/>
  <c r="X21" i="33" s="1"/>
  <c r="BM22" i="32"/>
  <c r="W21" i="33" s="1"/>
  <c r="BL22" i="32"/>
  <c r="V21" i="33" s="1"/>
  <c r="BK22" i="32"/>
  <c r="U21" i="33" s="1"/>
  <c r="BJ22" i="32"/>
  <c r="T21" i="33" s="1"/>
  <c r="BI22" i="32"/>
  <c r="BH22" i="32"/>
  <c r="BG22" i="32"/>
  <c r="Q21" i="33" s="1"/>
  <c r="BF22" i="32"/>
  <c r="P21" i="33" s="1"/>
  <c r="BE22" i="32"/>
  <c r="O21" i="33" s="1"/>
  <c r="BD22" i="32"/>
  <c r="N21" i="33" s="1"/>
  <c r="BC22" i="32"/>
  <c r="M21" i="33" s="1"/>
  <c r="BB22" i="32"/>
  <c r="L21" i="33" s="1"/>
  <c r="BA22" i="32"/>
  <c r="AZ22" i="32"/>
  <c r="AY22" i="32"/>
  <c r="I21" i="33" s="1"/>
  <c r="AX22" i="32"/>
  <c r="H21" i="33" s="1"/>
  <c r="CB21" i="32"/>
  <c r="AL20" i="33" s="1"/>
  <c r="CA21" i="32"/>
  <c r="AK20" i="33" s="1"/>
  <c r="BZ21" i="32"/>
  <c r="AJ20" i="33" s="1"/>
  <c r="BY21" i="32"/>
  <c r="AI20" i="33" s="1"/>
  <c r="BX21" i="32"/>
  <c r="BW21" i="32"/>
  <c r="BV21" i="32"/>
  <c r="AF20" i="33" s="1"/>
  <c r="BU21" i="32"/>
  <c r="AE20" i="33" s="1"/>
  <c r="BT21" i="32"/>
  <c r="AD20" i="33" s="1"/>
  <c r="BS21" i="32"/>
  <c r="AC20" i="33" s="1"/>
  <c r="BR21" i="32"/>
  <c r="AB20" i="33" s="1"/>
  <c r="BQ21" i="32"/>
  <c r="AA20" i="33" s="1"/>
  <c r="BP21" i="32"/>
  <c r="BO21" i="32"/>
  <c r="BN21" i="32"/>
  <c r="X20" i="33" s="1"/>
  <c r="BM21" i="32"/>
  <c r="W20" i="33" s="1"/>
  <c r="BL21" i="32"/>
  <c r="V20" i="33" s="1"/>
  <c r="BK21" i="32"/>
  <c r="U20" i="33" s="1"/>
  <c r="BJ21" i="32"/>
  <c r="T20" i="33" s="1"/>
  <c r="BI21" i="32"/>
  <c r="S20" i="33" s="1"/>
  <c r="BH21" i="32"/>
  <c r="BG21" i="32"/>
  <c r="BF21" i="32"/>
  <c r="P20" i="33" s="1"/>
  <c r="BE21" i="32"/>
  <c r="O20" i="33" s="1"/>
  <c r="BD21" i="32"/>
  <c r="N20" i="33" s="1"/>
  <c r="BC21" i="32"/>
  <c r="M20" i="33" s="1"/>
  <c r="BB21" i="32"/>
  <c r="L20" i="33" s="1"/>
  <c r="BA21" i="32"/>
  <c r="K20" i="33" s="1"/>
  <c r="AZ21" i="32"/>
  <c r="AY21" i="32"/>
  <c r="AX21" i="32"/>
  <c r="H20" i="33" s="1"/>
  <c r="CB20" i="32"/>
  <c r="AL19" i="33" s="1"/>
  <c r="CA20" i="32"/>
  <c r="AK19" i="33" s="1"/>
  <c r="BZ20" i="32"/>
  <c r="AJ19" i="33" s="1"/>
  <c r="BY20" i="32"/>
  <c r="AI19" i="33" s="1"/>
  <c r="BX20" i="32"/>
  <c r="AH19" i="33" s="1"/>
  <c r="BW20" i="32"/>
  <c r="BV20" i="32"/>
  <c r="BU20" i="32"/>
  <c r="AE19" i="33" s="1"/>
  <c r="BT20" i="32"/>
  <c r="AD19" i="33" s="1"/>
  <c r="BS20" i="32"/>
  <c r="AC19" i="33" s="1"/>
  <c r="BR20" i="32"/>
  <c r="AB19" i="33" s="1"/>
  <c r="BQ20" i="32"/>
  <c r="AA19" i="33" s="1"/>
  <c r="BP20" i="32"/>
  <c r="Z19" i="33" s="1"/>
  <c r="BO20" i="32"/>
  <c r="BN20" i="32"/>
  <c r="BM20" i="32"/>
  <c r="W19" i="33" s="1"/>
  <c r="BL20" i="32"/>
  <c r="V19" i="33" s="1"/>
  <c r="BK20" i="32"/>
  <c r="U19" i="33" s="1"/>
  <c r="BJ20" i="32"/>
  <c r="T19" i="33" s="1"/>
  <c r="BI20" i="32"/>
  <c r="S19" i="33" s="1"/>
  <c r="BH20" i="32"/>
  <c r="R19" i="33" s="1"/>
  <c r="BG20" i="32"/>
  <c r="BF20" i="32"/>
  <c r="BE20" i="32"/>
  <c r="O19" i="33" s="1"/>
  <c r="BD20" i="32"/>
  <c r="N19" i="33" s="1"/>
  <c r="BC20" i="32"/>
  <c r="M19" i="33" s="1"/>
  <c r="BB20" i="32"/>
  <c r="L19" i="33" s="1"/>
  <c r="BA20" i="32"/>
  <c r="K19" i="33" s="1"/>
  <c r="AZ20" i="32"/>
  <c r="J19" i="33" s="1"/>
  <c r="AY20" i="32"/>
  <c r="AX20" i="32"/>
  <c r="CB19" i="32"/>
  <c r="AL18" i="33" s="1"/>
  <c r="CA19" i="32"/>
  <c r="AK18" i="33" s="1"/>
  <c r="BZ19" i="32"/>
  <c r="AJ18" i="33" s="1"/>
  <c r="BY19" i="32"/>
  <c r="AI18" i="33" s="1"/>
  <c r="BX19" i="32"/>
  <c r="AH18" i="33" s="1"/>
  <c r="BW19" i="32"/>
  <c r="AG18" i="33" s="1"/>
  <c r="BV19" i="32"/>
  <c r="BU19" i="32"/>
  <c r="BT19" i="32"/>
  <c r="AD18" i="33" s="1"/>
  <c r="BS19" i="32"/>
  <c r="AC18" i="33" s="1"/>
  <c r="BR19" i="32"/>
  <c r="AB18" i="33" s="1"/>
  <c r="BQ19" i="32"/>
  <c r="AA18" i="33" s="1"/>
  <c r="BP19" i="32"/>
  <c r="Z18" i="33" s="1"/>
  <c r="BO19" i="32"/>
  <c r="Y18" i="33" s="1"/>
  <c r="BN19" i="32"/>
  <c r="BM19" i="32"/>
  <c r="BL19" i="32"/>
  <c r="V18" i="33" s="1"/>
  <c r="BK19" i="32"/>
  <c r="U18" i="33" s="1"/>
  <c r="BJ19" i="32"/>
  <c r="T18" i="33" s="1"/>
  <c r="BI19" i="32"/>
  <c r="S18" i="33" s="1"/>
  <c r="BH19" i="32"/>
  <c r="R18" i="33" s="1"/>
  <c r="BG19" i="32"/>
  <c r="Q18" i="33" s="1"/>
  <c r="BF19" i="32"/>
  <c r="BE19" i="32"/>
  <c r="BD19" i="32"/>
  <c r="N18" i="33" s="1"/>
  <c r="BC19" i="32"/>
  <c r="M18" i="33" s="1"/>
  <c r="BB19" i="32"/>
  <c r="L18" i="33" s="1"/>
  <c r="BA19" i="32"/>
  <c r="K18" i="33" s="1"/>
  <c r="AZ19" i="32"/>
  <c r="J18" i="33" s="1"/>
  <c r="AY19" i="32"/>
  <c r="I18" i="33" s="1"/>
  <c r="AX19" i="32"/>
  <c r="CB18" i="32"/>
  <c r="CA18" i="32"/>
  <c r="AK17" i="33" s="1"/>
  <c r="BZ18" i="32"/>
  <c r="AJ17" i="33" s="1"/>
  <c r="BY18" i="32"/>
  <c r="AI17" i="33" s="1"/>
  <c r="BX18" i="32"/>
  <c r="AH17" i="33" s="1"/>
  <c r="BW18" i="32"/>
  <c r="AG17" i="33" s="1"/>
  <c r="BV18" i="32"/>
  <c r="AF17" i="33" s="1"/>
  <c r="BU18" i="32"/>
  <c r="BT18" i="32"/>
  <c r="BS18" i="32"/>
  <c r="AC17" i="33" s="1"/>
  <c r="BR18" i="32"/>
  <c r="AB17" i="33" s="1"/>
  <c r="BQ18" i="32"/>
  <c r="AA17" i="33" s="1"/>
  <c r="BP18" i="32"/>
  <c r="Z17" i="33" s="1"/>
  <c r="BO18" i="32"/>
  <c r="Y17" i="33" s="1"/>
  <c r="BN18" i="32"/>
  <c r="X17" i="33" s="1"/>
  <c r="BM18" i="32"/>
  <c r="BL18" i="32"/>
  <c r="BK18" i="32"/>
  <c r="U17" i="33" s="1"/>
  <c r="BJ18" i="32"/>
  <c r="T17" i="33" s="1"/>
  <c r="BI18" i="32"/>
  <c r="S17" i="33" s="1"/>
  <c r="BH18" i="32"/>
  <c r="R17" i="33" s="1"/>
  <c r="BG18" i="32"/>
  <c r="Q17" i="33" s="1"/>
  <c r="BF18" i="32"/>
  <c r="P17" i="33" s="1"/>
  <c r="BE18" i="32"/>
  <c r="BD18" i="32"/>
  <c r="BC18" i="32"/>
  <c r="M17" i="33" s="1"/>
  <c r="BB18" i="32"/>
  <c r="L17" i="33" s="1"/>
  <c r="BA18" i="32"/>
  <c r="K17" i="33" s="1"/>
  <c r="AZ18" i="32"/>
  <c r="J17" i="33" s="1"/>
  <c r="AY18" i="32"/>
  <c r="I17" i="33" s="1"/>
  <c r="AX18" i="32"/>
  <c r="H17" i="33" s="1"/>
  <c r="CB17" i="32"/>
  <c r="CA17" i="32"/>
  <c r="BZ17" i="32"/>
  <c r="AJ16" i="33" s="1"/>
  <c r="BY17" i="32"/>
  <c r="AI16" i="33" s="1"/>
  <c r="BX17" i="32"/>
  <c r="AH16" i="33" s="1"/>
  <c r="BW17" i="32"/>
  <c r="AG16" i="33" s="1"/>
  <c r="BV17" i="32"/>
  <c r="AF16" i="33" s="1"/>
  <c r="BU17" i="32"/>
  <c r="AE16" i="33" s="1"/>
  <c r="BT17" i="32"/>
  <c r="BS17" i="32"/>
  <c r="BR17" i="32"/>
  <c r="AB16" i="33" s="1"/>
  <c r="BQ17" i="32"/>
  <c r="AA16" i="33" s="1"/>
  <c r="BP17" i="32"/>
  <c r="Z16" i="33" s="1"/>
  <c r="BO17" i="32"/>
  <c r="Y16" i="33" s="1"/>
  <c r="BN17" i="32"/>
  <c r="X16" i="33" s="1"/>
  <c r="BM17" i="32"/>
  <c r="W16" i="33" s="1"/>
  <c r="BL17" i="32"/>
  <c r="BK17" i="32"/>
  <c r="BJ17" i="32"/>
  <c r="T16" i="33" s="1"/>
  <c r="BI17" i="32"/>
  <c r="S16" i="33" s="1"/>
  <c r="BH17" i="32"/>
  <c r="R16" i="33" s="1"/>
  <c r="BG17" i="32"/>
  <c r="Q16" i="33" s="1"/>
  <c r="BF17" i="32"/>
  <c r="P16" i="33" s="1"/>
  <c r="BE17" i="32"/>
  <c r="O16" i="33" s="1"/>
  <c r="BD17" i="32"/>
  <c r="BC17" i="32"/>
  <c r="BB17" i="32"/>
  <c r="L16" i="33" s="1"/>
  <c r="BA17" i="32"/>
  <c r="K16" i="33" s="1"/>
  <c r="AZ17" i="32"/>
  <c r="J16" i="33" s="1"/>
  <c r="AY17" i="32"/>
  <c r="I16" i="33" s="1"/>
  <c r="AX17" i="32"/>
  <c r="H16" i="33" s="1"/>
  <c r="CB16" i="32"/>
  <c r="AL15" i="33" s="1"/>
  <c r="CA16" i="32"/>
  <c r="BZ16" i="32"/>
  <c r="BY16" i="32"/>
  <c r="AI15" i="33" s="1"/>
  <c r="BX16" i="32"/>
  <c r="AH15" i="33" s="1"/>
  <c r="BW16" i="32"/>
  <c r="AG15" i="33" s="1"/>
  <c r="BV16" i="32"/>
  <c r="AF15" i="33" s="1"/>
  <c r="BU16" i="32"/>
  <c r="AE15" i="33" s="1"/>
  <c r="BT16" i="32"/>
  <c r="AD15" i="33" s="1"/>
  <c r="BS16" i="32"/>
  <c r="BR16" i="32"/>
  <c r="BQ16" i="32"/>
  <c r="AA15" i="33" s="1"/>
  <c r="BP16" i="32"/>
  <c r="Z15" i="33" s="1"/>
  <c r="BO16" i="32"/>
  <c r="Y15" i="33" s="1"/>
  <c r="BN16" i="32"/>
  <c r="X15" i="33" s="1"/>
  <c r="BM16" i="32"/>
  <c r="W15" i="33" s="1"/>
  <c r="BL16" i="32"/>
  <c r="V15" i="33" s="1"/>
  <c r="BK16" i="32"/>
  <c r="BJ16" i="32"/>
  <c r="BI16" i="32"/>
  <c r="S15" i="33" s="1"/>
  <c r="BH16" i="32"/>
  <c r="R15" i="33" s="1"/>
  <c r="BG16" i="32"/>
  <c r="Q15" i="33" s="1"/>
  <c r="BF16" i="32"/>
  <c r="P15" i="33" s="1"/>
  <c r="BE16" i="32"/>
  <c r="O15" i="33" s="1"/>
  <c r="BD16" i="32"/>
  <c r="N15" i="33" s="1"/>
  <c r="BC16" i="32"/>
  <c r="BB16" i="32"/>
  <c r="BA16" i="32"/>
  <c r="K15" i="33" s="1"/>
  <c r="AZ16" i="32"/>
  <c r="J15" i="33" s="1"/>
  <c r="AY16" i="32"/>
  <c r="I15" i="33" s="1"/>
  <c r="AX16" i="32"/>
  <c r="H15" i="33" s="1"/>
  <c r="CB15" i="32"/>
  <c r="AL14" i="33" s="1"/>
  <c r="CA15" i="32"/>
  <c r="AK14" i="33" s="1"/>
  <c r="BZ15" i="32"/>
  <c r="BY15" i="32"/>
  <c r="BX15" i="32"/>
  <c r="AH14" i="33" s="1"/>
  <c r="BW15" i="32"/>
  <c r="AG14" i="33" s="1"/>
  <c r="BV15" i="32"/>
  <c r="AF14" i="33" s="1"/>
  <c r="BU15" i="32"/>
  <c r="AE14" i="33" s="1"/>
  <c r="BT15" i="32"/>
  <c r="AD14" i="33" s="1"/>
  <c r="BS15" i="32"/>
  <c r="AC14" i="33" s="1"/>
  <c r="BR15" i="32"/>
  <c r="BQ15" i="32"/>
  <c r="BP15" i="32"/>
  <c r="Z14" i="33" s="1"/>
  <c r="BO15" i="32"/>
  <c r="Y14" i="33" s="1"/>
  <c r="BN15" i="32"/>
  <c r="X14" i="33" s="1"/>
  <c r="BM15" i="32"/>
  <c r="W14" i="33" s="1"/>
  <c r="BL15" i="32"/>
  <c r="V14" i="33" s="1"/>
  <c r="BK15" i="32"/>
  <c r="U14" i="33" s="1"/>
  <c r="BJ15" i="32"/>
  <c r="BI15" i="32"/>
  <c r="BH15" i="32"/>
  <c r="R14" i="33" s="1"/>
  <c r="BG15" i="32"/>
  <c r="Q14" i="33" s="1"/>
  <c r="BF15" i="32"/>
  <c r="P14" i="33" s="1"/>
  <c r="BE15" i="32"/>
  <c r="O14" i="33" s="1"/>
  <c r="BD15" i="32"/>
  <c r="N14" i="33" s="1"/>
  <c r="BC15" i="32"/>
  <c r="M14" i="33" s="1"/>
  <c r="BB15" i="32"/>
  <c r="BA15" i="32"/>
  <c r="AZ15" i="32"/>
  <c r="J14" i="33" s="1"/>
  <c r="AY15" i="32"/>
  <c r="I14" i="33" s="1"/>
  <c r="AX15" i="32"/>
  <c r="H14" i="33" s="1"/>
  <c r="CB14" i="32"/>
  <c r="AL13" i="33" s="1"/>
  <c r="CA14" i="32"/>
  <c r="AK13" i="33" s="1"/>
  <c r="BZ14" i="32"/>
  <c r="AJ13" i="33" s="1"/>
  <c r="BY14" i="32"/>
  <c r="BX14" i="32"/>
  <c r="BW14" i="32"/>
  <c r="AG13" i="33" s="1"/>
  <c r="BV14" i="32"/>
  <c r="AF13" i="33" s="1"/>
  <c r="BU14" i="32"/>
  <c r="AE13" i="33" s="1"/>
  <c r="BT14" i="32"/>
  <c r="AD13" i="33" s="1"/>
  <c r="BS14" i="32"/>
  <c r="AC13" i="33" s="1"/>
  <c r="BR14" i="32"/>
  <c r="AB13" i="33" s="1"/>
  <c r="BQ14" i="32"/>
  <c r="BP14" i="32"/>
  <c r="BO14" i="32"/>
  <c r="Y13" i="33" s="1"/>
  <c r="BN14" i="32"/>
  <c r="X13" i="33" s="1"/>
  <c r="BM14" i="32"/>
  <c r="W13" i="33" s="1"/>
  <c r="BL14" i="32"/>
  <c r="V13" i="33" s="1"/>
  <c r="BK14" i="32"/>
  <c r="U13" i="33" s="1"/>
  <c r="BJ14" i="32"/>
  <c r="T13" i="33" s="1"/>
  <c r="BI14" i="32"/>
  <c r="BH14" i="32"/>
  <c r="BG14" i="32"/>
  <c r="Q13" i="33" s="1"/>
  <c r="BF14" i="32"/>
  <c r="BE14" i="32"/>
  <c r="O13" i="33" s="1"/>
  <c r="BD14" i="32"/>
  <c r="N13" i="33" s="1"/>
  <c r="BC14" i="32"/>
  <c r="M13" i="33" s="1"/>
  <c r="BB14" i="32"/>
  <c r="L13" i="33" s="1"/>
  <c r="BA14" i="32"/>
  <c r="AZ14" i="32"/>
  <c r="AY14" i="32"/>
  <c r="I13" i="33" s="1"/>
  <c r="AX14" i="32"/>
  <c r="H13" i="33" s="1"/>
  <c r="CB13" i="32"/>
  <c r="AL12" i="33" s="1"/>
  <c r="CA13" i="32"/>
  <c r="AK12" i="33" s="1"/>
  <c r="BZ13" i="32"/>
  <c r="AJ12" i="33" s="1"/>
  <c r="BY13" i="32"/>
  <c r="AI12" i="33" s="1"/>
  <c r="BX13" i="32"/>
  <c r="BW13" i="32"/>
  <c r="BV13" i="32"/>
  <c r="AF12" i="33" s="1"/>
  <c r="BU13" i="32"/>
  <c r="AE12" i="33" s="1"/>
  <c r="BT13" i="32"/>
  <c r="AD12" i="33" s="1"/>
  <c r="BS13" i="32"/>
  <c r="AC12" i="33" s="1"/>
  <c r="BR13" i="32"/>
  <c r="AB12" i="33" s="1"/>
  <c r="BQ13" i="32"/>
  <c r="AA12" i="33" s="1"/>
  <c r="BP13" i="32"/>
  <c r="BO13" i="32"/>
  <c r="BN13" i="32"/>
  <c r="X12" i="33" s="1"/>
  <c r="BM13" i="32"/>
  <c r="W12" i="33" s="1"/>
  <c r="BL13" i="32"/>
  <c r="V12" i="33" s="1"/>
  <c r="BK13" i="32"/>
  <c r="U12" i="33" s="1"/>
  <c r="BJ13" i="32"/>
  <c r="T12" i="33" s="1"/>
  <c r="BI13" i="32"/>
  <c r="S12" i="33" s="1"/>
  <c r="BH13" i="32"/>
  <c r="BG13" i="32"/>
  <c r="BF13" i="32"/>
  <c r="P12" i="33" s="1"/>
  <c r="BE13" i="32"/>
  <c r="O12" i="33" s="1"/>
  <c r="BD13" i="32"/>
  <c r="N12" i="33" s="1"/>
  <c r="BC13" i="32"/>
  <c r="M12" i="33" s="1"/>
  <c r="BB13" i="32"/>
  <c r="L12" i="33" s="1"/>
  <c r="BA13" i="32"/>
  <c r="K12" i="33" s="1"/>
  <c r="AZ13" i="32"/>
  <c r="AY13" i="32"/>
  <c r="AX13" i="32"/>
  <c r="H12" i="33" s="1"/>
  <c r="CB12" i="32"/>
  <c r="AL11" i="33" s="1"/>
  <c r="CA12" i="32"/>
  <c r="AK11" i="33" s="1"/>
  <c r="BZ12" i="32"/>
  <c r="AJ11" i="33" s="1"/>
  <c r="BY12" i="32"/>
  <c r="AI11" i="33" s="1"/>
  <c r="BX12" i="32"/>
  <c r="AH11" i="33" s="1"/>
  <c r="BW12" i="32"/>
  <c r="BV12" i="32"/>
  <c r="BU12" i="32"/>
  <c r="AE11" i="33" s="1"/>
  <c r="BT12" i="32"/>
  <c r="AD11" i="33" s="1"/>
  <c r="BS12" i="32"/>
  <c r="AC11" i="33" s="1"/>
  <c r="BR12" i="32"/>
  <c r="AB11" i="33" s="1"/>
  <c r="BQ12" i="32"/>
  <c r="AA11" i="33" s="1"/>
  <c r="BP12" i="32"/>
  <c r="Z11" i="33" s="1"/>
  <c r="BO12" i="32"/>
  <c r="BN12" i="32"/>
  <c r="BM12" i="32"/>
  <c r="W11" i="33" s="1"/>
  <c r="BL12" i="32"/>
  <c r="V11" i="33" s="1"/>
  <c r="BK12" i="32"/>
  <c r="U11" i="33" s="1"/>
  <c r="BJ12" i="32"/>
  <c r="T11" i="33" s="1"/>
  <c r="BI12" i="32"/>
  <c r="S11" i="33" s="1"/>
  <c r="BH12" i="32"/>
  <c r="R11" i="33" s="1"/>
  <c r="BG12" i="32"/>
  <c r="BF12" i="32"/>
  <c r="BE12" i="32"/>
  <c r="O11" i="33" s="1"/>
  <c r="BD12" i="32"/>
  <c r="N11" i="33" s="1"/>
  <c r="BC12" i="32"/>
  <c r="M11" i="33" s="1"/>
  <c r="BB12" i="32"/>
  <c r="L11" i="33" s="1"/>
  <c r="BA12" i="32"/>
  <c r="K11" i="33" s="1"/>
  <c r="AZ12" i="32"/>
  <c r="J11" i="33" s="1"/>
  <c r="AY12" i="32"/>
  <c r="AX12" i="32"/>
  <c r="CB11" i="32"/>
  <c r="AL10" i="33" s="1"/>
  <c r="CA11" i="32"/>
  <c r="AK10" i="33" s="1"/>
  <c r="BZ11" i="32"/>
  <c r="AJ10" i="33" s="1"/>
  <c r="BY11" i="32"/>
  <c r="AI10" i="33" s="1"/>
  <c r="BX11" i="32"/>
  <c r="AH10" i="33" s="1"/>
  <c r="BW11" i="32"/>
  <c r="AG10" i="33" s="1"/>
  <c r="BV11" i="32"/>
  <c r="BU11" i="32"/>
  <c r="BT11" i="32"/>
  <c r="AD10" i="33" s="1"/>
  <c r="BS11" i="32"/>
  <c r="AC10" i="33" s="1"/>
  <c r="BR11" i="32"/>
  <c r="AB10" i="33" s="1"/>
  <c r="BQ11" i="32"/>
  <c r="AA10" i="33" s="1"/>
  <c r="BP11" i="32"/>
  <c r="Z10" i="33" s="1"/>
  <c r="BO11" i="32"/>
  <c r="Y10" i="33" s="1"/>
  <c r="BN11" i="32"/>
  <c r="BM11" i="32"/>
  <c r="BL11" i="32"/>
  <c r="V10" i="33" s="1"/>
  <c r="BK11" i="32"/>
  <c r="U10" i="33" s="1"/>
  <c r="BJ11" i="32"/>
  <c r="T10" i="33" s="1"/>
  <c r="BI11" i="32"/>
  <c r="S10" i="33" s="1"/>
  <c r="BH11" i="32"/>
  <c r="R10" i="33" s="1"/>
  <c r="BG11" i="32"/>
  <c r="Q10" i="33" s="1"/>
  <c r="BF11" i="32"/>
  <c r="BE11" i="32"/>
  <c r="BD11" i="32"/>
  <c r="N10" i="33" s="1"/>
  <c r="BC11" i="32"/>
  <c r="M10" i="33" s="1"/>
  <c r="BB11" i="32"/>
  <c r="L10" i="33" s="1"/>
  <c r="BA11" i="32"/>
  <c r="K10" i="33" s="1"/>
  <c r="AZ11" i="32"/>
  <c r="J10" i="33" s="1"/>
  <c r="AY11" i="32"/>
  <c r="I10" i="33" s="1"/>
  <c r="AX11" i="32"/>
  <c r="CB10" i="32"/>
  <c r="CA10" i="32"/>
  <c r="AK9" i="33" s="1"/>
  <c r="BZ10" i="32"/>
  <c r="AJ9" i="33" s="1"/>
  <c r="BY10" i="32"/>
  <c r="AI9" i="33" s="1"/>
  <c r="BX10" i="32"/>
  <c r="AH9" i="33" s="1"/>
  <c r="BW10" i="32"/>
  <c r="AG9" i="33" s="1"/>
  <c r="BV10" i="32"/>
  <c r="AF9" i="33" s="1"/>
  <c r="BU10" i="32"/>
  <c r="BT10" i="32"/>
  <c r="BS10" i="32"/>
  <c r="AC9" i="33" s="1"/>
  <c r="BR10" i="32"/>
  <c r="BQ10" i="32"/>
  <c r="AA9" i="33" s="1"/>
  <c r="BP10" i="32"/>
  <c r="Z9" i="33" s="1"/>
  <c r="BO10" i="32"/>
  <c r="Y9" i="33" s="1"/>
  <c r="BN10" i="32"/>
  <c r="X9" i="33" s="1"/>
  <c r="BM10" i="32"/>
  <c r="BL10" i="32"/>
  <c r="BK10" i="32"/>
  <c r="U9" i="33" s="1"/>
  <c r="BJ10" i="32"/>
  <c r="T9" i="33" s="1"/>
  <c r="BI10" i="32"/>
  <c r="S9" i="33" s="1"/>
  <c r="BH10" i="32"/>
  <c r="R9" i="33" s="1"/>
  <c r="BG10" i="32"/>
  <c r="Q9" i="33" s="1"/>
  <c r="BF10" i="32"/>
  <c r="P9" i="33" s="1"/>
  <c r="BE10" i="32"/>
  <c r="BD10" i="32"/>
  <c r="BC10" i="32"/>
  <c r="M9" i="33" s="1"/>
  <c r="BB10" i="32"/>
  <c r="L9" i="33" s="1"/>
  <c r="BA10" i="32"/>
  <c r="K9" i="33" s="1"/>
  <c r="AZ10" i="32"/>
  <c r="J9" i="33" s="1"/>
  <c r="AY10" i="32"/>
  <c r="I9" i="33" s="1"/>
  <c r="AX10" i="32"/>
  <c r="H9" i="33" s="1"/>
  <c r="CB9" i="32"/>
  <c r="CA9" i="32"/>
  <c r="BZ9" i="32"/>
  <c r="AJ8" i="33" s="1"/>
  <c r="BY9" i="32"/>
  <c r="AI8" i="33" s="1"/>
  <c r="BX9" i="32"/>
  <c r="AH8" i="33" s="1"/>
  <c r="BW9" i="32"/>
  <c r="AG8" i="33" s="1"/>
  <c r="BV9" i="32"/>
  <c r="AF8" i="33" s="1"/>
  <c r="BU9" i="32"/>
  <c r="AE8" i="33" s="1"/>
  <c r="BT9" i="32"/>
  <c r="BS9" i="32"/>
  <c r="BR9" i="32"/>
  <c r="AB8" i="33" s="1"/>
  <c r="BQ9" i="32"/>
  <c r="AA8" i="33" s="1"/>
  <c r="BP9" i="32"/>
  <c r="Z8" i="33" s="1"/>
  <c r="BO9" i="32"/>
  <c r="Y8" i="33" s="1"/>
  <c r="BN9" i="32"/>
  <c r="X8" i="33" s="1"/>
  <c r="BM9" i="32"/>
  <c r="W8" i="33" s="1"/>
  <c r="BL9" i="32"/>
  <c r="BK9" i="32"/>
  <c r="BJ9" i="32"/>
  <c r="T8" i="33" s="1"/>
  <c r="JF8" i="33" s="1"/>
  <c r="BI9" i="32"/>
  <c r="S8" i="33" s="1"/>
  <c r="BH9" i="32"/>
  <c r="R8" i="33" s="1"/>
  <c r="BG9" i="32"/>
  <c r="Q8" i="33" s="1"/>
  <c r="BF9" i="32"/>
  <c r="P8" i="33" s="1"/>
  <c r="BE9" i="32"/>
  <c r="O8" i="33" s="1"/>
  <c r="BD9" i="32"/>
  <c r="BC9" i="32"/>
  <c r="BB9" i="32"/>
  <c r="L8" i="33" s="1"/>
  <c r="BA9" i="32"/>
  <c r="K8" i="33" s="1"/>
  <c r="AZ9" i="32"/>
  <c r="J8" i="33" s="1"/>
  <c r="AY9" i="32"/>
  <c r="I8" i="33" s="1"/>
  <c r="AX9" i="32"/>
  <c r="H8" i="33" s="1"/>
  <c r="CB6" i="32"/>
  <c r="CA6" i="32"/>
  <c r="BZ6" i="32"/>
  <c r="BY6" i="32"/>
  <c r="BX6" i="32"/>
  <c r="BW6" i="32"/>
  <c r="BV6" i="32"/>
  <c r="BU6" i="32"/>
  <c r="BT6" i="32"/>
  <c r="BS6" i="32"/>
  <c r="BR6" i="32"/>
  <c r="BQ6" i="32"/>
  <c r="BP6" i="32"/>
  <c r="BO6" i="32"/>
  <c r="BN6" i="32"/>
  <c r="BM6" i="32"/>
  <c r="BL6" i="32"/>
  <c r="BK6" i="32"/>
  <c r="BJ6" i="32"/>
  <c r="BI6" i="32"/>
  <c r="BH6" i="32"/>
  <c r="BG6" i="32"/>
  <c r="BF6" i="32"/>
  <c r="BE6" i="32"/>
  <c r="BD6" i="32"/>
  <c r="BC6" i="32"/>
  <c r="BB6" i="32"/>
  <c r="BA6" i="32"/>
  <c r="AZ6" i="32"/>
  <c r="AY6" i="32"/>
  <c r="AX6" i="32"/>
  <c r="AL5" i="33"/>
  <c r="AK5" i="33"/>
  <c r="AJ5" i="33"/>
  <c r="JV5" i="33" s="1"/>
  <c r="AI5" i="33"/>
  <c r="JU5" i="33" s="1"/>
  <c r="AH5" i="33"/>
  <c r="AG5" i="33"/>
  <c r="AF5" i="33"/>
  <c r="AE5" i="33"/>
  <c r="AD5" i="33"/>
  <c r="AC5" i="33"/>
  <c r="AB5" i="33"/>
  <c r="JN5" i="33" s="1"/>
  <c r="AA5" i="33"/>
  <c r="JM5" i="33" s="1"/>
  <c r="Z5" i="33"/>
  <c r="Y5" i="33"/>
  <c r="X5" i="33"/>
  <c r="W5" i="33"/>
  <c r="V5" i="33"/>
  <c r="U5" i="33"/>
  <c r="T5" i="33"/>
  <c r="JF5" i="33" s="1"/>
  <c r="S5" i="33"/>
  <c r="JE5" i="33" s="1"/>
  <c r="R5" i="33"/>
  <c r="Q5" i="33"/>
  <c r="P5" i="33"/>
  <c r="O5" i="33"/>
  <c r="N5" i="33"/>
  <c r="M5" i="33"/>
  <c r="L5" i="33"/>
  <c r="IX5" i="33" s="1"/>
  <c r="K5" i="33"/>
  <c r="IW5" i="33" s="1"/>
  <c r="AZ5" i="32"/>
  <c r="J5" i="33" s="1"/>
  <c r="AY5" i="32"/>
  <c r="I5" i="33" s="1"/>
  <c r="AX5" i="32"/>
  <c r="H5" i="33" s="1"/>
  <c r="IS61" i="33"/>
  <c r="IS60" i="33"/>
  <c r="IS52" i="33"/>
  <c r="IS51" i="33"/>
  <c r="IS44" i="33"/>
  <c r="IS43" i="33"/>
  <c r="IS35" i="33"/>
  <c r="IS34" i="33"/>
  <c r="IS27" i="33"/>
  <c r="IS26" i="33"/>
  <c r="IS18" i="33"/>
  <c r="IS17" i="33"/>
  <c r="IS10" i="33"/>
  <c r="IS9" i="33"/>
  <c r="G5" i="33"/>
  <c r="IO5" i="33" l="1"/>
  <c r="BD42" i="32"/>
  <c r="N39" i="33" s="1"/>
  <c r="BL42" i="32"/>
  <c r="V39" i="33" s="1"/>
  <c r="BT42" i="32"/>
  <c r="AD39" i="33" s="1"/>
  <c r="JP39" i="33" s="1"/>
  <c r="CB42" i="32"/>
  <c r="AL39" i="33" s="1"/>
  <c r="JX39" i="33" s="1"/>
  <c r="BE42" i="32"/>
  <c r="O39" i="33" s="1"/>
  <c r="JA39" i="33" s="1"/>
  <c r="BF42" i="32"/>
  <c r="P39" i="33" s="1"/>
  <c r="JB39" i="33" s="1"/>
  <c r="BU42" i="32"/>
  <c r="AE39" i="33" s="1"/>
  <c r="JQ39" i="33" s="1"/>
  <c r="BN42" i="32"/>
  <c r="X39" i="33" s="1"/>
  <c r="JJ39" i="33" s="1"/>
  <c r="AY42" i="32"/>
  <c r="I39" i="33" s="1"/>
  <c r="BG42" i="32"/>
  <c r="Q39" i="33" s="1"/>
  <c r="JC39" i="33" s="1"/>
  <c r="BW42" i="32"/>
  <c r="AG39" i="33" s="1"/>
  <c r="JS39" i="33" s="1"/>
  <c r="AZ42" i="32"/>
  <c r="J39" i="33" s="1"/>
  <c r="IV39" i="33" s="1"/>
  <c r="BH42" i="32"/>
  <c r="R39" i="33" s="1"/>
  <c r="JD39" i="33" s="1"/>
  <c r="BX42" i="32"/>
  <c r="AH39" i="33" s="1"/>
  <c r="IN5" i="33"/>
  <c r="M8" i="33"/>
  <c r="IY8" i="33" s="1"/>
  <c r="U8" i="33"/>
  <c r="JG8" i="33" s="1"/>
  <c r="AC8" i="33"/>
  <c r="JO8" i="33" s="1"/>
  <c r="AK8" i="33"/>
  <c r="JW8" i="33" s="1"/>
  <c r="N9" i="33"/>
  <c r="IZ9" i="33" s="1"/>
  <c r="V9" i="33"/>
  <c r="JH9" i="33" s="1"/>
  <c r="AD9" i="33"/>
  <c r="JP9" i="33" s="1"/>
  <c r="AL9" i="33"/>
  <c r="JX9" i="33" s="1"/>
  <c r="O10" i="33"/>
  <c r="JA10" i="33" s="1"/>
  <c r="W10" i="33"/>
  <c r="JI10" i="33" s="1"/>
  <c r="AE10" i="33"/>
  <c r="JQ10" i="33" s="1"/>
  <c r="H11" i="33"/>
  <c r="IT11" i="33" s="1"/>
  <c r="P11" i="33"/>
  <c r="JB11" i="33" s="1"/>
  <c r="X11" i="33"/>
  <c r="JJ11" i="33" s="1"/>
  <c r="AF11" i="33"/>
  <c r="JR11" i="33" s="1"/>
  <c r="I12" i="33"/>
  <c r="IU12" i="33" s="1"/>
  <c r="Q12" i="33"/>
  <c r="JC12" i="33" s="1"/>
  <c r="Y12" i="33"/>
  <c r="JK12" i="33" s="1"/>
  <c r="AG12" i="33"/>
  <c r="JS12" i="33" s="1"/>
  <c r="J13" i="33"/>
  <c r="IV13" i="33" s="1"/>
  <c r="R13" i="33"/>
  <c r="JD13" i="33" s="1"/>
  <c r="Z13" i="33"/>
  <c r="JL13" i="33" s="1"/>
  <c r="AH13" i="33"/>
  <c r="JT13" i="33" s="1"/>
  <c r="K14" i="33"/>
  <c r="IW14" i="33" s="1"/>
  <c r="S14" i="33"/>
  <c r="JE14" i="33" s="1"/>
  <c r="AA14" i="33"/>
  <c r="JM14" i="33" s="1"/>
  <c r="AI14" i="33"/>
  <c r="JU14" i="33" s="1"/>
  <c r="L15" i="33"/>
  <c r="IX15" i="33" s="1"/>
  <c r="T15" i="33"/>
  <c r="JF15" i="33" s="1"/>
  <c r="AB15" i="33"/>
  <c r="JN15" i="33" s="1"/>
  <c r="AJ15" i="33"/>
  <c r="JV15" i="33" s="1"/>
  <c r="M16" i="33"/>
  <c r="IY16" i="33" s="1"/>
  <c r="U16" i="33"/>
  <c r="JG16" i="33" s="1"/>
  <c r="AC16" i="33"/>
  <c r="JO16" i="33" s="1"/>
  <c r="AK16" i="33"/>
  <c r="JW16" i="33" s="1"/>
  <c r="N17" i="33"/>
  <c r="IZ17" i="33" s="1"/>
  <c r="V17" i="33"/>
  <c r="JH17" i="33" s="1"/>
  <c r="AD17" i="33"/>
  <c r="JP17" i="33" s="1"/>
  <c r="AL17" i="33"/>
  <c r="JX17" i="33" s="1"/>
  <c r="O18" i="33"/>
  <c r="JA18" i="33" s="1"/>
  <c r="W18" i="33"/>
  <c r="JI18" i="33" s="1"/>
  <c r="AE18" i="33"/>
  <c r="JQ18" i="33" s="1"/>
  <c r="H19" i="33"/>
  <c r="IT19" i="33" s="1"/>
  <c r="P19" i="33"/>
  <c r="JB19" i="33" s="1"/>
  <c r="X19" i="33"/>
  <c r="JJ19" i="33" s="1"/>
  <c r="AF19" i="33"/>
  <c r="JR19" i="33" s="1"/>
  <c r="I20" i="33"/>
  <c r="IU20" i="33" s="1"/>
  <c r="Q20" i="33"/>
  <c r="JC20" i="33" s="1"/>
  <c r="Y20" i="33"/>
  <c r="JK20" i="33" s="1"/>
  <c r="AG20" i="33"/>
  <c r="JS20" i="33" s="1"/>
  <c r="J21" i="33"/>
  <c r="IV21" i="33" s="1"/>
  <c r="R21" i="33"/>
  <c r="JD21" i="33" s="1"/>
  <c r="Z21" i="33"/>
  <c r="JL21" i="33" s="1"/>
  <c r="AH21" i="33"/>
  <c r="JT21" i="33" s="1"/>
  <c r="K22" i="33"/>
  <c r="IW22" i="33" s="1"/>
  <c r="S22" i="33"/>
  <c r="JE22" i="33" s="1"/>
  <c r="AA22" i="33"/>
  <c r="JM22" i="33" s="1"/>
  <c r="AI22" i="33"/>
  <c r="JU22" i="33" s="1"/>
  <c r="L23" i="33"/>
  <c r="IX23" i="33" s="1"/>
  <c r="T23" i="33"/>
  <c r="JF23" i="33" s="1"/>
  <c r="AB23" i="33"/>
  <c r="JN23" i="33" s="1"/>
  <c r="AJ23" i="33"/>
  <c r="JV23" i="33" s="1"/>
  <c r="N26" i="33"/>
  <c r="IZ26" i="33" s="1"/>
  <c r="V26" i="33"/>
  <c r="JH26" i="33" s="1"/>
  <c r="AD26" i="33"/>
  <c r="JP26" i="33" s="1"/>
  <c r="AL26" i="33"/>
  <c r="JX26" i="33" s="1"/>
  <c r="O27" i="33"/>
  <c r="JA27" i="33" s="1"/>
  <c r="W27" i="33"/>
  <c r="JI27" i="33" s="1"/>
  <c r="AE27" i="33"/>
  <c r="JQ27" i="33" s="1"/>
  <c r="H28" i="33"/>
  <c r="IT28" i="33" s="1"/>
  <c r="P28" i="33"/>
  <c r="JB28" i="33" s="1"/>
  <c r="X28" i="33"/>
  <c r="JJ28" i="33" s="1"/>
  <c r="AF28" i="33"/>
  <c r="JR28" i="33" s="1"/>
  <c r="I29" i="33"/>
  <c r="IU29" i="33" s="1"/>
  <c r="Q29" i="33"/>
  <c r="JC29" i="33" s="1"/>
  <c r="Y29" i="33"/>
  <c r="JK29" i="33" s="1"/>
  <c r="AG29" i="33"/>
  <c r="JS29" i="33" s="1"/>
  <c r="J30" i="33"/>
  <c r="IV30" i="33" s="1"/>
  <c r="R30" i="33"/>
  <c r="JD30" i="33" s="1"/>
  <c r="Z30" i="33"/>
  <c r="JL30" i="33" s="1"/>
  <c r="AH30" i="33"/>
  <c r="JT30" i="33" s="1"/>
  <c r="K31" i="33"/>
  <c r="IW31" i="33" s="1"/>
  <c r="S31" i="33"/>
  <c r="JE31" i="33" s="1"/>
  <c r="AA31" i="33"/>
  <c r="JM31" i="33" s="1"/>
  <c r="AI31" i="33"/>
  <c r="JU31" i="33" s="1"/>
  <c r="L32" i="33"/>
  <c r="IX32" i="33" s="1"/>
  <c r="T32" i="33"/>
  <c r="JF32" i="33" s="1"/>
  <c r="AB32" i="33"/>
  <c r="JN32" i="33" s="1"/>
  <c r="AJ32" i="33"/>
  <c r="JV32" i="33" s="1"/>
  <c r="M33" i="33"/>
  <c r="IY33" i="33" s="1"/>
  <c r="U33" i="33"/>
  <c r="JG33" i="33" s="1"/>
  <c r="AC33" i="33"/>
  <c r="JO33" i="33" s="1"/>
  <c r="AK33" i="33"/>
  <c r="JW33" i="33" s="1"/>
  <c r="N34" i="33"/>
  <c r="IZ34" i="33" s="1"/>
  <c r="V34" i="33"/>
  <c r="JH34" i="33" s="1"/>
  <c r="AD34" i="33"/>
  <c r="JP34" i="33" s="1"/>
  <c r="AL34" i="33"/>
  <c r="JX34" i="33" s="1"/>
  <c r="O35" i="33"/>
  <c r="JA35" i="33" s="1"/>
  <c r="W35" i="33"/>
  <c r="JI35" i="33" s="1"/>
  <c r="AE35" i="33"/>
  <c r="JQ35" i="33" s="1"/>
  <c r="H36" i="33"/>
  <c r="IT36" i="33" s="1"/>
  <c r="P36" i="33"/>
  <c r="JB36" i="33" s="1"/>
  <c r="X36" i="33"/>
  <c r="JJ36" i="33" s="1"/>
  <c r="AF36" i="33"/>
  <c r="JR36" i="33" s="1"/>
  <c r="I37" i="33"/>
  <c r="IU37" i="33" s="1"/>
  <c r="Q37" i="33"/>
  <c r="JC37" i="33" s="1"/>
  <c r="Y37" i="33"/>
  <c r="JK37" i="33" s="1"/>
  <c r="AG37" i="33"/>
  <c r="JS37" i="33" s="1"/>
  <c r="J38" i="33"/>
  <c r="IV38" i="33" s="1"/>
  <c r="R38" i="33"/>
  <c r="JD38" i="33" s="1"/>
  <c r="Z38" i="33"/>
  <c r="JL38" i="33" s="1"/>
  <c r="AH38" i="33"/>
  <c r="JT38" i="33" s="1"/>
  <c r="BA42" i="32"/>
  <c r="K39" i="33" s="1"/>
  <c r="IW39" i="33" s="1"/>
  <c r="BI42" i="32"/>
  <c r="S39" i="33" s="1"/>
  <c r="JE39" i="33" s="1"/>
  <c r="BQ42" i="32"/>
  <c r="AA39" i="33" s="1"/>
  <c r="JM39" i="33" s="1"/>
  <c r="BY42" i="32"/>
  <c r="AI39" i="33" s="1"/>
  <c r="JU39" i="33" s="1"/>
  <c r="L41" i="33"/>
  <c r="IX41" i="33" s="1"/>
  <c r="T41" i="33"/>
  <c r="JF41" i="33" s="1"/>
  <c r="AB41" i="33"/>
  <c r="JN41" i="33" s="1"/>
  <c r="AJ41" i="33"/>
  <c r="JV41" i="33" s="1"/>
  <c r="M42" i="33"/>
  <c r="IY42" i="33" s="1"/>
  <c r="U42" i="33"/>
  <c r="JG42" i="33" s="1"/>
  <c r="AC42" i="33"/>
  <c r="JO42" i="33" s="1"/>
  <c r="AK42" i="33"/>
  <c r="JW42" i="33" s="1"/>
  <c r="N43" i="33"/>
  <c r="IZ43" i="33" s="1"/>
  <c r="V43" i="33"/>
  <c r="JH43" i="33" s="1"/>
  <c r="AD43" i="33"/>
  <c r="JP43" i="33" s="1"/>
  <c r="AL43" i="33"/>
  <c r="JX43" i="33" s="1"/>
  <c r="O44" i="33"/>
  <c r="JA44" i="33" s="1"/>
  <c r="W44" i="33"/>
  <c r="JI44" i="33" s="1"/>
  <c r="AE44" i="33"/>
  <c r="JQ44" i="33" s="1"/>
  <c r="H45" i="33"/>
  <c r="IT45" i="33" s="1"/>
  <c r="P45" i="33"/>
  <c r="JB45" i="33" s="1"/>
  <c r="X45" i="33"/>
  <c r="JJ45" i="33" s="1"/>
  <c r="AF45" i="33"/>
  <c r="JR45" i="33" s="1"/>
  <c r="I46" i="33"/>
  <c r="IU46" i="33" s="1"/>
  <c r="Q46" i="33"/>
  <c r="JC46" i="33" s="1"/>
  <c r="Y46" i="33"/>
  <c r="JK46" i="33" s="1"/>
  <c r="AG46" i="33"/>
  <c r="JS46" i="33" s="1"/>
  <c r="J47" i="33"/>
  <c r="IV47" i="33" s="1"/>
  <c r="R47" i="33"/>
  <c r="JD47" i="33" s="1"/>
  <c r="Z47" i="33"/>
  <c r="JL47" i="33" s="1"/>
  <c r="AH47" i="33"/>
  <c r="JT47" i="33" s="1"/>
  <c r="K48" i="33"/>
  <c r="IW48" i="33" s="1"/>
  <c r="S48" i="33"/>
  <c r="JE48" i="33" s="1"/>
  <c r="AA48" i="33"/>
  <c r="JM48" i="33" s="1"/>
  <c r="AI48" i="33"/>
  <c r="JU48" i="33" s="1"/>
  <c r="L49" i="33"/>
  <c r="IX49" i="33" s="1"/>
  <c r="T49" i="33"/>
  <c r="JF49" i="33" s="1"/>
  <c r="AB49" i="33"/>
  <c r="JN49" i="33" s="1"/>
  <c r="AJ49" i="33"/>
  <c r="JV49" i="33" s="1"/>
  <c r="M50" i="33"/>
  <c r="IY50" i="33" s="1"/>
  <c r="U50" i="33"/>
  <c r="JG50" i="33" s="1"/>
  <c r="AC50" i="33"/>
  <c r="JO50" i="33" s="1"/>
  <c r="AK50" i="33"/>
  <c r="JW50" i="33" s="1"/>
  <c r="N51" i="33"/>
  <c r="IZ51" i="33" s="1"/>
  <c r="V51" i="33"/>
  <c r="JH51" i="33" s="1"/>
  <c r="AD51" i="33"/>
  <c r="JP51" i="33" s="1"/>
  <c r="AL51" i="33"/>
  <c r="JX51" i="33" s="1"/>
  <c r="O52" i="33"/>
  <c r="JA52" i="33" s="1"/>
  <c r="W52" i="33"/>
  <c r="JI52" i="33" s="1"/>
  <c r="AE52" i="33"/>
  <c r="JQ52" i="33" s="1"/>
  <c r="H53" i="33"/>
  <c r="IT53" i="33" s="1"/>
  <c r="P53" i="33"/>
  <c r="JB53" i="33" s="1"/>
  <c r="X53" i="33"/>
  <c r="JJ53" i="33" s="1"/>
  <c r="AF53" i="33"/>
  <c r="JR53" i="33" s="1"/>
  <c r="I55" i="33"/>
  <c r="IU55" i="33" s="1"/>
  <c r="Q55" i="33"/>
  <c r="JC55" i="33" s="1"/>
  <c r="Y55" i="33"/>
  <c r="JK55" i="33" s="1"/>
  <c r="AG55" i="33"/>
  <c r="JS55" i="33" s="1"/>
  <c r="J56" i="33"/>
  <c r="IV56" i="33" s="1"/>
  <c r="R56" i="33"/>
  <c r="JD56" i="33" s="1"/>
  <c r="Z56" i="33"/>
  <c r="JL56" i="33" s="1"/>
  <c r="AH56" i="33"/>
  <c r="JT56" i="33" s="1"/>
  <c r="K57" i="33"/>
  <c r="IW57" i="33" s="1"/>
  <c r="S57" i="33"/>
  <c r="JE57" i="33" s="1"/>
  <c r="AA57" i="33"/>
  <c r="JM57" i="33" s="1"/>
  <c r="AI57" i="33"/>
  <c r="JU57" i="33" s="1"/>
  <c r="L58" i="33"/>
  <c r="IX58" i="33" s="1"/>
  <c r="T58" i="33"/>
  <c r="JF58" i="33" s="1"/>
  <c r="AB58" i="33"/>
  <c r="JN58" i="33" s="1"/>
  <c r="AJ58" i="33"/>
  <c r="JV58" i="33" s="1"/>
  <c r="M59" i="33"/>
  <c r="IY59" i="33" s="1"/>
  <c r="U59" i="33"/>
  <c r="JG59" i="33" s="1"/>
  <c r="AC59" i="33"/>
  <c r="JO59" i="33" s="1"/>
  <c r="AK59" i="33"/>
  <c r="JW59" i="33" s="1"/>
  <c r="N60" i="33"/>
  <c r="IZ60" i="33" s="1"/>
  <c r="V60" i="33"/>
  <c r="JH60" i="33" s="1"/>
  <c r="AD60" i="33"/>
  <c r="JP60" i="33" s="1"/>
  <c r="AL60" i="33"/>
  <c r="JX60" i="33" s="1"/>
  <c r="O61" i="33"/>
  <c r="JA61" i="33" s="1"/>
  <c r="W61" i="33"/>
  <c r="JI61" i="33" s="1"/>
  <c r="AE61" i="33"/>
  <c r="JQ61" i="33" s="1"/>
  <c r="H62" i="33"/>
  <c r="IT62" i="33" s="1"/>
  <c r="P62" i="33"/>
  <c r="JB62" i="33" s="1"/>
  <c r="X62" i="33"/>
  <c r="JJ62" i="33" s="1"/>
  <c r="AF62" i="33"/>
  <c r="JR62" i="33" s="1"/>
  <c r="I63" i="33"/>
  <c r="IU63" i="33" s="1"/>
  <c r="Q63" i="33"/>
  <c r="JC63" i="33" s="1"/>
  <c r="Y63" i="33"/>
  <c r="JK63" i="33" s="1"/>
  <c r="AG63" i="33"/>
  <c r="JS63" i="33" s="1"/>
  <c r="J64" i="33"/>
  <c r="IV64" i="33" s="1"/>
  <c r="R64" i="33"/>
  <c r="JD64" i="33" s="1"/>
  <c r="Z64" i="33"/>
  <c r="JL64" i="33" s="1"/>
  <c r="AH64" i="33"/>
  <c r="JT64" i="33" s="1"/>
  <c r="N8" i="33"/>
  <c r="IZ8" i="33" s="1"/>
  <c r="V8" i="33"/>
  <c r="JH8" i="33" s="1"/>
  <c r="AD8" i="33"/>
  <c r="JP8" i="33" s="1"/>
  <c r="AL8" i="33"/>
  <c r="JX8" i="33" s="1"/>
  <c r="O9" i="33"/>
  <c r="JA9" i="33" s="1"/>
  <c r="W9" i="33"/>
  <c r="JI9" i="33" s="1"/>
  <c r="AE9" i="33"/>
  <c r="JQ9" i="33" s="1"/>
  <c r="H10" i="33"/>
  <c r="IT10" i="33" s="1"/>
  <c r="P10" i="33"/>
  <c r="JB10" i="33" s="1"/>
  <c r="X10" i="33"/>
  <c r="JJ10" i="33" s="1"/>
  <c r="AF10" i="33"/>
  <c r="JR10" i="33" s="1"/>
  <c r="I11" i="33"/>
  <c r="IU11" i="33" s="1"/>
  <c r="Q11" i="33"/>
  <c r="JC11" i="33" s="1"/>
  <c r="Y11" i="33"/>
  <c r="JK11" i="33" s="1"/>
  <c r="AG11" i="33"/>
  <c r="JS11" i="33" s="1"/>
  <c r="J12" i="33"/>
  <c r="IV12" i="33" s="1"/>
  <c r="R12" i="33"/>
  <c r="JD12" i="33" s="1"/>
  <c r="Z12" i="33"/>
  <c r="JL12" i="33" s="1"/>
  <c r="AH12" i="33"/>
  <c r="JT12" i="33" s="1"/>
  <c r="K13" i="33"/>
  <c r="IW13" i="33" s="1"/>
  <c r="S13" i="33"/>
  <c r="JE13" i="33" s="1"/>
  <c r="AA13" i="33"/>
  <c r="JM13" i="33" s="1"/>
  <c r="AI13" i="33"/>
  <c r="JU13" i="33" s="1"/>
  <c r="L14" i="33"/>
  <c r="IX14" i="33" s="1"/>
  <c r="T14" i="33"/>
  <c r="JF14" i="33" s="1"/>
  <c r="AB14" i="33"/>
  <c r="JN14" i="33" s="1"/>
  <c r="AJ14" i="33"/>
  <c r="JV14" i="33" s="1"/>
  <c r="M15" i="33"/>
  <c r="IY15" i="33" s="1"/>
  <c r="U15" i="33"/>
  <c r="JG15" i="33" s="1"/>
  <c r="AC15" i="33"/>
  <c r="JO15" i="33" s="1"/>
  <c r="AK15" i="33"/>
  <c r="JW15" i="33" s="1"/>
  <c r="N16" i="33"/>
  <c r="IZ16" i="33" s="1"/>
  <c r="V16" i="33"/>
  <c r="JH16" i="33" s="1"/>
  <c r="AD16" i="33"/>
  <c r="JP16" i="33" s="1"/>
  <c r="AL16" i="33"/>
  <c r="JX16" i="33" s="1"/>
  <c r="O17" i="33"/>
  <c r="JA17" i="33" s="1"/>
  <c r="W17" i="33"/>
  <c r="JI17" i="33" s="1"/>
  <c r="AE17" i="33"/>
  <c r="JQ17" i="33" s="1"/>
  <c r="H18" i="33"/>
  <c r="IT18" i="33" s="1"/>
  <c r="P18" i="33"/>
  <c r="JB18" i="33" s="1"/>
  <c r="X18" i="33"/>
  <c r="JJ18" i="33" s="1"/>
  <c r="AF18" i="33"/>
  <c r="JR18" i="33" s="1"/>
  <c r="I19" i="33"/>
  <c r="IU19" i="33" s="1"/>
  <c r="Q19" i="33"/>
  <c r="JC19" i="33" s="1"/>
  <c r="Y19" i="33"/>
  <c r="JK19" i="33" s="1"/>
  <c r="AG19" i="33"/>
  <c r="JS19" i="33" s="1"/>
  <c r="J20" i="33"/>
  <c r="IV20" i="33" s="1"/>
  <c r="R20" i="33"/>
  <c r="JD20" i="33" s="1"/>
  <c r="Z20" i="33"/>
  <c r="JL20" i="33" s="1"/>
  <c r="AH20" i="33"/>
  <c r="JT20" i="33" s="1"/>
  <c r="K21" i="33"/>
  <c r="IW21" i="33" s="1"/>
  <c r="S21" i="33"/>
  <c r="JE21" i="33" s="1"/>
  <c r="AA21" i="33"/>
  <c r="JM21" i="33" s="1"/>
  <c r="AI21" i="33"/>
  <c r="JU21" i="33" s="1"/>
  <c r="L22" i="33"/>
  <c r="IX22" i="33" s="1"/>
  <c r="T22" i="33"/>
  <c r="JF22" i="33" s="1"/>
  <c r="AB22" i="33"/>
  <c r="JN22" i="33" s="1"/>
  <c r="AJ22" i="33"/>
  <c r="JV22" i="33" s="1"/>
  <c r="M23" i="33"/>
  <c r="IY23" i="33" s="1"/>
  <c r="U23" i="33"/>
  <c r="JG23" i="33" s="1"/>
  <c r="AC23" i="33"/>
  <c r="JO23" i="33" s="1"/>
  <c r="AK23" i="33"/>
  <c r="JW23" i="33" s="1"/>
  <c r="O26" i="33"/>
  <c r="JA26" i="33" s="1"/>
  <c r="W26" i="33"/>
  <c r="JI26" i="33" s="1"/>
  <c r="AE26" i="33"/>
  <c r="JQ26" i="33" s="1"/>
  <c r="H27" i="33"/>
  <c r="IT27" i="33" s="1"/>
  <c r="P27" i="33"/>
  <c r="JB27" i="33" s="1"/>
  <c r="X27" i="33"/>
  <c r="JJ27" i="33" s="1"/>
  <c r="AF27" i="33"/>
  <c r="JR27" i="33" s="1"/>
  <c r="I28" i="33"/>
  <c r="IU28" i="33" s="1"/>
  <c r="Q28" i="33"/>
  <c r="JC28" i="33" s="1"/>
  <c r="Y28" i="33"/>
  <c r="JK28" i="33" s="1"/>
  <c r="AG28" i="33"/>
  <c r="JS28" i="33" s="1"/>
  <c r="J29" i="33"/>
  <c r="IV29" i="33" s="1"/>
  <c r="R29" i="33"/>
  <c r="JD29" i="33" s="1"/>
  <c r="Z29" i="33"/>
  <c r="JL29" i="33" s="1"/>
  <c r="AH29" i="33"/>
  <c r="JT29" i="33" s="1"/>
  <c r="K30" i="33"/>
  <c r="IW30" i="33" s="1"/>
  <c r="S30" i="33"/>
  <c r="JE30" i="33" s="1"/>
  <c r="AA30" i="33"/>
  <c r="JM30" i="33" s="1"/>
  <c r="AI30" i="33"/>
  <c r="JU30" i="33" s="1"/>
  <c r="L31" i="33"/>
  <c r="IX31" i="33" s="1"/>
  <c r="T31" i="33"/>
  <c r="JF31" i="33" s="1"/>
  <c r="AB31" i="33"/>
  <c r="JN31" i="33" s="1"/>
  <c r="AJ31" i="33"/>
  <c r="JV31" i="33" s="1"/>
  <c r="M32" i="33"/>
  <c r="IY32" i="33" s="1"/>
  <c r="U32" i="33"/>
  <c r="JG32" i="33" s="1"/>
  <c r="AC32" i="33"/>
  <c r="JO32" i="33" s="1"/>
  <c r="AK32" i="33"/>
  <c r="JW32" i="33" s="1"/>
  <c r="N33" i="33"/>
  <c r="IZ33" i="33" s="1"/>
  <c r="V33" i="33"/>
  <c r="JH33" i="33" s="1"/>
  <c r="AD33" i="33"/>
  <c r="JP33" i="33" s="1"/>
  <c r="AL33" i="33"/>
  <c r="JX33" i="33" s="1"/>
  <c r="O34" i="33"/>
  <c r="JA34" i="33" s="1"/>
  <c r="W34" i="33"/>
  <c r="JI34" i="33" s="1"/>
  <c r="AE34" i="33"/>
  <c r="JQ34" i="33" s="1"/>
  <c r="H35" i="33"/>
  <c r="IT35" i="33" s="1"/>
  <c r="P35" i="33"/>
  <c r="JB35" i="33" s="1"/>
  <c r="X35" i="33"/>
  <c r="JJ35" i="33" s="1"/>
  <c r="AF35" i="33"/>
  <c r="JR35" i="33" s="1"/>
  <c r="I36" i="33"/>
  <c r="IU36" i="33" s="1"/>
  <c r="Q36" i="33"/>
  <c r="JC36" i="33" s="1"/>
  <c r="Y36" i="33"/>
  <c r="JK36" i="33" s="1"/>
  <c r="AG36" i="33"/>
  <c r="JS36" i="33" s="1"/>
  <c r="J37" i="33"/>
  <c r="IV37" i="33" s="1"/>
  <c r="R37" i="33"/>
  <c r="JD37" i="33" s="1"/>
  <c r="Z37" i="33"/>
  <c r="JL37" i="33" s="1"/>
  <c r="AH37" i="33"/>
  <c r="JT37" i="33" s="1"/>
  <c r="K38" i="33"/>
  <c r="IW38" i="33" s="1"/>
  <c r="S38" i="33"/>
  <c r="JE38" i="33" s="1"/>
  <c r="AA38" i="33"/>
  <c r="JM38" i="33" s="1"/>
  <c r="AI38" i="33"/>
  <c r="JU38" i="33" s="1"/>
  <c r="BB42" i="32"/>
  <c r="L39" i="33" s="1"/>
  <c r="IX39" i="33" s="1"/>
  <c r="BJ42" i="32"/>
  <c r="T39" i="33" s="1"/>
  <c r="JF39" i="33" s="1"/>
  <c r="BR42" i="32"/>
  <c r="AB39" i="33" s="1"/>
  <c r="JN39" i="33" s="1"/>
  <c r="BZ42" i="32"/>
  <c r="AJ39" i="33" s="1"/>
  <c r="JV39" i="33" s="1"/>
  <c r="M41" i="33"/>
  <c r="IY41" i="33" s="1"/>
  <c r="U41" i="33"/>
  <c r="JG41" i="33" s="1"/>
  <c r="AC41" i="33"/>
  <c r="JO41" i="33" s="1"/>
  <c r="AK41" i="33"/>
  <c r="JW41" i="33" s="1"/>
  <c r="N42" i="33"/>
  <c r="IZ42" i="33" s="1"/>
  <c r="V42" i="33"/>
  <c r="JH42" i="33" s="1"/>
  <c r="AD42" i="33"/>
  <c r="JP42" i="33" s="1"/>
  <c r="AL42" i="33"/>
  <c r="JX42" i="33" s="1"/>
  <c r="O43" i="33"/>
  <c r="JA43" i="33" s="1"/>
  <c r="W43" i="33"/>
  <c r="JI43" i="33" s="1"/>
  <c r="AE43" i="33"/>
  <c r="JQ43" i="33" s="1"/>
  <c r="H44" i="33"/>
  <c r="IT44" i="33" s="1"/>
  <c r="P44" i="33"/>
  <c r="JB44" i="33" s="1"/>
  <c r="X44" i="33"/>
  <c r="JJ44" i="33" s="1"/>
  <c r="AF44" i="33"/>
  <c r="JR44" i="33" s="1"/>
  <c r="I45" i="33"/>
  <c r="IU45" i="33" s="1"/>
  <c r="Q45" i="33"/>
  <c r="JC45" i="33" s="1"/>
  <c r="Y45" i="33"/>
  <c r="JK45" i="33" s="1"/>
  <c r="AG45" i="33"/>
  <c r="JS45" i="33" s="1"/>
  <c r="J46" i="33"/>
  <c r="IV46" i="33" s="1"/>
  <c r="R46" i="33"/>
  <c r="JD46" i="33" s="1"/>
  <c r="Z46" i="33"/>
  <c r="JL46" i="33" s="1"/>
  <c r="AH46" i="33"/>
  <c r="JT46" i="33" s="1"/>
  <c r="K47" i="33"/>
  <c r="IW47" i="33" s="1"/>
  <c r="S47" i="33"/>
  <c r="JE47" i="33" s="1"/>
  <c r="AA47" i="33"/>
  <c r="JM47" i="33" s="1"/>
  <c r="AI47" i="33"/>
  <c r="JU47" i="33" s="1"/>
  <c r="L48" i="33"/>
  <c r="IX48" i="33" s="1"/>
  <c r="T48" i="33"/>
  <c r="JF48" i="33" s="1"/>
  <c r="AB48" i="33"/>
  <c r="JN48" i="33" s="1"/>
  <c r="AJ48" i="33"/>
  <c r="JV48" i="33" s="1"/>
  <c r="M49" i="33"/>
  <c r="IY49" i="33" s="1"/>
  <c r="U49" i="33"/>
  <c r="JG49" i="33" s="1"/>
  <c r="AC49" i="33"/>
  <c r="JO49" i="33" s="1"/>
  <c r="AK49" i="33"/>
  <c r="JW49" i="33" s="1"/>
  <c r="N50" i="33"/>
  <c r="IZ50" i="33" s="1"/>
  <c r="V50" i="33"/>
  <c r="JH50" i="33" s="1"/>
  <c r="AD50" i="33"/>
  <c r="JP50" i="33" s="1"/>
  <c r="AL50" i="33"/>
  <c r="JX50" i="33" s="1"/>
  <c r="O51" i="33"/>
  <c r="JA51" i="33" s="1"/>
  <c r="W51" i="33"/>
  <c r="JI51" i="33" s="1"/>
  <c r="AE51" i="33"/>
  <c r="JQ51" i="33" s="1"/>
  <c r="H52" i="33"/>
  <c r="IT52" i="33" s="1"/>
  <c r="P52" i="33"/>
  <c r="JB52" i="33" s="1"/>
  <c r="X52" i="33"/>
  <c r="JJ52" i="33" s="1"/>
  <c r="AF52" i="33"/>
  <c r="JR52" i="33" s="1"/>
  <c r="I53" i="33"/>
  <c r="IU53" i="33" s="1"/>
  <c r="Q53" i="33"/>
  <c r="JC53" i="33" s="1"/>
  <c r="Y53" i="33"/>
  <c r="JK53" i="33" s="1"/>
  <c r="AG53" i="33"/>
  <c r="JS53" i="33" s="1"/>
  <c r="J55" i="33"/>
  <c r="IV55" i="33" s="1"/>
  <c r="R55" i="33"/>
  <c r="JD55" i="33" s="1"/>
  <c r="Z55" i="33"/>
  <c r="JL55" i="33" s="1"/>
  <c r="AH55" i="33"/>
  <c r="JT55" i="33" s="1"/>
  <c r="K56" i="33"/>
  <c r="IW56" i="33" s="1"/>
  <c r="S56" i="33"/>
  <c r="JE56" i="33" s="1"/>
  <c r="AA56" i="33"/>
  <c r="JM56" i="33" s="1"/>
  <c r="AI56" i="33"/>
  <c r="JU56" i="33" s="1"/>
  <c r="L57" i="33"/>
  <c r="IX57" i="33" s="1"/>
  <c r="T57" i="33"/>
  <c r="JF57" i="33" s="1"/>
  <c r="AB57" i="33"/>
  <c r="JN57" i="33" s="1"/>
  <c r="AJ57" i="33"/>
  <c r="JV57" i="33" s="1"/>
  <c r="M58" i="33"/>
  <c r="IY58" i="33" s="1"/>
  <c r="U58" i="33"/>
  <c r="JG58" i="33" s="1"/>
  <c r="AC58" i="33"/>
  <c r="JO58" i="33" s="1"/>
  <c r="AK58" i="33"/>
  <c r="JW58" i="33" s="1"/>
  <c r="N59" i="33"/>
  <c r="IZ59" i="33" s="1"/>
  <c r="V59" i="33"/>
  <c r="JH59" i="33" s="1"/>
  <c r="AD59" i="33"/>
  <c r="JP59" i="33" s="1"/>
  <c r="AL59" i="33"/>
  <c r="JX59" i="33" s="1"/>
  <c r="O60" i="33"/>
  <c r="JA60" i="33" s="1"/>
  <c r="W60" i="33"/>
  <c r="JI60" i="33" s="1"/>
  <c r="AE60" i="33"/>
  <c r="JQ60" i="33" s="1"/>
  <c r="H61" i="33"/>
  <c r="IT61" i="33" s="1"/>
  <c r="P61" i="33"/>
  <c r="JB61" i="33" s="1"/>
  <c r="X61" i="33"/>
  <c r="JJ61" i="33" s="1"/>
  <c r="AF61" i="33"/>
  <c r="JR61" i="33" s="1"/>
  <c r="I62" i="33"/>
  <c r="IU62" i="33" s="1"/>
  <c r="Q62" i="33"/>
  <c r="JC62" i="33" s="1"/>
  <c r="Y62" i="33"/>
  <c r="JK62" i="33" s="1"/>
  <c r="AG62" i="33"/>
  <c r="JS62" i="33" s="1"/>
  <c r="J63" i="33"/>
  <c r="IV63" i="33" s="1"/>
  <c r="R63" i="33"/>
  <c r="JD63" i="33" s="1"/>
  <c r="Z63" i="33"/>
  <c r="JL63" i="33" s="1"/>
  <c r="AH63" i="33"/>
  <c r="JT63" i="33" s="1"/>
  <c r="K64" i="33"/>
  <c r="IW64" i="33" s="1"/>
  <c r="S64" i="33"/>
  <c r="JE64" i="33" s="1"/>
  <c r="AA64" i="33"/>
  <c r="JM64" i="33" s="1"/>
  <c r="BM42" i="32"/>
  <c r="W39" i="33" s="1"/>
  <c r="JI39" i="33" s="1"/>
  <c r="AX42" i="32"/>
  <c r="H39" i="33" s="1"/>
  <c r="IT39" i="33" s="1"/>
  <c r="BV42" i="32"/>
  <c r="AF39" i="33" s="1"/>
  <c r="JR39" i="33" s="1"/>
  <c r="AB9" i="33"/>
  <c r="JN9" i="33" s="1"/>
  <c r="P13" i="33"/>
  <c r="JB13" i="33" s="1"/>
  <c r="T26" i="33"/>
  <c r="JF26" i="33" s="1"/>
  <c r="BO42" i="32"/>
  <c r="Y39" i="33" s="1"/>
  <c r="JK39" i="33" s="1"/>
  <c r="BP42" i="32"/>
  <c r="Z39" i="33" s="1"/>
  <c r="JL39" i="33" s="1"/>
  <c r="BC42" i="32"/>
  <c r="M39" i="33" s="1"/>
  <c r="IY39" i="33" s="1"/>
  <c r="BK42" i="32"/>
  <c r="U39" i="33" s="1"/>
  <c r="JG39" i="33" s="1"/>
  <c r="BS42" i="32"/>
  <c r="AC39" i="33" s="1"/>
  <c r="JO39" i="33" s="1"/>
  <c r="CA42" i="32"/>
  <c r="AK39" i="33" s="1"/>
  <c r="JW39" i="33" s="1"/>
  <c r="AZ26" i="32"/>
  <c r="J24" i="33" s="1"/>
  <c r="IV24" i="33" s="1"/>
  <c r="BA26" i="32"/>
  <c r="K24" i="33" s="1"/>
  <c r="IW24" i="33" s="1"/>
  <c r="BI26" i="32"/>
  <c r="S24" i="33" s="1"/>
  <c r="JE24" i="33" s="1"/>
  <c r="BQ26" i="32"/>
  <c r="AA24" i="33" s="1"/>
  <c r="JM24" i="33" s="1"/>
  <c r="BY26" i="32"/>
  <c r="AI24" i="33" s="1"/>
  <c r="JU24" i="33" s="1"/>
  <c r="BB26" i="32"/>
  <c r="L24" i="33" s="1"/>
  <c r="IX24" i="33" s="1"/>
  <c r="BJ26" i="32"/>
  <c r="T24" i="33" s="1"/>
  <c r="JF24" i="33" s="1"/>
  <c r="BR26" i="32"/>
  <c r="AB24" i="33" s="1"/>
  <c r="JN24" i="33" s="1"/>
  <c r="BZ26" i="32"/>
  <c r="AJ24" i="33" s="1"/>
  <c r="JV24" i="33" s="1"/>
  <c r="BE26" i="32"/>
  <c r="O24" i="33" s="1"/>
  <c r="JA24" i="33" s="1"/>
  <c r="BM26" i="32"/>
  <c r="W24" i="33" s="1"/>
  <c r="JI24" i="33" s="1"/>
  <c r="BU26" i="32"/>
  <c r="AE24" i="33" s="1"/>
  <c r="JQ24" i="33" s="1"/>
  <c r="BP26" i="32"/>
  <c r="Z24" i="33" s="1"/>
  <c r="JL24" i="33" s="1"/>
  <c r="BK26" i="32"/>
  <c r="U24" i="33" s="1"/>
  <c r="JG24" i="33" s="1"/>
  <c r="CA26" i="32"/>
  <c r="AK24" i="33" s="1"/>
  <c r="JW24" i="33" s="1"/>
  <c r="AX26" i="32"/>
  <c r="H24" i="33" s="1"/>
  <c r="IT24" i="33" s="1"/>
  <c r="BF26" i="32"/>
  <c r="P24" i="33" s="1"/>
  <c r="JB24" i="33" s="1"/>
  <c r="BN26" i="32"/>
  <c r="X24" i="33" s="1"/>
  <c r="JJ24" i="33" s="1"/>
  <c r="BV26" i="32"/>
  <c r="AF24" i="33" s="1"/>
  <c r="JR24" i="33" s="1"/>
  <c r="BH26" i="32"/>
  <c r="R24" i="33" s="1"/>
  <c r="JD24" i="33" s="1"/>
  <c r="BX26" i="32"/>
  <c r="AH24" i="33" s="1"/>
  <c r="JT24" i="33" s="1"/>
  <c r="BC26" i="32"/>
  <c r="M24" i="33" s="1"/>
  <c r="IY24" i="33" s="1"/>
  <c r="BS26" i="32"/>
  <c r="AC24" i="33" s="1"/>
  <c r="JO24" i="33" s="1"/>
  <c r="BD26" i="32"/>
  <c r="N24" i="33" s="1"/>
  <c r="IZ24" i="33" s="1"/>
  <c r="BL26" i="32"/>
  <c r="V24" i="33" s="1"/>
  <c r="JH24" i="33" s="1"/>
  <c r="BT26" i="32"/>
  <c r="AD24" i="33" s="1"/>
  <c r="JP24" i="33" s="1"/>
  <c r="CB26" i="32"/>
  <c r="AL24" i="33" s="1"/>
  <c r="JX24" i="33" s="1"/>
  <c r="AY26" i="32"/>
  <c r="I24" i="33" s="1"/>
  <c r="IU24" i="33" s="1"/>
  <c r="BG26" i="32"/>
  <c r="Q24" i="33" s="1"/>
  <c r="JC24" i="33" s="1"/>
  <c r="BO26" i="32"/>
  <c r="Y24" i="33" s="1"/>
  <c r="JK24" i="33" s="1"/>
  <c r="BW26" i="32"/>
  <c r="AG24" i="33" s="1"/>
  <c r="JS24" i="33" s="1"/>
  <c r="IS8" i="33"/>
  <c r="IS16" i="33"/>
  <c r="IS24" i="33"/>
  <c r="IS33" i="33"/>
  <c r="IS42" i="33"/>
  <c r="IS50" i="33"/>
  <c r="IS59" i="33"/>
  <c r="IV5" i="33"/>
  <c r="JD5" i="33"/>
  <c r="JL5" i="33"/>
  <c r="JT5" i="33"/>
  <c r="IX8" i="33"/>
  <c r="JN8" i="33"/>
  <c r="JV8" i="33"/>
  <c r="IY9" i="33"/>
  <c r="JG9" i="33"/>
  <c r="JO9" i="33"/>
  <c r="JW9" i="33"/>
  <c r="IZ10" i="33"/>
  <c r="JH10" i="33"/>
  <c r="JP10" i="33"/>
  <c r="JX10" i="33"/>
  <c r="JA11" i="33"/>
  <c r="JI11" i="33"/>
  <c r="JQ11" i="33"/>
  <c r="IT12" i="33"/>
  <c r="JB12" i="33"/>
  <c r="JJ12" i="33"/>
  <c r="JR12" i="33"/>
  <c r="IU13" i="33"/>
  <c r="JC13" i="33"/>
  <c r="JK13" i="33"/>
  <c r="JS13" i="33"/>
  <c r="IV14" i="33"/>
  <c r="JD14" i="33"/>
  <c r="JL14" i="33"/>
  <c r="JT14" i="33"/>
  <c r="IW15" i="33"/>
  <c r="JE15" i="33"/>
  <c r="JM15" i="33"/>
  <c r="JU15" i="33"/>
  <c r="IX16" i="33"/>
  <c r="JF16" i="33"/>
  <c r="JN16" i="33"/>
  <c r="JV16" i="33"/>
  <c r="IY17" i="33"/>
  <c r="JG17" i="33"/>
  <c r="JO17" i="33"/>
  <c r="JW17" i="33"/>
  <c r="IZ18" i="33"/>
  <c r="JH18" i="33"/>
  <c r="JP18" i="33"/>
  <c r="JX18" i="33"/>
  <c r="JA19" i="33"/>
  <c r="JI19" i="33"/>
  <c r="JQ19" i="33"/>
  <c r="IT20" i="33"/>
  <c r="JB20" i="33"/>
  <c r="JJ20" i="33"/>
  <c r="JR20" i="33"/>
  <c r="IU21" i="33"/>
  <c r="JC21" i="33"/>
  <c r="JK21" i="33"/>
  <c r="JS21" i="33"/>
  <c r="IV22" i="33"/>
  <c r="JD22" i="33"/>
  <c r="JL22" i="33"/>
  <c r="JT22" i="33"/>
  <c r="IW23" i="33"/>
  <c r="JE23" i="33"/>
  <c r="JM23" i="33"/>
  <c r="JU23" i="33"/>
  <c r="IY26" i="33"/>
  <c r="JG26" i="33"/>
  <c r="JO26" i="33"/>
  <c r="JW26" i="33"/>
  <c r="IZ27" i="33"/>
  <c r="JH27" i="33"/>
  <c r="JP27" i="33"/>
  <c r="JX27" i="33"/>
  <c r="JA28" i="33"/>
  <c r="JI28" i="33"/>
  <c r="JQ28" i="33"/>
  <c r="IT29" i="33"/>
  <c r="JB29" i="33"/>
  <c r="JJ29" i="33"/>
  <c r="JR29" i="33"/>
  <c r="IU30" i="33"/>
  <c r="JC30" i="33"/>
  <c r="JK30" i="33"/>
  <c r="JS30" i="33"/>
  <c r="IV31" i="33"/>
  <c r="JD31" i="33"/>
  <c r="JL31" i="33"/>
  <c r="JT31" i="33"/>
  <c r="IW32" i="33"/>
  <c r="JE32" i="33"/>
  <c r="JM32" i="33"/>
  <c r="JU32" i="33"/>
  <c r="IX33" i="33"/>
  <c r="JF33" i="33"/>
  <c r="JN33" i="33"/>
  <c r="JV33" i="33"/>
  <c r="IY34" i="33"/>
  <c r="JG34" i="33"/>
  <c r="JO34" i="33"/>
  <c r="JW34" i="33"/>
  <c r="IZ35" i="33"/>
  <c r="JH35" i="33"/>
  <c r="JP35" i="33"/>
  <c r="JX35" i="33"/>
  <c r="JA36" i="33"/>
  <c r="JI36" i="33"/>
  <c r="JQ36" i="33"/>
  <c r="IT37" i="33"/>
  <c r="JB37" i="33"/>
  <c r="JJ37" i="33"/>
  <c r="JR37" i="33"/>
  <c r="IU38" i="33"/>
  <c r="JC38" i="33"/>
  <c r="JK38" i="33"/>
  <c r="JS38" i="33"/>
  <c r="JT39" i="33"/>
  <c r="IW41" i="33"/>
  <c r="JE41" i="33"/>
  <c r="JM41" i="33"/>
  <c r="JU41" i="33"/>
  <c r="IX42" i="33"/>
  <c r="JF42" i="33"/>
  <c r="JN42" i="33"/>
  <c r="JV42" i="33"/>
  <c r="IY43" i="33"/>
  <c r="JG43" i="33"/>
  <c r="JO43" i="33"/>
  <c r="JW43" i="33"/>
  <c r="IZ44" i="33"/>
  <c r="JH44" i="33"/>
  <c r="JP44" i="33"/>
  <c r="JX44" i="33"/>
  <c r="JA45" i="33"/>
  <c r="JI45" i="33"/>
  <c r="JQ45" i="33"/>
  <c r="IT46" i="33"/>
  <c r="JB46" i="33"/>
  <c r="JJ46" i="33"/>
  <c r="JR46" i="33"/>
  <c r="IU47" i="33"/>
  <c r="JC47" i="33"/>
  <c r="JK47" i="33"/>
  <c r="JS47" i="33"/>
  <c r="IV48" i="33"/>
  <c r="JD48" i="33"/>
  <c r="JL48" i="33"/>
  <c r="JT48" i="33"/>
  <c r="IW49" i="33"/>
  <c r="JE49" i="33"/>
  <c r="JM49" i="33"/>
  <c r="JU49" i="33"/>
  <c r="IX50" i="33"/>
  <c r="JF50" i="33"/>
  <c r="JN50" i="33"/>
  <c r="JV50" i="33"/>
  <c r="IY51" i="33"/>
  <c r="JG51" i="33"/>
  <c r="JO51" i="33"/>
  <c r="JW51" i="33"/>
  <c r="IZ52" i="33"/>
  <c r="JH52" i="33"/>
  <c r="JP52" i="33"/>
  <c r="JX52" i="33"/>
  <c r="JA53" i="33"/>
  <c r="JI53" i="33"/>
  <c r="JQ53" i="33"/>
  <c r="IT55" i="33"/>
  <c r="JB55" i="33"/>
  <c r="JJ55" i="33"/>
  <c r="JR55" i="33"/>
  <c r="IU56" i="33"/>
  <c r="JC56" i="33"/>
  <c r="JK56" i="33"/>
  <c r="JS56" i="33"/>
  <c r="IV57" i="33"/>
  <c r="JD57" i="33"/>
  <c r="JL57" i="33"/>
  <c r="JT57" i="33"/>
  <c r="IW58" i="33"/>
  <c r="JE58" i="33"/>
  <c r="JM58" i="33"/>
  <c r="JU58" i="33"/>
  <c r="IX59" i="33"/>
  <c r="JF59" i="33"/>
  <c r="JN59" i="33"/>
  <c r="JV59" i="33"/>
  <c r="IY60" i="33"/>
  <c r="JG60" i="33"/>
  <c r="JO60" i="33"/>
  <c r="JW60" i="33"/>
  <c r="IZ61" i="33"/>
  <c r="JH61" i="33"/>
  <c r="JP61" i="33"/>
  <c r="JX61" i="33"/>
  <c r="JA62" i="33"/>
  <c r="JI62" i="33"/>
  <c r="JQ62" i="33"/>
  <c r="IT63" i="33"/>
  <c r="JB63" i="33"/>
  <c r="JJ63" i="33"/>
  <c r="JR63" i="33"/>
  <c r="IV34" i="33"/>
  <c r="JC16" i="33"/>
  <c r="JA38" i="33"/>
  <c r="JD18" i="33"/>
  <c r="JS43" i="33"/>
  <c r="JE18" i="33"/>
  <c r="IS11" i="33"/>
  <c r="IS28" i="33"/>
  <c r="IS45" i="33"/>
  <c r="IS62" i="33"/>
  <c r="JG5" i="33"/>
  <c r="JW5" i="33"/>
  <c r="JI8" i="33"/>
  <c r="IS19" i="33"/>
  <c r="IS36" i="33"/>
  <c r="IS53" i="33"/>
  <c r="IY5" i="33"/>
  <c r="JO5" i="33"/>
  <c r="JQ8" i="33"/>
  <c r="JR9" i="33"/>
  <c r="IW12" i="33"/>
  <c r="JU12" i="33"/>
  <c r="JN13" i="33"/>
  <c r="JG14" i="33"/>
  <c r="JH15" i="33"/>
  <c r="JA16" i="33"/>
  <c r="IT17" i="33"/>
  <c r="JC18" i="33"/>
  <c r="IV19" i="33"/>
  <c r="JT19" i="33"/>
  <c r="JM20" i="33"/>
  <c r="IY22" i="33"/>
  <c r="JW22" i="33"/>
  <c r="JP23" i="33"/>
  <c r="JB26" i="33"/>
  <c r="JC27" i="33"/>
  <c r="IV28" i="33"/>
  <c r="JT28" i="33"/>
  <c r="JM29" i="33"/>
  <c r="JW31" i="33"/>
  <c r="JU46" i="33"/>
  <c r="JF47" i="33"/>
  <c r="IY48" i="33"/>
  <c r="JW48" i="33"/>
  <c r="JH49" i="33"/>
  <c r="JA50" i="33"/>
  <c r="IT51" i="33"/>
  <c r="JR51" i="33"/>
  <c r="JK52" i="33"/>
  <c r="IW55" i="33"/>
  <c r="JU55" i="33"/>
  <c r="JN56" i="33"/>
  <c r="JO57" i="33"/>
  <c r="JP58" i="33"/>
  <c r="IT60" i="33"/>
  <c r="IU61" i="33"/>
  <c r="JD62" i="33"/>
  <c r="JE63" i="33"/>
  <c r="JF64" i="33"/>
  <c r="JS8" i="33"/>
  <c r="JW12" i="33"/>
  <c r="IT15" i="33"/>
  <c r="JF19" i="33"/>
  <c r="JA22" i="33"/>
  <c r="JD26" i="33"/>
  <c r="JU27" i="33"/>
  <c r="JG29" i="33"/>
  <c r="IT32" i="33"/>
  <c r="JA48" i="33"/>
  <c r="JV53" i="33"/>
  <c r="JB9" i="33"/>
  <c r="IU10" i="33"/>
  <c r="JS10" i="33"/>
  <c r="JL11" i="33"/>
  <c r="JE12" i="33"/>
  <c r="JF13" i="33"/>
  <c r="JW14" i="33"/>
  <c r="JP15" i="33"/>
  <c r="JI16" i="33"/>
  <c r="JB17" i="33"/>
  <c r="IU18" i="33"/>
  <c r="JS18" i="33"/>
  <c r="JL19" i="33"/>
  <c r="JE20" i="33"/>
  <c r="IX21" i="33"/>
  <c r="JV21" i="33"/>
  <c r="JO22" i="33"/>
  <c r="JH23" i="33"/>
  <c r="IT26" i="33"/>
  <c r="JR26" i="33"/>
  <c r="JK27" i="33"/>
  <c r="JD28" i="33"/>
  <c r="IW29" i="33"/>
  <c r="JU29" i="33"/>
  <c r="JF30" i="33"/>
  <c r="JG31" i="33"/>
  <c r="IZ32" i="33"/>
  <c r="JP32" i="33"/>
  <c r="JA33" i="33"/>
  <c r="JQ33" i="33"/>
  <c r="JJ34" i="33"/>
  <c r="IU35" i="33"/>
  <c r="JK35" i="33"/>
  <c r="IV36" i="33"/>
  <c r="JL36" i="33"/>
  <c r="JT36" i="33"/>
  <c r="JE37" i="33"/>
  <c r="JM37" i="33"/>
  <c r="JU37" i="33"/>
  <c r="IX38" i="33"/>
  <c r="JF38" i="33"/>
  <c r="JN38" i="33"/>
  <c r="JV38" i="33"/>
  <c r="IZ41" i="33"/>
  <c r="JP41" i="33"/>
  <c r="JA42" i="33"/>
  <c r="JQ42" i="33"/>
  <c r="JB43" i="33"/>
  <c r="JR43" i="33"/>
  <c r="JC44" i="33"/>
  <c r="JS44" i="33"/>
  <c r="IV45" i="33"/>
  <c r="JL45" i="33"/>
  <c r="JT45" i="33"/>
  <c r="JE46" i="33"/>
  <c r="JM46" i="33"/>
  <c r="IX47" i="33"/>
  <c r="JN47" i="33"/>
  <c r="JG48" i="33"/>
  <c r="IZ49" i="33"/>
  <c r="JX49" i="33"/>
  <c r="JQ50" i="33"/>
  <c r="JJ51" i="33"/>
  <c r="JC52" i="33"/>
  <c r="IV53" i="33"/>
  <c r="JT53" i="33"/>
  <c r="JM55" i="33"/>
  <c r="JF56" i="33"/>
  <c r="JG57" i="33"/>
  <c r="JH58" i="33"/>
  <c r="JQ59" i="33"/>
  <c r="JR60" i="33"/>
  <c r="JS61" i="33"/>
  <c r="JT62" i="33"/>
  <c r="IX64" i="33"/>
  <c r="JL23" i="33"/>
  <c r="JV47" i="33"/>
  <c r="JO48" i="33"/>
  <c r="JP49" i="33"/>
  <c r="JI50" i="33"/>
  <c r="JB51" i="33"/>
  <c r="IU52" i="33"/>
  <c r="JS52" i="33"/>
  <c r="JL53" i="33"/>
  <c r="JE55" i="33"/>
  <c r="IX56" i="33"/>
  <c r="JV56" i="33"/>
  <c r="JW57" i="33"/>
  <c r="JX58" i="33"/>
  <c r="JJ60" i="33"/>
  <c r="JK61" i="33"/>
  <c r="JL62" i="33"/>
  <c r="JM63" i="33"/>
  <c r="JN64" i="33"/>
  <c r="JT27" i="33"/>
  <c r="JL35" i="33"/>
  <c r="JJ9" i="33"/>
  <c r="JC10" i="33"/>
  <c r="IV11" i="33"/>
  <c r="JT11" i="33"/>
  <c r="JM12" i="33"/>
  <c r="JV13" i="33"/>
  <c r="JO14" i="33"/>
  <c r="JX15" i="33"/>
  <c r="JQ16" i="33"/>
  <c r="JR17" i="33"/>
  <c r="JK18" i="33"/>
  <c r="JD19" i="33"/>
  <c r="IW20" i="33"/>
  <c r="JU20" i="33"/>
  <c r="JN21" i="33"/>
  <c r="JG22" i="33"/>
  <c r="IZ23" i="33"/>
  <c r="JX23" i="33"/>
  <c r="JJ26" i="33"/>
  <c r="IU27" i="33"/>
  <c r="JS27" i="33"/>
  <c r="JL28" i="33"/>
  <c r="JE29" i="33"/>
  <c r="IX30" i="33"/>
  <c r="JN30" i="33"/>
  <c r="JO31" i="33"/>
  <c r="JH32" i="33"/>
  <c r="JX32" i="33"/>
  <c r="JI33" i="33"/>
  <c r="IT34" i="33"/>
  <c r="JR34" i="33"/>
  <c r="JC35" i="33"/>
  <c r="JD36" i="33"/>
  <c r="JH41" i="33"/>
  <c r="JX41" i="33"/>
  <c r="IT43" i="33"/>
  <c r="JJ43" i="33"/>
  <c r="JK44" i="33"/>
  <c r="IW46" i="33"/>
  <c r="IY57" i="33"/>
  <c r="IZ58" i="33"/>
  <c r="JA59" i="33"/>
  <c r="JB60" i="33"/>
  <c r="JC61" i="33"/>
  <c r="IW63" i="33"/>
  <c r="JU63" i="33"/>
  <c r="JG11" i="33"/>
  <c r="IY14" i="33"/>
  <c r="JV30" i="33"/>
  <c r="JB34" i="33"/>
  <c r="IU44" i="33"/>
  <c r="JL52" i="33"/>
  <c r="JA8" i="33"/>
  <c r="JH11" i="33"/>
  <c r="IY31" i="33"/>
  <c r="IY38" i="33"/>
  <c r="JD45" i="33"/>
  <c r="JD53" i="33"/>
  <c r="JV64" i="33"/>
  <c r="JS35" i="33"/>
  <c r="IT9" i="33"/>
  <c r="IZ15" i="33"/>
  <c r="JJ17" i="33"/>
  <c r="JF29" i="33"/>
  <c r="IV32" i="33"/>
  <c r="JK10" i="33"/>
  <c r="JE17" i="33"/>
  <c r="JI38" i="33"/>
  <c r="IX13" i="33"/>
  <c r="JC15" i="33"/>
  <c r="JF21" i="33"/>
  <c r="IW37" i="33"/>
  <c r="JI59" i="33"/>
  <c r="JI42" i="33"/>
  <c r="JD11" i="33"/>
  <c r="JD15" i="33"/>
  <c r="JQ49" i="33"/>
  <c r="IV62" i="33"/>
  <c r="JD61" i="33"/>
  <c r="JE11" i="33"/>
  <c r="IZ14" i="33"/>
  <c r="JF20" i="33"/>
  <c r="JH39" i="33"/>
  <c r="IZ13" i="33"/>
  <c r="JJ16" i="33"/>
  <c r="JP22" i="33"/>
  <c r="IZ31" i="33"/>
  <c r="JC34" i="33"/>
  <c r="IV43" i="33"/>
  <c r="IS12" i="33"/>
  <c r="IS37" i="33"/>
  <c r="IS63" i="33"/>
  <c r="JP5" i="33"/>
  <c r="JS9" i="33"/>
  <c r="IW11" i="33"/>
  <c r="JF12" i="33"/>
  <c r="JG13" i="33"/>
  <c r="JH14" i="33"/>
  <c r="JQ15" i="33"/>
  <c r="JC17" i="33"/>
  <c r="JT18" i="33"/>
  <c r="JM19" i="33"/>
  <c r="IY21" i="33"/>
  <c r="JI23" i="33"/>
  <c r="JK26" i="33"/>
  <c r="IX29" i="33"/>
  <c r="JO30" i="33"/>
  <c r="JX31" i="33"/>
  <c r="JQ32" i="33"/>
  <c r="JS34" i="33"/>
  <c r="JE36" i="33"/>
  <c r="JN37" i="33"/>
  <c r="JW38" i="33"/>
  <c r="JI41" i="33"/>
  <c r="JR42" i="33"/>
  <c r="IV44" i="33"/>
  <c r="JE45" i="33"/>
  <c r="JF46" i="33"/>
  <c r="JN46" i="33"/>
  <c r="JO47" i="33"/>
  <c r="JH48" i="33"/>
  <c r="JX48" i="33"/>
  <c r="JI49" i="33"/>
  <c r="IT50" i="33"/>
  <c r="JJ50" i="33"/>
  <c r="IU51" i="33"/>
  <c r="JC51" i="33"/>
  <c r="JK51" i="33"/>
  <c r="JS51" i="33"/>
  <c r="IV52" i="33"/>
  <c r="JD52" i="33"/>
  <c r="JT52" i="33"/>
  <c r="IW53" i="33"/>
  <c r="JE53" i="33"/>
  <c r="JM53" i="33"/>
  <c r="JU53" i="33"/>
  <c r="IX55" i="33"/>
  <c r="JF55" i="33"/>
  <c r="JN55" i="33"/>
  <c r="JV55" i="33"/>
  <c r="IY56" i="33"/>
  <c r="JG56" i="33"/>
  <c r="JO56" i="33"/>
  <c r="JW56" i="33"/>
  <c r="IZ57" i="33"/>
  <c r="JH57" i="33"/>
  <c r="JP57" i="33"/>
  <c r="JX57" i="33"/>
  <c r="JA58" i="33"/>
  <c r="JI58" i="33"/>
  <c r="JQ58" i="33"/>
  <c r="IT59" i="33"/>
  <c r="JB59" i="33"/>
  <c r="JJ59" i="33"/>
  <c r="JR59" i="33"/>
  <c r="IU60" i="33"/>
  <c r="JC60" i="33"/>
  <c r="JK60" i="33"/>
  <c r="JS60" i="33"/>
  <c r="IV61" i="33"/>
  <c r="JL61" i="33"/>
  <c r="IX37" i="33"/>
  <c r="JT9" i="33"/>
  <c r="JK17" i="33"/>
  <c r="IW28" i="33"/>
  <c r="JT35" i="33"/>
  <c r="IS29" i="33"/>
  <c r="IS55" i="33"/>
  <c r="JH5" i="33"/>
  <c r="JB8" i="33"/>
  <c r="IV10" i="33"/>
  <c r="JU11" i="33"/>
  <c r="JV12" i="33"/>
  <c r="JO13" i="33"/>
  <c r="JA15" i="33"/>
  <c r="JB16" i="33"/>
  <c r="IV18" i="33"/>
  <c r="JE19" i="33"/>
  <c r="JN20" i="33"/>
  <c r="JG21" i="33"/>
  <c r="JH22" i="33"/>
  <c r="JL27" i="33"/>
  <c r="JM28" i="33"/>
  <c r="JV29" i="33"/>
  <c r="JH31" i="33"/>
  <c r="JA32" i="33"/>
  <c r="JK34" i="33"/>
  <c r="IW36" i="33"/>
  <c r="JU36" i="33"/>
  <c r="JA41" i="33"/>
  <c r="IT42" i="33"/>
  <c r="JC43" i="33"/>
  <c r="IW45" i="33"/>
  <c r="JU45" i="33"/>
  <c r="IY47" i="33"/>
  <c r="JB50" i="33"/>
  <c r="JT61" i="33"/>
  <c r="JL10" i="33"/>
  <c r="JJ42" i="33"/>
  <c r="JV46" i="33"/>
  <c r="IV9" i="33"/>
  <c r="JI14" i="33"/>
  <c r="JN29" i="33"/>
  <c r="JF37" i="33"/>
  <c r="JQ41" i="33"/>
  <c r="IS20" i="33"/>
  <c r="IS46" i="33"/>
  <c r="IZ5" i="33"/>
  <c r="JX5" i="33"/>
  <c r="IT8" i="33"/>
  <c r="IU9" i="33"/>
  <c r="JD10" i="33"/>
  <c r="IX12" i="33"/>
  <c r="IY13" i="33"/>
  <c r="JP14" i="33"/>
  <c r="JR16" i="33"/>
  <c r="JS17" i="33"/>
  <c r="IW19" i="33"/>
  <c r="IX20" i="33"/>
  <c r="IZ22" i="33"/>
  <c r="JA23" i="33"/>
  <c r="IU26" i="33"/>
  <c r="JS26" i="33"/>
  <c r="JE28" i="33"/>
  <c r="JW30" i="33"/>
  <c r="IT33" i="33"/>
  <c r="JR33" i="33"/>
  <c r="JD35" i="33"/>
  <c r="JG38" i="33"/>
  <c r="IZ39" i="33"/>
  <c r="JB42" i="33"/>
  <c r="IU43" i="33"/>
  <c r="JL44" i="33"/>
  <c r="JM45" i="33"/>
  <c r="JG47" i="33"/>
  <c r="JR50" i="33"/>
  <c r="IW62" i="33"/>
  <c r="IS13" i="33"/>
  <c r="IS21" i="33"/>
  <c r="IS30" i="33"/>
  <c r="IS38" i="33"/>
  <c r="IS47" i="33"/>
  <c r="IS56" i="33"/>
  <c r="IS64" i="33"/>
  <c r="JA5" i="33"/>
  <c r="JI5" i="33"/>
  <c r="JQ5" i="33"/>
  <c r="IU8" i="33"/>
  <c r="JC8" i="33"/>
  <c r="JK8" i="33"/>
  <c r="JD9" i="33"/>
  <c r="IW10" i="33"/>
  <c r="JE62" i="33"/>
  <c r="IX63" i="33"/>
  <c r="JN63" i="33"/>
  <c r="IY64" i="33"/>
  <c r="JW64" i="33"/>
  <c r="JL18" i="33"/>
  <c r="JO21" i="33"/>
  <c r="JO29" i="33"/>
  <c r="JB33" i="33"/>
  <c r="JD44" i="33"/>
  <c r="IS14" i="33"/>
  <c r="IS31" i="33"/>
  <c r="IS48" i="33"/>
  <c r="IT5" i="33"/>
  <c r="JJ5" i="33"/>
  <c r="IV8" i="33"/>
  <c r="JL8" i="33"/>
  <c r="JE9" i="33"/>
  <c r="JU9" i="33"/>
  <c r="JF10" i="33"/>
  <c r="JV10" i="33"/>
  <c r="JO11" i="33"/>
  <c r="IZ12" i="33"/>
  <c r="JP12" i="33"/>
  <c r="JA13" i="33"/>
  <c r="JQ13" i="33"/>
  <c r="JB14" i="33"/>
  <c r="JR14" i="33"/>
  <c r="JK15" i="33"/>
  <c r="JD16" i="33"/>
  <c r="JT16" i="33"/>
  <c r="JM17" i="33"/>
  <c r="IX18" i="33"/>
  <c r="IY19" i="33"/>
  <c r="JO19" i="33"/>
  <c r="IZ20" i="33"/>
  <c r="JX20" i="33"/>
  <c r="JQ21" i="33"/>
  <c r="JB22" i="33"/>
  <c r="JR22" i="33"/>
  <c r="IU23" i="33"/>
  <c r="JC23" i="33"/>
  <c r="JK23" i="33"/>
  <c r="JS23" i="33"/>
  <c r="IW26" i="33"/>
  <c r="JM26" i="33"/>
  <c r="JU26" i="33"/>
  <c r="IX27" i="33"/>
  <c r="JF27" i="33"/>
  <c r="JN27" i="33"/>
  <c r="JV27" i="33"/>
  <c r="IY28" i="33"/>
  <c r="JG28" i="33"/>
  <c r="JW28" i="33"/>
  <c r="IZ29" i="33"/>
  <c r="JH29" i="33"/>
  <c r="JP29" i="33"/>
  <c r="JX29" i="33"/>
  <c r="JA30" i="33"/>
  <c r="JI30" i="33"/>
  <c r="JQ30" i="33"/>
  <c r="IT31" i="33"/>
  <c r="JB31" i="33"/>
  <c r="JJ31" i="33"/>
  <c r="JR31" i="33"/>
  <c r="IU32" i="33"/>
  <c r="JC32" i="33"/>
  <c r="JK32" i="33"/>
  <c r="JS32" i="33"/>
  <c r="IV33" i="33"/>
  <c r="JD33" i="33"/>
  <c r="JL33" i="33"/>
  <c r="JT33" i="33"/>
  <c r="IW34" i="33"/>
  <c r="JE34" i="33"/>
  <c r="JM34" i="33"/>
  <c r="JU34" i="33"/>
  <c r="IX35" i="33"/>
  <c r="JF35" i="33"/>
  <c r="JN35" i="33"/>
  <c r="JV35" i="33"/>
  <c r="IY36" i="33"/>
  <c r="JM62" i="33"/>
  <c r="JF63" i="33"/>
  <c r="JG64" i="33"/>
  <c r="IW9" i="33"/>
  <c r="JT17" i="33"/>
  <c r="JO20" i="33"/>
  <c r="IX28" i="33"/>
  <c r="JR41" i="33"/>
  <c r="IS5" i="33"/>
  <c r="IS22" i="33"/>
  <c r="IS39" i="33"/>
  <c r="IS57" i="33"/>
  <c r="JB5" i="33"/>
  <c r="JR5" i="33"/>
  <c r="JD8" i="33"/>
  <c r="JT8" i="33"/>
  <c r="JM9" i="33"/>
  <c r="IX10" i="33"/>
  <c r="JN10" i="33"/>
  <c r="IY11" i="33"/>
  <c r="JW11" i="33"/>
  <c r="JH12" i="33"/>
  <c r="JX12" i="33"/>
  <c r="JI13" i="33"/>
  <c r="IT14" i="33"/>
  <c r="JJ14" i="33"/>
  <c r="IU15" i="33"/>
  <c r="JS15" i="33"/>
  <c r="IV16" i="33"/>
  <c r="JL16" i="33"/>
  <c r="IW17" i="33"/>
  <c r="JU17" i="33"/>
  <c r="JF18" i="33"/>
  <c r="JV18" i="33"/>
  <c r="JG19" i="33"/>
  <c r="JW19" i="33"/>
  <c r="JH20" i="33"/>
  <c r="JA21" i="33"/>
  <c r="JI21" i="33"/>
  <c r="IT22" i="33"/>
  <c r="JJ22" i="33"/>
  <c r="JE26" i="33"/>
  <c r="IW8" i="33"/>
  <c r="JE8" i="33"/>
  <c r="JM8" i="33"/>
  <c r="JU8" i="33"/>
  <c r="IX9" i="33"/>
  <c r="JF9" i="33"/>
  <c r="JV9" i="33"/>
  <c r="IY10" i="33"/>
  <c r="JO10" i="33"/>
  <c r="JW10" i="33"/>
  <c r="IZ11" i="33"/>
  <c r="JP11" i="33"/>
  <c r="JX11" i="33"/>
  <c r="JA12" i="33"/>
  <c r="JI12" i="33"/>
  <c r="JQ12" i="33"/>
  <c r="IT13" i="33"/>
  <c r="JJ13" i="33"/>
  <c r="JR13" i="33"/>
  <c r="IU14" i="33"/>
  <c r="JC14" i="33"/>
  <c r="JK14" i="33"/>
  <c r="IV15" i="33"/>
  <c r="JL15" i="33"/>
  <c r="JT15" i="33"/>
  <c r="IW16" i="33"/>
  <c r="JE16" i="33"/>
  <c r="JU16" i="33"/>
  <c r="IX17" i="33"/>
  <c r="JF17" i="33"/>
  <c r="JN17" i="33"/>
  <c r="JV17" i="33"/>
  <c r="IY18" i="33"/>
  <c r="JG18" i="33"/>
  <c r="JW18" i="33"/>
  <c r="IZ19" i="33"/>
  <c r="JH19" i="33"/>
  <c r="JP19" i="33"/>
  <c r="JX19" i="33"/>
  <c r="JA20" i="33"/>
  <c r="JI20" i="33"/>
  <c r="JU62" i="33"/>
  <c r="JV63" i="33"/>
  <c r="JO64" i="33"/>
  <c r="JT10" i="33"/>
  <c r="JK16" i="33"/>
  <c r="JU19" i="33"/>
  <c r="JQ22" i="33"/>
  <c r="JE43" i="33"/>
  <c r="JP48" i="33"/>
  <c r="JE10" i="33"/>
  <c r="JM10" i="33"/>
  <c r="JF11" i="33"/>
  <c r="IY12" i="33"/>
  <c r="JG12" i="33"/>
  <c r="JO12" i="33"/>
  <c r="JH13" i="33"/>
  <c r="JP13" i="33"/>
  <c r="JA14" i="33"/>
  <c r="JQ14" i="33"/>
  <c r="JB15" i="33"/>
  <c r="JJ15" i="33"/>
  <c r="JR15" i="33"/>
  <c r="IU16" i="33"/>
  <c r="JS16" i="33"/>
  <c r="IV17" i="33"/>
  <c r="JL17" i="33"/>
  <c r="IW18" i="33"/>
  <c r="JM18" i="33"/>
  <c r="IX19" i="33"/>
  <c r="JN19" i="33"/>
  <c r="IY20" i="33"/>
  <c r="JG20" i="33"/>
  <c r="IZ21" i="33"/>
  <c r="JH21" i="33"/>
  <c r="JP21" i="33"/>
  <c r="JX21" i="33"/>
  <c r="JI22" i="33"/>
  <c r="IT23" i="33"/>
  <c r="JJ23" i="33"/>
  <c r="JR23" i="33"/>
  <c r="JL26" i="33"/>
  <c r="JT26" i="33"/>
  <c r="JM27" i="33"/>
  <c r="JF28" i="33"/>
  <c r="JV28" i="33"/>
  <c r="IY29" i="33"/>
  <c r="JW29" i="33"/>
  <c r="JP30" i="33"/>
  <c r="JX30" i="33"/>
  <c r="JA31" i="33"/>
  <c r="JI31" i="33"/>
  <c r="JB32" i="33"/>
  <c r="IU33" i="33"/>
  <c r="JC33" i="33"/>
  <c r="JK33" i="33"/>
  <c r="JS33" i="33"/>
  <c r="JD34" i="33"/>
  <c r="JL34" i="33"/>
  <c r="IW35" i="33"/>
  <c r="JE35" i="33"/>
  <c r="JM35" i="33"/>
  <c r="JU35" i="33"/>
  <c r="IX36" i="33"/>
  <c r="JN36" i="33"/>
  <c r="JV36" i="33"/>
  <c r="IY37" i="33"/>
  <c r="JG37" i="33"/>
  <c r="JO37" i="33"/>
  <c r="JW37" i="33"/>
  <c r="IZ38" i="33"/>
  <c r="JH38" i="33"/>
  <c r="JP38" i="33"/>
  <c r="JX38" i="33"/>
  <c r="IT41" i="33"/>
  <c r="JB41" i="33"/>
  <c r="JJ41" i="33"/>
  <c r="JC42" i="33"/>
  <c r="JK42" i="33"/>
  <c r="JS42" i="33"/>
  <c r="JD43" i="33"/>
  <c r="JL43" i="33"/>
  <c r="JT43" i="33"/>
  <c r="IW44" i="33"/>
  <c r="JE44" i="33"/>
  <c r="JM44" i="33"/>
  <c r="JF45" i="33"/>
  <c r="JN45" i="33"/>
  <c r="JV45" i="33"/>
  <c r="IY46" i="33"/>
  <c r="JW46" i="33"/>
  <c r="IZ47" i="33"/>
  <c r="JG36" i="33"/>
  <c r="JO36" i="33"/>
  <c r="JW36" i="33"/>
  <c r="IZ37" i="33"/>
  <c r="JH37" i="33"/>
  <c r="JP37" i="33"/>
  <c r="JX37" i="33"/>
  <c r="JQ38" i="33"/>
  <c r="IU41" i="33"/>
  <c r="JC41" i="33"/>
  <c r="JK41" i="33"/>
  <c r="JS41" i="33"/>
  <c r="JD42" i="33"/>
  <c r="JL42" i="33"/>
  <c r="JT42" i="33"/>
  <c r="IW43" i="33"/>
  <c r="JM43" i="33"/>
  <c r="JU43" i="33"/>
  <c r="IX44" i="33"/>
  <c r="JF44" i="33"/>
  <c r="JN44" i="33"/>
  <c r="JV44" i="33"/>
  <c r="JG45" i="33"/>
  <c r="JO45" i="33"/>
  <c r="JW45" i="33"/>
  <c r="IZ46" i="33"/>
  <c r="JH46" i="33"/>
  <c r="JP46" i="33"/>
  <c r="JX46" i="33"/>
  <c r="JA47" i="33"/>
  <c r="JI47" i="33"/>
  <c r="JQ47" i="33"/>
  <c r="JQ20" i="33"/>
  <c r="IT21" i="33"/>
  <c r="JB21" i="33"/>
  <c r="JJ21" i="33"/>
  <c r="JR21" i="33"/>
  <c r="JC22" i="33"/>
  <c r="JK22" i="33"/>
  <c r="JS22" i="33"/>
  <c r="IV23" i="33"/>
  <c r="JD23" i="33"/>
  <c r="JT23" i="33"/>
  <c r="IX26" i="33"/>
  <c r="JN26" i="33"/>
  <c r="JV26" i="33"/>
  <c r="IY27" i="33"/>
  <c r="JG27" i="33"/>
  <c r="JO27" i="33"/>
  <c r="JW27" i="33"/>
  <c r="IZ28" i="33"/>
  <c r="JH28" i="33"/>
  <c r="JP28" i="33"/>
  <c r="JX28" i="33"/>
  <c r="JA29" i="33"/>
  <c r="JI29" i="33"/>
  <c r="JQ29" i="33"/>
  <c r="IT30" i="33"/>
  <c r="JB30" i="33"/>
  <c r="JJ30" i="33"/>
  <c r="JR30" i="33"/>
  <c r="IU31" i="33"/>
  <c r="JC31" i="33"/>
  <c r="JK31" i="33"/>
  <c r="JS31" i="33"/>
  <c r="JH47" i="33"/>
  <c r="JP47" i="33"/>
  <c r="JX47" i="33"/>
  <c r="JI48" i="33"/>
  <c r="JQ48" i="33"/>
  <c r="IT49" i="33"/>
  <c r="JB49" i="33"/>
  <c r="JR49" i="33"/>
  <c r="IU50" i="33"/>
  <c r="JC50" i="33"/>
  <c r="JS50" i="33"/>
  <c r="JL51" i="33"/>
  <c r="JT51" i="33"/>
  <c r="IW52" i="33"/>
  <c r="JE52" i="33"/>
  <c r="JM52" i="33"/>
  <c r="JU52" i="33"/>
  <c r="IX53" i="33"/>
  <c r="JF53" i="33"/>
  <c r="JN53" i="33"/>
  <c r="IY55" i="33"/>
  <c r="JO55" i="33"/>
  <c r="IZ56" i="33"/>
  <c r="JH56" i="33"/>
  <c r="JP56" i="33"/>
  <c r="JX56" i="33"/>
  <c r="JA57" i="33"/>
  <c r="JI57" i="33"/>
  <c r="JQ57" i="33"/>
  <c r="JB58" i="33"/>
  <c r="JJ58" i="33"/>
  <c r="JR58" i="33"/>
  <c r="IU59" i="33"/>
  <c r="JC59" i="33"/>
  <c r="JK59" i="33"/>
  <c r="JS59" i="33"/>
  <c r="IV60" i="33"/>
  <c r="JD60" i="33"/>
  <c r="JL60" i="33"/>
  <c r="JT60" i="33"/>
  <c r="IW61" i="33"/>
  <c r="JE61" i="33"/>
  <c r="JM61" i="33"/>
  <c r="JU61" i="33"/>
  <c r="IX62" i="33"/>
  <c r="JF62" i="33"/>
  <c r="JN62" i="33"/>
  <c r="JV62" i="33"/>
  <c r="JG63" i="33"/>
  <c r="JO63" i="33"/>
  <c r="JW63" i="33"/>
  <c r="IZ64" i="33"/>
  <c r="JH64" i="33"/>
  <c r="JP64" i="33"/>
  <c r="JX64" i="33"/>
  <c r="JJ8" i="33"/>
  <c r="JU10" i="33"/>
  <c r="JM11" i="33"/>
  <c r="JI15" i="33"/>
  <c r="JM16" i="33"/>
  <c r="JN18" i="33"/>
  <c r="JV19" i="33"/>
  <c r="JP20" i="33"/>
  <c r="JQ23" i="33"/>
  <c r="IV27" i="33"/>
  <c r="JN28" i="33"/>
  <c r="IY30" i="33"/>
  <c r="JI32" i="33"/>
  <c r="JT34" i="33"/>
  <c r="JF36" i="33"/>
  <c r="IU42" i="33"/>
  <c r="JT44" i="33"/>
  <c r="IX46" i="33"/>
  <c r="JG55" i="33"/>
  <c r="IT58" i="33"/>
  <c r="IY63" i="33"/>
  <c r="IT48" i="33"/>
  <c r="JB48" i="33"/>
  <c r="JJ48" i="33"/>
  <c r="JR48" i="33"/>
  <c r="IU49" i="33"/>
  <c r="JC49" i="33"/>
  <c r="JK49" i="33"/>
  <c r="JS49" i="33"/>
  <c r="IV50" i="33"/>
  <c r="JD50" i="33"/>
  <c r="JL50" i="33"/>
  <c r="JT50" i="33"/>
  <c r="IW51" i="33"/>
  <c r="JE51" i="33"/>
  <c r="JM51" i="33"/>
  <c r="JU51" i="33"/>
  <c r="IX52" i="33"/>
  <c r="JF52" i="33"/>
  <c r="JN52" i="33"/>
  <c r="JV52" i="33"/>
  <c r="IY53" i="33"/>
  <c r="JG53" i="33"/>
  <c r="JO53" i="33"/>
  <c r="JW53" i="33"/>
  <c r="IZ55" i="33"/>
  <c r="JH55" i="33"/>
  <c r="JP55" i="33"/>
  <c r="JX55" i="33"/>
  <c r="JA56" i="33"/>
  <c r="JI56" i="33"/>
  <c r="JQ56" i="33"/>
  <c r="IT57" i="33"/>
  <c r="JB57" i="33"/>
  <c r="JJ57" i="33"/>
  <c r="JR57" i="33"/>
  <c r="IU58" i="33"/>
  <c r="JC58" i="33"/>
  <c r="JK58" i="33"/>
  <c r="JS58" i="33"/>
  <c r="IV59" i="33"/>
  <c r="JD59" i="33"/>
  <c r="JL59" i="33"/>
  <c r="JT59" i="33"/>
  <c r="IW60" i="33"/>
  <c r="JE60" i="33"/>
  <c r="JM60" i="33"/>
  <c r="JU60" i="33"/>
  <c r="IX61" i="33"/>
  <c r="JF61" i="33"/>
  <c r="JN61" i="33"/>
  <c r="JV61" i="33"/>
  <c r="IY62" i="33"/>
  <c r="JG62" i="33"/>
  <c r="JO62" i="33"/>
  <c r="JW62" i="33"/>
  <c r="IZ63" i="33"/>
  <c r="JH63" i="33"/>
  <c r="JP63" i="33"/>
  <c r="JX63" i="33"/>
  <c r="JA64" i="33"/>
  <c r="JI64" i="33"/>
  <c r="JQ64" i="33"/>
  <c r="JC9" i="33"/>
  <c r="JN11" i="33"/>
  <c r="JN12" i="33"/>
  <c r="JS14" i="33"/>
  <c r="JO18" i="33"/>
  <c r="JV20" i="33"/>
  <c r="JW21" i="33"/>
  <c r="JX22" i="33"/>
  <c r="IW27" i="33"/>
  <c r="JO28" i="33"/>
  <c r="IZ30" i="33"/>
  <c r="JP31" i="33"/>
  <c r="JJ32" i="33"/>
  <c r="JJ33" i="33"/>
  <c r="JO38" i="33"/>
  <c r="IV42" i="33"/>
  <c r="JU44" i="33"/>
  <c r="JG46" i="33"/>
  <c r="JA49" i="33"/>
  <c r="JK50" i="33"/>
  <c r="JW55" i="33"/>
  <c r="JK9" i="33"/>
  <c r="JG10" i="33"/>
  <c r="JW13" i="33"/>
  <c r="IT16" i="33"/>
  <c r="IU17" i="33"/>
  <c r="JU18" i="33"/>
  <c r="JW20" i="33"/>
  <c r="IU22" i="33"/>
  <c r="JB23" i="33"/>
  <c r="IV26" i="33"/>
  <c r="JD27" i="33"/>
  <c r="JG30" i="33"/>
  <c r="JQ31" i="33"/>
  <c r="IV35" i="33"/>
  <c r="JM36" i="33"/>
  <c r="JV37" i="33"/>
  <c r="JK43" i="33"/>
  <c r="IX45" i="33"/>
  <c r="JW47" i="33"/>
  <c r="JJ49" i="33"/>
  <c r="JR8" i="33"/>
  <c r="JL9" i="33"/>
  <c r="IX11" i="33"/>
  <c r="JV11" i="33"/>
  <c r="JX13" i="33"/>
  <c r="JX14" i="33"/>
  <c r="JD17" i="33"/>
  <c r="JC26" i="33"/>
  <c r="JE27" i="33"/>
  <c r="JU28" i="33"/>
  <c r="JH30" i="33"/>
  <c r="JR32" i="33"/>
  <c r="IU34" i="33"/>
  <c r="IY45" i="33"/>
  <c r="JO46" i="33"/>
  <c r="IZ48" i="33"/>
  <c r="IV51" i="33"/>
  <c r="IS32" i="33"/>
  <c r="IS49" i="33"/>
  <c r="JC5" i="33"/>
  <c r="JS5" i="33"/>
  <c r="IS23" i="33"/>
  <c r="IS41" i="33"/>
  <c r="IS58" i="33"/>
  <c r="IS15" i="33"/>
  <c r="IU5" i="33"/>
  <c r="JK5" i="33"/>
  <c r="JB64" i="33"/>
  <c r="JJ64" i="33"/>
  <c r="IT64" i="33"/>
  <c r="JR64" i="33"/>
  <c r="JD32" i="33"/>
  <c r="JL32" i="33"/>
  <c r="JT32" i="33"/>
  <c r="IW33" i="33"/>
  <c r="JE33" i="33"/>
  <c r="JM33" i="33"/>
  <c r="JU33" i="33"/>
  <c r="IX34" i="33"/>
  <c r="JF34" i="33"/>
  <c r="JN34" i="33"/>
  <c r="JV34" i="33"/>
  <c r="IY35" i="33"/>
  <c r="JG35" i="33"/>
  <c r="JO35" i="33"/>
  <c r="JW35" i="33"/>
  <c r="IZ36" i="33"/>
  <c r="JH36" i="33"/>
  <c r="JP36" i="33"/>
  <c r="JX36" i="33"/>
  <c r="JA37" i="33"/>
  <c r="JI37" i="33"/>
  <c r="JQ37" i="33"/>
  <c r="IT38" i="33"/>
  <c r="JB38" i="33"/>
  <c r="JJ38" i="33"/>
  <c r="JR38" i="33"/>
  <c r="IU39" i="33"/>
  <c r="IV41" i="33"/>
  <c r="JD41" i="33"/>
  <c r="JL41" i="33"/>
  <c r="JT41" i="33"/>
  <c r="IW42" i="33"/>
  <c r="JE42" i="33"/>
  <c r="JM42" i="33"/>
  <c r="JU42" i="33"/>
  <c r="IX43" i="33"/>
  <c r="JF43" i="33"/>
  <c r="JN43" i="33"/>
  <c r="JV43" i="33"/>
  <c r="IY44" i="33"/>
  <c r="JG44" i="33"/>
  <c r="JO44" i="33"/>
  <c r="JW44" i="33"/>
  <c r="IZ45" i="33"/>
  <c r="JH45" i="33"/>
  <c r="JP45" i="33"/>
  <c r="JX45" i="33"/>
  <c r="JA46" i="33"/>
  <c r="JI46" i="33"/>
  <c r="JQ46" i="33"/>
  <c r="IT47" i="33"/>
  <c r="JB47" i="33"/>
  <c r="JJ47" i="33"/>
  <c r="JR47" i="33"/>
  <c r="IU48" i="33"/>
  <c r="JC48" i="33"/>
  <c r="JK48" i="33"/>
  <c r="JS48" i="33"/>
  <c r="IV49" i="33"/>
  <c r="JD49" i="33"/>
  <c r="JL49" i="33"/>
  <c r="JT49" i="33"/>
  <c r="IW50" i="33"/>
  <c r="JE50" i="33"/>
  <c r="JM50" i="33"/>
  <c r="JU50" i="33"/>
  <c r="IX51" i="33"/>
  <c r="JF51" i="33"/>
  <c r="JN51" i="33"/>
  <c r="JV51" i="33"/>
  <c r="IY52" i="33"/>
  <c r="JG52" i="33"/>
  <c r="JO52" i="33"/>
  <c r="JW52" i="33"/>
  <c r="IZ53" i="33"/>
  <c r="JH53" i="33"/>
  <c r="JP53" i="33"/>
  <c r="JX53" i="33"/>
  <c r="JA55" i="33"/>
  <c r="JI55" i="33"/>
  <c r="JQ55" i="33"/>
  <c r="IT56" i="33"/>
  <c r="JB56" i="33"/>
  <c r="JJ56" i="33"/>
  <c r="JR56" i="33"/>
  <c r="IU57" i="33"/>
  <c r="JC57" i="33"/>
  <c r="JK57" i="33"/>
  <c r="JS57" i="33"/>
  <c r="IV58" i="33"/>
  <c r="JD58" i="33"/>
  <c r="JL58" i="33"/>
  <c r="JT58" i="33"/>
  <c r="IW59" i="33"/>
  <c r="JE59" i="33"/>
  <c r="JM59" i="33"/>
  <c r="JU59" i="33"/>
  <c r="IX60" i="33"/>
  <c r="JF60" i="33"/>
  <c r="JN60" i="33"/>
  <c r="JV60" i="33"/>
  <c r="IY61" i="33"/>
  <c r="JG61" i="33"/>
  <c r="JO61" i="33"/>
  <c r="JW61" i="33"/>
  <c r="IZ62" i="33"/>
  <c r="JH62" i="33"/>
  <c r="JP62" i="33"/>
  <c r="JX62" i="33"/>
  <c r="JA63" i="33"/>
  <c r="JI63" i="33"/>
  <c r="JQ63" i="33"/>
  <c r="IU64" i="33"/>
  <c r="JC64" i="33"/>
  <c r="JK64" i="33"/>
  <c r="JS64" i="33"/>
  <c r="JU64" i="33"/>
  <c r="JY7" i="32"/>
  <c r="JX7" i="32"/>
  <c r="JW7" i="32"/>
  <c r="JV7" i="32"/>
  <c r="JU7" i="32"/>
  <c r="JT7" i="32"/>
  <c r="JS7" i="32"/>
  <c r="JR7" i="32"/>
  <c r="JQ7" i="32"/>
  <c r="JP7" i="32"/>
  <c r="JO7" i="32"/>
  <c r="JN7" i="32"/>
  <c r="JM7" i="32"/>
  <c r="JL7" i="32"/>
  <c r="JK7" i="32"/>
  <c r="JJ7" i="32"/>
  <c r="JI7" i="32"/>
  <c r="JH7" i="32"/>
  <c r="JG7" i="32"/>
  <c r="JF7" i="32"/>
  <c r="JE7" i="32"/>
  <c r="JD7" i="32"/>
  <c r="JC7" i="32"/>
  <c r="JB7" i="32"/>
  <c r="JA7" i="32"/>
  <c r="IZ7" i="32"/>
  <c r="IY7" i="32"/>
  <c r="IX7" i="32"/>
  <c r="IW7" i="32"/>
  <c r="IV7" i="32"/>
  <c r="IU7" i="32"/>
  <c r="IT7" i="32"/>
  <c r="IJ7" i="32"/>
  <c r="II7" i="32"/>
  <c r="IH7" i="32"/>
  <c r="IG7" i="32"/>
  <c r="IF7" i="32"/>
  <c r="IE7" i="32"/>
  <c r="ID7" i="32"/>
  <c r="IC7" i="32"/>
  <c r="IB7" i="32"/>
  <c r="IA7" i="32"/>
  <c r="HZ7" i="32"/>
  <c r="HY7" i="32"/>
  <c r="HX7" i="32"/>
  <c r="HW7" i="32"/>
  <c r="HV7" i="32"/>
  <c r="HU7" i="32"/>
  <c r="HT7" i="32"/>
  <c r="HS7" i="32"/>
  <c r="HR7" i="32"/>
  <c r="HQ7" i="32"/>
  <c r="HP7" i="32"/>
  <c r="HO7" i="32"/>
  <c r="HN7" i="32"/>
  <c r="HM7" i="32"/>
  <c r="HL7" i="32"/>
  <c r="HK7" i="32"/>
  <c r="HJ7" i="32"/>
  <c r="HI7" i="32"/>
  <c r="HH7" i="32"/>
  <c r="HG7" i="32"/>
  <c r="HF7" i="32"/>
  <c r="HE7" i="32"/>
  <c r="GU7" i="32"/>
  <c r="GT7" i="32"/>
  <c r="GS7" i="32"/>
  <c r="GR7" i="32"/>
  <c r="GQ7" i="32"/>
  <c r="GP7" i="32"/>
  <c r="GO7" i="32"/>
  <c r="GN7" i="32"/>
  <c r="GM7" i="32"/>
  <c r="GL7" i="32"/>
  <c r="GK7" i="32"/>
  <c r="GJ7" i="32"/>
  <c r="GI7" i="32"/>
  <c r="GH7" i="32"/>
  <c r="GG7" i="32"/>
  <c r="GF7" i="32"/>
  <c r="GE7" i="32"/>
  <c r="GD7" i="32"/>
  <c r="GC7" i="32"/>
  <c r="GB7" i="32"/>
  <c r="GA7" i="32"/>
  <c r="FZ7" i="32"/>
  <c r="FY7" i="32"/>
  <c r="FX7" i="32"/>
  <c r="FW7" i="32"/>
  <c r="FV7" i="32"/>
  <c r="FU7" i="32"/>
  <c r="FT7" i="32"/>
  <c r="FS7" i="32"/>
  <c r="FR7" i="32"/>
  <c r="FQ7" i="32"/>
  <c r="FP7" i="32"/>
  <c r="FF7" i="32"/>
  <c r="FE7" i="32"/>
  <c r="FD7" i="32"/>
  <c r="FC7" i="32"/>
  <c r="FB7" i="32"/>
  <c r="FA7" i="32"/>
  <c r="EZ7" i="32"/>
  <c r="EY7" i="32"/>
  <c r="EX7" i="32"/>
  <c r="EW7" i="32"/>
  <c r="EV7" i="32"/>
  <c r="EU7" i="32"/>
  <c r="ET7" i="32"/>
  <c r="ES7" i="32"/>
  <c r="ER7" i="32"/>
  <c r="EQ7" i="32"/>
  <c r="EP7" i="32"/>
  <c r="EO7" i="32"/>
  <c r="EN7" i="32"/>
  <c r="EM7" i="32"/>
  <c r="EL7" i="32"/>
  <c r="EK7" i="32"/>
  <c r="EJ7" i="32"/>
  <c r="EI7" i="32"/>
  <c r="EH7" i="32"/>
  <c r="EG7" i="32"/>
  <c r="EF7" i="32"/>
  <c r="EE7" i="32"/>
  <c r="ED7" i="32"/>
  <c r="EC7" i="32"/>
  <c r="EB7" i="32"/>
  <c r="EA7" i="32"/>
  <c r="DB7" i="32"/>
  <c r="DA7" i="32"/>
  <c r="CZ7" i="32"/>
  <c r="CY7" i="32"/>
  <c r="CX7" i="32"/>
  <c r="CW7" i="32"/>
  <c r="CV7" i="32"/>
  <c r="CU7" i="32"/>
  <c r="CT7" i="32"/>
  <c r="CS7" i="32"/>
  <c r="CR7" i="32"/>
  <c r="CQ7" i="32"/>
  <c r="CP7" i="32"/>
  <c r="CO7" i="32"/>
  <c r="CN7" i="32"/>
  <c r="CM7" i="32"/>
  <c r="CL7" i="32"/>
  <c r="J7" i="32"/>
  <c r="I7" i="32"/>
  <c r="H7" i="32"/>
  <c r="G7" i="32"/>
  <c r="BC6" i="33" l="1"/>
  <c r="CA6" i="33"/>
  <c r="DH6" i="33"/>
  <c r="EO6" i="33"/>
  <c r="FV6" i="33"/>
  <c r="HK6" i="33"/>
  <c r="II6" i="33"/>
  <c r="AV6" i="33"/>
  <c r="AW7" i="32"/>
  <c r="G6" i="33" s="1"/>
  <c r="BD6" i="33"/>
  <c r="BL6" i="33"/>
  <c r="BT6" i="33"/>
  <c r="CK6" i="33"/>
  <c r="CS6" i="33"/>
  <c r="DA6" i="33"/>
  <c r="DI6" i="33"/>
  <c r="DZ6" i="33"/>
  <c r="EH6" i="33"/>
  <c r="EP6" i="33"/>
  <c r="EX6" i="33"/>
  <c r="FO6" i="33"/>
  <c r="FW6" i="33"/>
  <c r="GE6" i="33"/>
  <c r="GM6" i="33"/>
  <c r="HD6" i="33"/>
  <c r="HL6" i="33"/>
  <c r="HT6" i="33"/>
  <c r="IB6" i="33"/>
  <c r="AW6" i="33"/>
  <c r="BE6" i="33"/>
  <c r="BM6" i="33"/>
  <c r="BU6" i="33"/>
  <c r="CL6" i="33"/>
  <c r="CT6" i="33"/>
  <c r="DB6" i="33"/>
  <c r="DJ6" i="33"/>
  <c r="EA6" i="33"/>
  <c r="EI6" i="33"/>
  <c r="EQ6" i="33"/>
  <c r="EY6" i="33"/>
  <c r="FP6" i="33"/>
  <c r="FX6" i="33"/>
  <c r="GF6" i="33"/>
  <c r="GN6" i="33"/>
  <c r="HE6" i="33"/>
  <c r="HM6" i="33"/>
  <c r="HU6" i="33"/>
  <c r="IC6" i="33"/>
  <c r="AX6" i="33"/>
  <c r="BF6" i="33"/>
  <c r="BN6" i="33"/>
  <c r="BV6" i="33"/>
  <c r="CM6" i="33"/>
  <c r="CU6" i="33"/>
  <c r="DC6" i="33"/>
  <c r="DK6" i="33"/>
  <c r="EB6" i="33"/>
  <c r="EJ6" i="33"/>
  <c r="ER6" i="33"/>
  <c r="EZ6" i="33"/>
  <c r="FQ6" i="33"/>
  <c r="FY6" i="33"/>
  <c r="GG6" i="33"/>
  <c r="GO6" i="33"/>
  <c r="HF6" i="33"/>
  <c r="HN6" i="33"/>
  <c r="HV6" i="33"/>
  <c r="ID6" i="33"/>
  <c r="BS6" i="33"/>
  <c r="CR6" i="33"/>
  <c r="DP6" i="33"/>
  <c r="EW6" i="33"/>
  <c r="GD6" i="33"/>
  <c r="GT6" i="33"/>
  <c r="HS6" i="33"/>
  <c r="BG6" i="33"/>
  <c r="BW6" i="33"/>
  <c r="CV6" i="33"/>
  <c r="DL6" i="33"/>
  <c r="EK6" i="33"/>
  <c r="FA6" i="33"/>
  <c r="FZ6" i="33"/>
  <c r="GP6" i="33"/>
  <c r="HG6" i="33"/>
  <c r="HW6" i="33"/>
  <c r="AZ6" i="33"/>
  <c r="BH6" i="33"/>
  <c r="BP6" i="33"/>
  <c r="BX6" i="33"/>
  <c r="CO6" i="33"/>
  <c r="CW6" i="33"/>
  <c r="DE6" i="33"/>
  <c r="DM6" i="33"/>
  <c r="ED6" i="33"/>
  <c r="EL6" i="33"/>
  <c r="ET6" i="33"/>
  <c r="FB6" i="33"/>
  <c r="FS6" i="33"/>
  <c r="GA6" i="33"/>
  <c r="GI6" i="33"/>
  <c r="GQ6" i="33"/>
  <c r="HH6" i="33"/>
  <c r="HP6" i="33"/>
  <c r="HX6" i="33"/>
  <c r="IF6" i="33"/>
  <c r="BA6" i="33"/>
  <c r="BI6" i="33"/>
  <c r="BQ6" i="33"/>
  <c r="BY6" i="33"/>
  <c r="CP6" i="33"/>
  <c r="CX6" i="33"/>
  <c r="DF6" i="33"/>
  <c r="DN6" i="33"/>
  <c r="EE6" i="33"/>
  <c r="EM6" i="33"/>
  <c r="EU6" i="33"/>
  <c r="FC6" i="33"/>
  <c r="FT6" i="33"/>
  <c r="GB6" i="33"/>
  <c r="GJ6" i="33"/>
  <c r="GR6" i="33"/>
  <c r="HI6" i="33"/>
  <c r="HQ6" i="33"/>
  <c r="HY6" i="33"/>
  <c r="IG6" i="33"/>
  <c r="BK6" i="33"/>
  <c r="CZ6" i="33"/>
  <c r="EG6" i="33"/>
  <c r="FE6" i="33"/>
  <c r="GL6" i="33"/>
  <c r="IA6" i="33"/>
  <c r="AY6" i="33"/>
  <c r="BO6" i="33"/>
  <c r="CN6" i="33"/>
  <c r="DD6" i="33"/>
  <c r="EC6" i="33"/>
  <c r="ES6" i="33"/>
  <c r="FR6" i="33"/>
  <c r="GH6" i="33"/>
  <c r="HO6" i="33"/>
  <c r="IE6" i="33"/>
  <c r="BB6" i="33"/>
  <c r="BJ6" i="33"/>
  <c r="BR6" i="33"/>
  <c r="BZ6" i="33"/>
  <c r="CQ6" i="33"/>
  <c r="CY6" i="33"/>
  <c r="DG6" i="33"/>
  <c r="DO6" i="33"/>
  <c r="EF6" i="33"/>
  <c r="EN6" i="33"/>
  <c r="EV6" i="33"/>
  <c r="FD6" i="33"/>
  <c r="FU6" i="33"/>
  <c r="GC6" i="33"/>
  <c r="GK6" i="33"/>
  <c r="GS6" i="33"/>
  <c r="HJ6" i="33"/>
  <c r="HR6" i="33"/>
  <c r="HZ6" i="33"/>
  <c r="IH6" i="33"/>
  <c r="BO7" i="32"/>
  <c r="Y6" i="33" s="1"/>
  <c r="AZ7" i="32"/>
  <c r="J6" i="33" s="1"/>
  <c r="BI7" i="32"/>
  <c r="S6" i="33" s="1"/>
  <c r="BB7" i="32"/>
  <c r="L6" i="33" s="1"/>
  <c r="BJ7" i="32"/>
  <c r="T6" i="33" s="1"/>
  <c r="BR7" i="32"/>
  <c r="AB6" i="33" s="1"/>
  <c r="BZ7" i="32"/>
  <c r="AJ6" i="33" s="1"/>
  <c r="BC7" i="32"/>
  <c r="M6" i="33" s="1"/>
  <c r="BK7" i="32"/>
  <c r="U6" i="33" s="1"/>
  <c r="BS7" i="32"/>
  <c r="AC6" i="33" s="1"/>
  <c r="CA7" i="32"/>
  <c r="AK6" i="33" s="1"/>
  <c r="AY7" i="32"/>
  <c r="I6" i="33" s="1"/>
  <c r="BX7" i="32"/>
  <c r="AH6" i="33" s="1"/>
  <c r="BQ7" i="32"/>
  <c r="AA6" i="33" s="1"/>
  <c r="BD7" i="32"/>
  <c r="N6" i="33" s="1"/>
  <c r="BL7" i="32"/>
  <c r="V6" i="33" s="1"/>
  <c r="BT7" i="32"/>
  <c r="AD6" i="33" s="1"/>
  <c r="CB7" i="32"/>
  <c r="AL6" i="33" s="1"/>
  <c r="BW7" i="32"/>
  <c r="AG6" i="33" s="1"/>
  <c r="BH7" i="32"/>
  <c r="R6" i="33" s="1"/>
  <c r="BA7" i="32"/>
  <c r="K6" i="33" s="1"/>
  <c r="BM7" i="32"/>
  <c r="W6" i="33" s="1"/>
  <c r="BG7" i="32"/>
  <c r="Q6" i="33" s="1"/>
  <c r="BP7" i="32"/>
  <c r="Z6" i="33" s="1"/>
  <c r="BY7" i="32"/>
  <c r="AI6" i="33" s="1"/>
  <c r="BE7" i="32"/>
  <c r="O6" i="33" s="1"/>
  <c r="BU7" i="32"/>
  <c r="AE6" i="33" s="1"/>
  <c r="AX7" i="32"/>
  <c r="H6" i="33" s="1"/>
  <c r="BF7" i="32"/>
  <c r="P6" i="33" s="1"/>
  <c r="BN7" i="32"/>
  <c r="X6" i="33" s="1"/>
  <c r="BV7" i="32"/>
  <c r="AF6" i="33" s="1"/>
  <c r="AV52" i="9"/>
  <c r="AV38" i="9"/>
  <c r="AV23" i="9"/>
  <c r="AV5" i="9"/>
  <c r="JA6" i="33" l="1"/>
  <c r="JH6" i="33"/>
  <c r="JT6" i="33"/>
  <c r="JW6" i="33"/>
  <c r="JL6" i="33"/>
  <c r="IZ6" i="33"/>
  <c r="JE6" i="33"/>
  <c r="JD6" i="33"/>
  <c r="JR6" i="33"/>
  <c r="IW6" i="33"/>
  <c r="JM6" i="33"/>
  <c r="JN6" i="33"/>
  <c r="JU6" i="33"/>
  <c r="JB6" i="33"/>
  <c r="JI6" i="33"/>
  <c r="JX6" i="33"/>
  <c r="JG6" i="33"/>
  <c r="JF6" i="33"/>
  <c r="JO6" i="33"/>
  <c r="IV6" i="33"/>
  <c r="JJ6" i="33"/>
  <c r="IT6" i="33"/>
  <c r="JQ6" i="33"/>
  <c r="JP6" i="33"/>
  <c r="IU6" i="33"/>
  <c r="IY6" i="33"/>
  <c r="JK6" i="33"/>
  <c r="JV6" i="33"/>
  <c r="IS6" i="33"/>
  <c r="JS6" i="33"/>
  <c r="JC6" i="33"/>
  <c r="IX6" i="33"/>
  <c r="AQ9" i="4"/>
  <c r="C7" i="9" l="1"/>
  <c r="J7" i="9"/>
  <c r="K7" i="9"/>
  <c r="L7" i="9"/>
  <c r="M7" i="9"/>
  <c r="N7" i="9"/>
  <c r="O7" i="9"/>
  <c r="R7" i="9"/>
  <c r="AA7" i="9"/>
  <c r="AC7" i="9"/>
  <c r="AD7" i="9"/>
  <c r="AE7" i="9"/>
  <c r="AG7" i="9"/>
  <c r="AH7" i="9"/>
  <c r="AI7" i="9"/>
  <c r="AK7" i="9"/>
  <c r="AL7" i="9"/>
  <c r="AM7" i="9"/>
  <c r="AO7" i="9"/>
  <c r="AQ7" i="9"/>
  <c r="AS7" i="9"/>
  <c r="AU7" i="9"/>
  <c r="C8" i="9"/>
  <c r="J8" i="9"/>
  <c r="K8" i="9"/>
  <c r="L8" i="9"/>
  <c r="M8" i="9"/>
  <c r="N8" i="9"/>
  <c r="O8" i="9"/>
  <c r="R8" i="9"/>
  <c r="AA8" i="9"/>
  <c r="AC8" i="9"/>
  <c r="AD8" i="9"/>
  <c r="AE8" i="9"/>
  <c r="AG8" i="9"/>
  <c r="AH8" i="9"/>
  <c r="AI8" i="9"/>
  <c r="AK8" i="9"/>
  <c r="AL8" i="9"/>
  <c r="AM8" i="9"/>
  <c r="AO8" i="9"/>
  <c r="AQ8" i="9"/>
  <c r="AS8" i="9"/>
  <c r="AU8" i="9"/>
  <c r="C9" i="9"/>
  <c r="J9" i="9"/>
  <c r="K9" i="9"/>
  <c r="L9" i="9"/>
  <c r="M9" i="9"/>
  <c r="N9" i="9"/>
  <c r="O9" i="9"/>
  <c r="R9" i="9"/>
  <c r="AA9" i="9"/>
  <c r="AC9" i="9"/>
  <c r="AD9" i="9"/>
  <c r="AE9" i="9"/>
  <c r="AG9" i="9"/>
  <c r="AH9" i="9"/>
  <c r="AI9" i="9"/>
  <c r="AK9" i="9"/>
  <c r="AL9" i="9"/>
  <c r="AM9" i="9"/>
  <c r="AO9" i="9"/>
  <c r="AQ9" i="9"/>
  <c r="AS9" i="9"/>
  <c r="AU9" i="9"/>
  <c r="C10" i="9"/>
  <c r="J10" i="9"/>
  <c r="K10" i="9"/>
  <c r="L10" i="9"/>
  <c r="M10" i="9"/>
  <c r="N10" i="9"/>
  <c r="O10" i="9"/>
  <c r="R10" i="9"/>
  <c r="AA10" i="9"/>
  <c r="AC10" i="9"/>
  <c r="AD10" i="9"/>
  <c r="AE10" i="9"/>
  <c r="AG10" i="9"/>
  <c r="AH10" i="9"/>
  <c r="AI10" i="9"/>
  <c r="AK10" i="9"/>
  <c r="AL10" i="9"/>
  <c r="AM10" i="9"/>
  <c r="AO10" i="9"/>
  <c r="AQ10" i="9"/>
  <c r="AS10" i="9"/>
  <c r="AU10" i="9"/>
  <c r="C11" i="9"/>
  <c r="J11" i="9"/>
  <c r="K11" i="9"/>
  <c r="L11" i="9"/>
  <c r="M11" i="9"/>
  <c r="N11" i="9"/>
  <c r="O11" i="9"/>
  <c r="R11" i="9"/>
  <c r="AA11" i="9"/>
  <c r="AC11" i="9"/>
  <c r="AD11" i="9"/>
  <c r="AE11" i="9"/>
  <c r="AG11" i="9"/>
  <c r="AH11" i="9"/>
  <c r="AI11" i="9"/>
  <c r="AK11" i="9"/>
  <c r="AL11" i="9"/>
  <c r="AM11" i="9"/>
  <c r="AO11" i="9"/>
  <c r="AQ11" i="9"/>
  <c r="AS11" i="9"/>
  <c r="AU11" i="9"/>
  <c r="C12" i="9"/>
  <c r="J12" i="9"/>
  <c r="K12" i="9"/>
  <c r="L12" i="9"/>
  <c r="M12" i="9"/>
  <c r="N12" i="9"/>
  <c r="O12" i="9"/>
  <c r="R12" i="9"/>
  <c r="AA12" i="9"/>
  <c r="AC12" i="9"/>
  <c r="AD12" i="9"/>
  <c r="AE12" i="9"/>
  <c r="AG12" i="9"/>
  <c r="AH12" i="9"/>
  <c r="AI12" i="9"/>
  <c r="AK12" i="9"/>
  <c r="AL12" i="9"/>
  <c r="AM12" i="9"/>
  <c r="AO12" i="9"/>
  <c r="AQ12" i="9"/>
  <c r="AS12" i="9"/>
  <c r="AU12" i="9"/>
  <c r="C13" i="9"/>
  <c r="J13" i="9"/>
  <c r="K13" i="9"/>
  <c r="L13" i="9"/>
  <c r="M13" i="9"/>
  <c r="N13" i="9"/>
  <c r="O13" i="9"/>
  <c r="R13" i="9"/>
  <c r="AA13" i="9"/>
  <c r="AC13" i="9"/>
  <c r="AD13" i="9"/>
  <c r="AE13" i="9"/>
  <c r="AG13" i="9"/>
  <c r="AH13" i="9"/>
  <c r="AI13" i="9"/>
  <c r="AK13" i="9"/>
  <c r="AL13" i="9"/>
  <c r="AM13" i="9"/>
  <c r="AO13" i="9"/>
  <c r="AQ13" i="9"/>
  <c r="AS13" i="9"/>
  <c r="AU13" i="9"/>
  <c r="C14" i="9"/>
  <c r="J14" i="9"/>
  <c r="K14" i="9"/>
  <c r="L14" i="9"/>
  <c r="M14" i="9"/>
  <c r="N14" i="9"/>
  <c r="O14" i="9"/>
  <c r="R14" i="9"/>
  <c r="AA14" i="9"/>
  <c r="AC14" i="9"/>
  <c r="AD14" i="9"/>
  <c r="AE14" i="9"/>
  <c r="AG14" i="9"/>
  <c r="AH14" i="9"/>
  <c r="AI14" i="9"/>
  <c r="AK14" i="9"/>
  <c r="AL14" i="9"/>
  <c r="AM14" i="9"/>
  <c r="AO14" i="9"/>
  <c r="AQ14" i="9"/>
  <c r="AS14" i="9"/>
  <c r="AU14" i="9"/>
  <c r="C15" i="9"/>
  <c r="J15" i="9"/>
  <c r="K15" i="9"/>
  <c r="L15" i="9"/>
  <c r="M15" i="9"/>
  <c r="N15" i="9"/>
  <c r="O15" i="9"/>
  <c r="R15" i="9"/>
  <c r="AA15" i="9"/>
  <c r="AC15" i="9"/>
  <c r="AD15" i="9"/>
  <c r="AE15" i="9"/>
  <c r="AG15" i="9"/>
  <c r="AH15" i="9"/>
  <c r="AI15" i="9"/>
  <c r="AK15" i="9"/>
  <c r="AL15" i="9"/>
  <c r="AM15" i="9"/>
  <c r="AO15" i="9"/>
  <c r="AQ15" i="9"/>
  <c r="AS15" i="9"/>
  <c r="AU15" i="9"/>
  <c r="C16" i="9"/>
  <c r="J16" i="9"/>
  <c r="K16" i="9"/>
  <c r="L16" i="9"/>
  <c r="M16" i="9"/>
  <c r="N16" i="9"/>
  <c r="O16" i="9"/>
  <c r="R16" i="9"/>
  <c r="AA16" i="9"/>
  <c r="AC16" i="9"/>
  <c r="AD16" i="9"/>
  <c r="AE16" i="9"/>
  <c r="AG16" i="9"/>
  <c r="AH16" i="9"/>
  <c r="AI16" i="9"/>
  <c r="AK16" i="9"/>
  <c r="AL16" i="9"/>
  <c r="AM16" i="9"/>
  <c r="AO16" i="9"/>
  <c r="AQ16" i="9"/>
  <c r="AS16" i="9"/>
  <c r="AU16" i="9"/>
  <c r="C17" i="9"/>
  <c r="J17" i="9"/>
  <c r="K17" i="9"/>
  <c r="L17" i="9"/>
  <c r="M17" i="9"/>
  <c r="N17" i="9"/>
  <c r="O17" i="9"/>
  <c r="R17" i="9"/>
  <c r="AA17" i="9"/>
  <c r="AC17" i="9"/>
  <c r="AD17" i="9"/>
  <c r="AE17" i="9"/>
  <c r="AG17" i="9"/>
  <c r="AH17" i="9"/>
  <c r="AI17" i="9"/>
  <c r="AK17" i="9"/>
  <c r="AL17" i="9"/>
  <c r="AM17" i="9"/>
  <c r="AO17" i="9"/>
  <c r="AQ17" i="9"/>
  <c r="AS17" i="9"/>
  <c r="AU17" i="9"/>
  <c r="C18" i="9"/>
  <c r="J18" i="9"/>
  <c r="K18" i="9"/>
  <c r="L18" i="9"/>
  <c r="M18" i="9"/>
  <c r="N18" i="9"/>
  <c r="O18" i="9"/>
  <c r="R18" i="9"/>
  <c r="AC18" i="9"/>
  <c r="AD18" i="9"/>
  <c r="AE18" i="9"/>
  <c r="AG18" i="9"/>
  <c r="AH18" i="9"/>
  <c r="AI18" i="9"/>
  <c r="AK18" i="9"/>
  <c r="AL18" i="9"/>
  <c r="AM18" i="9"/>
  <c r="AO18" i="9"/>
  <c r="AQ18" i="9"/>
  <c r="AS18" i="9"/>
  <c r="AU18" i="9"/>
  <c r="C19" i="9"/>
  <c r="J19" i="9"/>
  <c r="K19" i="9"/>
  <c r="L19" i="9"/>
  <c r="M19" i="9"/>
  <c r="N19" i="9"/>
  <c r="O19" i="9"/>
  <c r="R19" i="9"/>
  <c r="AA19" i="9"/>
  <c r="AC19" i="9"/>
  <c r="AD19" i="9"/>
  <c r="AE19" i="9"/>
  <c r="AG19" i="9"/>
  <c r="AH19" i="9"/>
  <c r="AI19" i="9"/>
  <c r="AK19" i="9"/>
  <c r="AL19" i="9"/>
  <c r="AM19" i="9"/>
  <c r="AO19" i="9"/>
  <c r="AQ19" i="9"/>
  <c r="AS19" i="9"/>
  <c r="AU19" i="9"/>
  <c r="C20" i="9"/>
  <c r="J20" i="9"/>
  <c r="K20" i="9"/>
  <c r="L20" i="9"/>
  <c r="M20" i="9"/>
  <c r="N20" i="9"/>
  <c r="O20" i="9"/>
  <c r="R20" i="9"/>
  <c r="AA20" i="9"/>
  <c r="AC20" i="9"/>
  <c r="AD20" i="9"/>
  <c r="AE20" i="9"/>
  <c r="AG20" i="9"/>
  <c r="AH20" i="9"/>
  <c r="AI20" i="9"/>
  <c r="AK20" i="9"/>
  <c r="AL20" i="9"/>
  <c r="AM20" i="9"/>
  <c r="AO20" i="9"/>
  <c r="AQ20" i="9"/>
  <c r="AS20" i="9"/>
  <c r="AU20" i="9"/>
  <c r="C21" i="9"/>
  <c r="J21" i="9"/>
  <c r="K21" i="9"/>
  <c r="L21" i="9"/>
  <c r="M21" i="9"/>
  <c r="N21" i="9"/>
  <c r="O21" i="9"/>
  <c r="R21" i="9"/>
  <c r="AA21" i="9"/>
  <c r="AC21" i="9"/>
  <c r="AD21" i="9"/>
  <c r="AE21" i="9"/>
  <c r="AG21" i="9"/>
  <c r="AH21" i="9"/>
  <c r="AI21" i="9"/>
  <c r="AK21" i="9"/>
  <c r="AL21" i="9"/>
  <c r="AM21" i="9"/>
  <c r="AO21" i="9"/>
  <c r="AQ21" i="9"/>
  <c r="AS21" i="9"/>
  <c r="AU21" i="9"/>
  <c r="C22" i="9"/>
  <c r="J22" i="9"/>
  <c r="K22" i="9"/>
  <c r="L22" i="9"/>
  <c r="M22" i="9"/>
  <c r="N22" i="9"/>
  <c r="O22" i="9"/>
  <c r="R22" i="9"/>
  <c r="AA22" i="9"/>
  <c r="AC22" i="9"/>
  <c r="AD22" i="9"/>
  <c r="AE22" i="9"/>
  <c r="AG22" i="9"/>
  <c r="AH22" i="9"/>
  <c r="AI22" i="9"/>
  <c r="AK22" i="9"/>
  <c r="AL22" i="9"/>
  <c r="AM22" i="9"/>
  <c r="AO22" i="9"/>
  <c r="AQ22" i="9"/>
  <c r="AS22" i="9"/>
  <c r="AU22" i="9"/>
  <c r="C25" i="9"/>
  <c r="J25" i="9"/>
  <c r="K25" i="9"/>
  <c r="L25" i="9"/>
  <c r="M25" i="9"/>
  <c r="N25" i="9"/>
  <c r="O25" i="9"/>
  <c r="R25" i="9"/>
  <c r="AA25" i="9"/>
  <c r="AC25" i="9"/>
  <c r="AD25" i="9"/>
  <c r="AE25" i="9"/>
  <c r="AG25" i="9"/>
  <c r="AH25" i="9"/>
  <c r="AI25" i="9"/>
  <c r="AK25" i="9"/>
  <c r="AL25" i="9"/>
  <c r="AM25" i="9"/>
  <c r="AO25" i="9"/>
  <c r="AQ25" i="9"/>
  <c r="AS25" i="9"/>
  <c r="AU25" i="9"/>
  <c r="C26" i="9"/>
  <c r="J26" i="9"/>
  <c r="K26" i="9"/>
  <c r="L26" i="9"/>
  <c r="M26" i="9"/>
  <c r="N26" i="9"/>
  <c r="O26" i="9"/>
  <c r="R26" i="9"/>
  <c r="AA26" i="9"/>
  <c r="AC26" i="9"/>
  <c r="AD26" i="9"/>
  <c r="AE26" i="9"/>
  <c r="AG26" i="9"/>
  <c r="AH26" i="9"/>
  <c r="AI26" i="9"/>
  <c r="AK26" i="9"/>
  <c r="AL26" i="9"/>
  <c r="AM26" i="9"/>
  <c r="AO26" i="9"/>
  <c r="AQ26" i="9"/>
  <c r="AS26" i="9"/>
  <c r="AU26" i="9"/>
  <c r="C27" i="9"/>
  <c r="J27" i="9"/>
  <c r="K27" i="9"/>
  <c r="L27" i="9"/>
  <c r="M27" i="9"/>
  <c r="N27" i="9"/>
  <c r="O27" i="9"/>
  <c r="R27" i="9"/>
  <c r="AA27" i="9"/>
  <c r="AC27" i="9"/>
  <c r="AD27" i="9"/>
  <c r="AE27" i="9"/>
  <c r="AG27" i="9"/>
  <c r="AH27" i="9"/>
  <c r="AI27" i="9"/>
  <c r="AK27" i="9"/>
  <c r="AL27" i="9"/>
  <c r="AM27" i="9"/>
  <c r="AO27" i="9"/>
  <c r="AQ27" i="9"/>
  <c r="AS27" i="9"/>
  <c r="AU27" i="9"/>
  <c r="C28" i="9"/>
  <c r="J28" i="9"/>
  <c r="K28" i="9"/>
  <c r="L28" i="9"/>
  <c r="M28" i="9"/>
  <c r="N28" i="9"/>
  <c r="O28" i="9"/>
  <c r="R28" i="9"/>
  <c r="AA28" i="9"/>
  <c r="AC28" i="9"/>
  <c r="AD28" i="9"/>
  <c r="AE28" i="9"/>
  <c r="AG28" i="9"/>
  <c r="AH28" i="9"/>
  <c r="AI28" i="9"/>
  <c r="AK28" i="9"/>
  <c r="AL28" i="9"/>
  <c r="AM28" i="9"/>
  <c r="AO28" i="9"/>
  <c r="AQ28" i="9"/>
  <c r="AS28" i="9"/>
  <c r="AU28" i="9"/>
  <c r="C29" i="9"/>
  <c r="J29" i="9"/>
  <c r="K29" i="9"/>
  <c r="L29" i="9"/>
  <c r="M29" i="9"/>
  <c r="N29" i="9"/>
  <c r="O29" i="9"/>
  <c r="R29" i="9"/>
  <c r="AA29" i="9"/>
  <c r="AC29" i="9"/>
  <c r="AD29" i="9"/>
  <c r="AE29" i="9"/>
  <c r="AG29" i="9"/>
  <c r="AH29" i="9"/>
  <c r="AI29" i="9"/>
  <c r="AK29" i="9"/>
  <c r="AL29" i="9"/>
  <c r="AM29" i="9"/>
  <c r="AO29" i="9"/>
  <c r="AQ29" i="9"/>
  <c r="AS29" i="9"/>
  <c r="AU29" i="9"/>
  <c r="C30" i="9"/>
  <c r="J30" i="9"/>
  <c r="K30" i="9"/>
  <c r="L30" i="9"/>
  <c r="M30" i="9"/>
  <c r="N30" i="9"/>
  <c r="O30" i="9"/>
  <c r="R30" i="9"/>
  <c r="AA30" i="9"/>
  <c r="AC30" i="9"/>
  <c r="AD30" i="9"/>
  <c r="AE30" i="9"/>
  <c r="AG30" i="9"/>
  <c r="AH30" i="9"/>
  <c r="AI30" i="9"/>
  <c r="AK30" i="9"/>
  <c r="AL30" i="9"/>
  <c r="AM30" i="9"/>
  <c r="AO30" i="9"/>
  <c r="AQ30" i="9"/>
  <c r="AS30" i="9"/>
  <c r="AU30" i="9"/>
  <c r="C31" i="9"/>
  <c r="J31" i="9"/>
  <c r="K31" i="9"/>
  <c r="L31" i="9"/>
  <c r="M31" i="9"/>
  <c r="N31" i="9"/>
  <c r="O31" i="9"/>
  <c r="R31" i="9"/>
  <c r="AA31" i="9"/>
  <c r="AC31" i="9"/>
  <c r="AD31" i="9"/>
  <c r="AE31" i="9"/>
  <c r="AG31" i="9"/>
  <c r="AH31" i="9"/>
  <c r="AI31" i="9"/>
  <c r="AK31" i="9"/>
  <c r="AL31" i="9"/>
  <c r="AM31" i="9"/>
  <c r="AO31" i="9"/>
  <c r="AQ31" i="9"/>
  <c r="AS31" i="9"/>
  <c r="AU31" i="9"/>
  <c r="C32" i="9"/>
  <c r="J32" i="9"/>
  <c r="K32" i="9"/>
  <c r="L32" i="9"/>
  <c r="M32" i="9"/>
  <c r="N32" i="9"/>
  <c r="O32" i="9"/>
  <c r="R32" i="9"/>
  <c r="AA32" i="9"/>
  <c r="AC32" i="9"/>
  <c r="AD32" i="9"/>
  <c r="AE32" i="9"/>
  <c r="AG32" i="9"/>
  <c r="AH32" i="9"/>
  <c r="AI32" i="9"/>
  <c r="AK32" i="9"/>
  <c r="AL32" i="9"/>
  <c r="AM32" i="9"/>
  <c r="AO32" i="9"/>
  <c r="AQ32" i="9"/>
  <c r="AS32" i="9"/>
  <c r="AU32" i="9"/>
  <c r="C33" i="9"/>
  <c r="J33" i="9"/>
  <c r="K33" i="9"/>
  <c r="L33" i="9"/>
  <c r="M33" i="9"/>
  <c r="N33" i="9"/>
  <c r="O33" i="9"/>
  <c r="R33" i="9"/>
  <c r="AA33" i="9"/>
  <c r="AC33" i="9"/>
  <c r="AD33" i="9"/>
  <c r="AE33" i="9"/>
  <c r="AG33" i="9"/>
  <c r="AH33" i="9"/>
  <c r="AI33" i="9"/>
  <c r="AK33" i="9"/>
  <c r="AL33" i="9"/>
  <c r="AM33" i="9"/>
  <c r="AO33" i="9"/>
  <c r="AQ33" i="9"/>
  <c r="AS33" i="9"/>
  <c r="AU33" i="9"/>
  <c r="C34" i="9"/>
  <c r="J34" i="9"/>
  <c r="K34" i="9"/>
  <c r="L34" i="9"/>
  <c r="M34" i="9"/>
  <c r="N34" i="9"/>
  <c r="O34" i="9"/>
  <c r="R34" i="9"/>
  <c r="AA34" i="9"/>
  <c r="AC34" i="9"/>
  <c r="AD34" i="9"/>
  <c r="AE34" i="9"/>
  <c r="AG34" i="9"/>
  <c r="AH34" i="9"/>
  <c r="AI34" i="9"/>
  <c r="AK34" i="9"/>
  <c r="AL34" i="9"/>
  <c r="AM34" i="9"/>
  <c r="AO34" i="9"/>
  <c r="AQ34" i="9"/>
  <c r="AS34" i="9"/>
  <c r="AU34" i="9"/>
  <c r="C35" i="9"/>
  <c r="J35" i="9"/>
  <c r="K35" i="9"/>
  <c r="L35" i="9"/>
  <c r="M35" i="9"/>
  <c r="N35" i="9"/>
  <c r="O35" i="9"/>
  <c r="R35" i="9"/>
  <c r="AA35" i="9"/>
  <c r="AC35" i="9"/>
  <c r="AD35" i="9"/>
  <c r="AE35" i="9"/>
  <c r="AG35" i="9"/>
  <c r="AH35" i="9"/>
  <c r="AI35" i="9"/>
  <c r="AK35" i="9"/>
  <c r="AL35" i="9"/>
  <c r="AM35" i="9"/>
  <c r="AO35" i="9"/>
  <c r="AQ35" i="9"/>
  <c r="AS35" i="9"/>
  <c r="AU35" i="9"/>
  <c r="C36" i="9"/>
  <c r="J36" i="9"/>
  <c r="K36" i="9"/>
  <c r="L36" i="9"/>
  <c r="M36" i="9"/>
  <c r="N36" i="9"/>
  <c r="O36" i="9"/>
  <c r="R36" i="9"/>
  <c r="AA36" i="9"/>
  <c r="AC36" i="9"/>
  <c r="AD36" i="9"/>
  <c r="AE36" i="9"/>
  <c r="AG36" i="9"/>
  <c r="AH36" i="9"/>
  <c r="AI36" i="9"/>
  <c r="AK36" i="9"/>
  <c r="AL36" i="9"/>
  <c r="AM36" i="9"/>
  <c r="AO36" i="9"/>
  <c r="AQ36" i="9"/>
  <c r="AS36" i="9"/>
  <c r="AU36" i="9"/>
  <c r="C37" i="9"/>
  <c r="J37" i="9"/>
  <c r="K37" i="9"/>
  <c r="L37" i="9"/>
  <c r="M37" i="9"/>
  <c r="N37" i="9"/>
  <c r="O37" i="9"/>
  <c r="R37" i="9"/>
  <c r="AA37" i="9"/>
  <c r="AC37" i="9"/>
  <c r="AD37" i="9"/>
  <c r="AE37" i="9"/>
  <c r="AG37" i="9"/>
  <c r="AH37" i="9"/>
  <c r="AI37" i="9"/>
  <c r="AK37" i="9"/>
  <c r="AL37" i="9"/>
  <c r="AM37" i="9"/>
  <c r="AO37" i="9"/>
  <c r="AQ37" i="9"/>
  <c r="AS37" i="9"/>
  <c r="AU37" i="9"/>
  <c r="C40" i="9"/>
  <c r="J40" i="9"/>
  <c r="K40" i="9"/>
  <c r="L40" i="9"/>
  <c r="M40" i="9"/>
  <c r="N40" i="9"/>
  <c r="O40" i="9"/>
  <c r="R40" i="9"/>
  <c r="AA40" i="9"/>
  <c r="AC40" i="9"/>
  <c r="AD40" i="9"/>
  <c r="AE40" i="9"/>
  <c r="AG40" i="9"/>
  <c r="AH40" i="9"/>
  <c r="AI40" i="9"/>
  <c r="AK40" i="9"/>
  <c r="AL40" i="9"/>
  <c r="AM40" i="9"/>
  <c r="AO40" i="9"/>
  <c r="AQ40" i="9"/>
  <c r="AS40" i="9"/>
  <c r="AU40" i="9"/>
  <c r="C41" i="9"/>
  <c r="J41" i="9"/>
  <c r="K41" i="9"/>
  <c r="L41" i="9"/>
  <c r="M41" i="9"/>
  <c r="N41" i="9"/>
  <c r="O41" i="9"/>
  <c r="R41" i="9"/>
  <c r="AA41" i="9"/>
  <c r="AC41" i="9"/>
  <c r="AD41" i="9"/>
  <c r="AE41" i="9"/>
  <c r="AG41" i="9"/>
  <c r="AH41" i="9"/>
  <c r="AI41" i="9"/>
  <c r="AK41" i="9"/>
  <c r="AL41" i="9"/>
  <c r="AM41" i="9"/>
  <c r="AO41" i="9"/>
  <c r="AQ41" i="9"/>
  <c r="AS41" i="9"/>
  <c r="AU41" i="9"/>
  <c r="C42" i="9"/>
  <c r="J42" i="9"/>
  <c r="K42" i="9"/>
  <c r="L42" i="9"/>
  <c r="M42" i="9"/>
  <c r="N42" i="9"/>
  <c r="O42" i="9"/>
  <c r="R42" i="9"/>
  <c r="AA42" i="9"/>
  <c r="AC42" i="9"/>
  <c r="AD42" i="9"/>
  <c r="AE42" i="9"/>
  <c r="AG42" i="9"/>
  <c r="AH42" i="9"/>
  <c r="AI42" i="9"/>
  <c r="AK42" i="9"/>
  <c r="AL42" i="9"/>
  <c r="AM42" i="9"/>
  <c r="AO42" i="9"/>
  <c r="AQ42" i="9"/>
  <c r="AS42" i="9"/>
  <c r="AU42" i="9"/>
  <c r="C43" i="9"/>
  <c r="J43" i="9"/>
  <c r="K43" i="9"/>
  <c r="L43" i="9"/>
  <c r="M43" i="9"/>
  <c r="N43" i="9"/>
  <c r="O43" i="9"/>
  <c r="R43" i="9"/>
  <c r="AA43" i="9"/>
  <c r="AC43" i="9"/>
  <c r="AD43" i="9"/>
  <c r="AE43" i="9"/>
  <c r="AG43" i="9"/>
  <c r="AH43" i="9"/>
  <c r="AI43" i="9"/>
  <c r="AK43" i="9"/>
  <c r="AL43" i="9"/>
  <c r="AM43" i="9"/>
  <c r="AO43" i="9"/>
  <c r="AQ43" i="9"/>
  <c r="AS43" i="9"/>
  <c r="AU43" i="9"/>
  <c r="C44" i="9"/>
  <c r="J44" i="9"/>
  <c r="K44" i="9"/>
  <c r="L44" i="9"/>
  <c r="M44" i="9"/>
  <c r="N44" i="9"/>
  <c r="O44" i="9"/>
  <c r="R44" i="9"/>
  <c r="AA44" i="9"/>
  <c r="AC44" i="9"/>
  <c r="AD44" i="9"/>
  <c r="AE44" i="9"/>
  <c r="AG44" i="9"/>
  <c r="AH44" i="9"/>
  <c r="AI44" i="9"/>
  <c r="AK44" i="9"/>
  <c r="AL44" i="9"/>
  <c r="AM44" i="9"/>
  <c r="AO44" i="9"/>
  <c r="AQ44" i="9"/>
  <c r="AS44" i="9"/>
  <c r="AU44" i="9"/>
  <c r="C45" i="9"/>
  <c r="J45" i="9"/>
  <c r="K45" i="9"/>
  <c r="L45" i="9"/>
  <c r="M45" i="9"/>
  <c r="N45" i="9"/>
  <c r="O45" i="9"/>
  <c r="R45" i="9"/>
  <c r="AA45" i="9"/>
  <c r="AC45" i="9"/>
  <c r="AD45" i="9"/>
  <c r="AE45" i="9"/>
  <c r="AG45" i="9"/>
  <c r="AH45" i="9"/>
  <c r="AI45" i="9"/>
  <c r="AK45" i="9"/>
  <c r="AL45" i="9"/>
  <c r="AM45" i="9"/>
  <c r="AO45" i="9"/>
  <c r="AQ45" i="9"/>
  <c r="AS45" i="9"/>
  <c r="AU45" i="9"/>
  <c r="C46" i="9"/>
  <c r="J46" i="9"/>
  <c r="K46" i="9"/>
  <c r="L46" i="9"/>
  <c r="M46" i="9"/>
  <c r="N46" i="9"/>
  <c r="O46" i="9"/>
  <c r="R46" i="9"/>
  <c r="AA46" i="9"/>
  <c r="AC46" i="9"/>
  <c r="AD46" i="9"/>
  <c r="AE46" i="9"/>
  <c r="AG46" i="9"/>
  <c r="AH46" i="9"/>
  <c r="AI46" i="9"/>
  <c r="AK46" i="9"/>
  <c r="AL46" i="9"/>
  <c r="AM46" i="9"/>
  <c r="AO46" i="9"/>
  <c r="AQ46" i="9"/>
  <c r="AS46" i="9"/>
  <c r="AU46" i="9"/>
  <c r="C47" i="9"/>
  <c r="J47" i="9"/>
  <c r="K47" i="9"/>
  <c r="L47" i="9"/>
  <c r="M47" i="9"/>
  <c r="N47" i="9"/>
  <c r="O47" i="9"/>
  <c r="R47" i="9"/>
  <c r="AA47" i="9"/>
  <c r="AC47" i="9"/>
  <c r="AD47" i="9"/>
  <c r="AE47" i="9"/>
  <c r="AG47" i="9"/>
  <c r="AH47" i="9"/>
  <c r="AI47" i="9"/>
  <c r="AK47" i="9"/>
  <c r="AL47" i="9"/>
  <c r="AM47" i="9"/>
  <c r="AO47" i="9"/>
  <c r="AQ47" i="9"/>
  <c r="AS47" i="9"/>
  <c r="AU47" i="9"/>
  <c r="C48" i="9"/>
  <c r="J48" i="9"/>
  <c r="K48" i="9"/>
  <c r="L48" i="9"/>
  <c r="M48" i="9"/>
  <c r="N48" i="9"/>
  <c r="O48" i="9"/>
  <c r="R48" i="9"/>
  <c r="AA48" i="9"/>
  <c r="AC48" i="9"/>
  <c r="AD48" i="9"/>
  <c r="AE48" i="9"/>
  <c r="AG48" i="9"/>
  <c r="AH48" i="9"/>
  <c r="AI48" i="9"/>
  <c r="AK48" i="9"/>
  <c r="AL48" i="9"/>
  <c r="AM48" i="9"/>
  <c r="AO48" i="9"/>
  <c r="AQ48" i="9"/>
  <c r="AS48" i="9"/>
  <c r="AU48" i="9"/>
  <c r="C49" i="9"/>
  <c r="J49" i="9"/>
  <c r="K49" i="9"/>
  <c r="L49" i="9"/>
  <c r="M49" i="9"/>
  <c r="N49" i="9"/>
  <c r="O49" i="9"/>
  <c r="R49" i="9"/>
  <c r="AA49" i="9"/>
  <c r="AC49" i="9"/>
  <c r="AD49" i="9"/>
  <c r="AE49" i="9"/>
  <c r="AG49" i="9"/>
  <c r="AH49" i="9"/>
  <c r="AI49" i="9"/>
  <c r="AK49" i="9"/>
  <c r="AL49" i="9"/>
  <c r="AM49" i="9"/>
  <c r="AO49" i="9"/>
  <c r="AQ49" i="9"/>
  <c r="AS49" i="9"/>
  <c r="AU49" i="9"/>
  <c r="C50" i="9"/>
  <c r="J50" i="9"/>
  <c r="K50" i="9"/>
  <c r="L50" i="9"/>
  <c r="M50" i="9"/>
  <c r="N50" i="9"/>
  <c r="O50" i="9"/>
  <c r="R50" i="9"/>
  <c r="AA50" i="9"/>
  <c r="AC50" i="9"/>
  <c r="AD50" i="9"/>
  <c r="AE50" i="9"/>
  <c r="AG50" i="9"/>
  <c r="AH50" i="9"/>
  <c r="AI50" i="9"/>
  <c r="AK50" i="9"/>
  <c r="AL50" i="9"/>
  <c r="AM50" i="9"/>
  <c r="AO50" i="9"/>
  <c r="AQ50" i="9"/>
  <c r="AS50" i="9"/>
  <c r="AU50" i="9"/>
  <c r="C51" i="9"/>
  <c r="J51" i="9"/>
  <c r="K51" i="9"/>
  <c r="L51" i="9"/>
  <c r="M51" i="9"/>
  <c r="N51" i="9"/>
  <c r="O51" i="9"/>
  <c r="R51" i="9"/>
  <c r="AA51" i="9"/>
  <c r="AC51" i="9"/>
  <c r="AD51" i="9"/>
  <c r="AE51" i="9"/>
  <c r="AG51" i="9"/>
  <c r="AH51" i="9"/>
  <c r="AI51" i="9"/>
  <c r="AK51" i="9"/>
  <c r="AL51" i="9"/>
  <c r="AM51" i="9"/>
  <c r="AO51" i="9"/>
  <c r="AQ51" i="9"/>
  <c r="AS51" i="9"/>
  <c r="AU51" i="9"/>
  <c r="C54" i="9"/>
  <c r="J54" i="9"/>
  <c r="K54" i="9"/>
  <c r="L54" i="9"/>
  <c r="M54" i="9"/>
  <c r="N54" i="9"/>
  <c r="O54" i="9"/>
  <c r="R54" i="9"/>
  <c r="AA54" i="9"/>
  <c r="AC54" i="9"/>
  <c r="AD54" i="9"/>
  <c r="AE54" i="9"/>
  <c r="AG54" i="9"/>
  <c r="AH54" i="9"/>
  <c r="AI54" i="9"/>
  <c r="AK54" i="9"/>
  <c r="AL54" i="9"/>
  <c r="AM54" i="9"/>
  <c r="AO54" i="9"/>
  <c r="AQ54" i="9"/>
  <c r="AS54" i="9"/>
  <c r="AU54" i="9"/>
  <c r="C55" i="9"/>
  <c r="J55" i="9"/>
  <c r="K55" i="9"/>
  <c r="L55" i="9"/>
  <c r="M55" i="9"/>
  <c r="N55" i="9"/>
  <c r="O55" i="9"/>
  <c r="R55" i="9"/>
  <c r="AA55" i="9"/>
  <c r="AC55" i="9"/>
  <c r="AD55" i="9"/>
  <c r="AE55" i="9"/>
  <c r="AG55" i="9"/>
  <c r="AH55" i="9"/>
  <c r="AI55" i="9"/>
  <c r="AK55" i="9"/>
  <c r="AL55" i="9"/>
  <c r="AM55" i="9"/>
  <c r="AO55" i="9"/>
  <c r="AQ55" i="9"/>
  <c r="AS55" i="9"/>
  <c r="AU55" i="9"/>
  <c r="C56" i="9"/>
  <c r="J56" i="9"/>
  <c r="K56" i="9"/>
  <c r="L56" i="9"/>
  <c r="M56" i="9"/>
  <c r="N56" i="9"/>
  <c r="O56" i="9"/>
  <c r="R56" i="9"/>
  <c r="AA56" i="9"/>
  <c r="AC56" i="9"/>
  <c r="AD56" i="9"/>
  <c r="AE56" i="9"/>
  <c r="AG56" i="9"/>
  <c r="AH56" i="9"/>
  <c r="AI56" i="9"/>
  <c r="AK56" i="9"/>
  <c r="AL56" i="9"/>
  <c r="AM56" i="9"/>
  <c r="AO56" i="9"/>
  <c r="AQ56" i="9"/>
  <c r="AS56" i="9"/>
  <c r="AU56" i="9"/>
  <c r="C57" i="9"/>
  <c r="J57" i="9"/>
  <c r="K57" i="9"/>
  <c r="L57" i="9"/>
  <c r="M57" i="9"/>
  <c r="N57" i="9"/>
  <c r="O57" i="9"/>
  <c r="R57" i="9"/>
  <c r="AA57" i="9"/>
  <c r="AC57" i="9"/>
  <c r="AD57" i="9"/>
  <c r="AE57" i="9"/>
  <c r="AG57" i="9"/>
  <c r="AH57" i="9"/>
  <c r="AI57" i="9"/>
  <c r="AK57" i="9"/>
  <c r="AL57" i="9"/>
  <c r="AM57" i="9"/>
  <c r="AO57" i="9"/>
  <c r="AQ57" i="9"/>
  <c r="AS57" i="9"/>
  <c r="AU57" i="9"/>
  <c r="C58" i="9"/>
  <c r="J58" i="9"/>
  <c r="K58" i="9"/>
  <c r="L58" i="9"/>
  <c r="M58" i="9"/>
  <c r="N58" i="9"/>
  <c r="O58" i="9"/>
  <c r="R58" i="9"/>
  <c r="AA58" i="9"/>
  <c r="AC58" i="9"/>
  <c r="AD58" i="9"/>
  <c r="AE58" i="9"/>
  <c r="AG58" i="9"/>
  <c r="AH58" i="9"/>
  <c r="AI58" i="9"/>
  <c r="AK58" i="9"/>
  <c r="AL58" i="9"/>
  <c r="AM58" i="9"/>
  <c r="AO58" i="9"/>
  <c r="AQ58" i="9"/>
  <c r="AS58" i="9"/>
  <c r="AU58" i="9"/>
  <c r="C59" i="9"/>
  <c r="J59" i="9"/>
  <c r="K59" i="9"/>
  <c r="L59" i="9"/>
  <c r="M59" i="9"/>
  <c r="N59" i="9"/>
  <c r="O59" i="9"/>
  <c r="R59" i="9"/>
  <c r="AA59" i="9"/>
  <c r="AC59" i="9"/>
  <c r="AD59" i="9"/>
  <c r="AE59" i="9"/>
  <c r="AG59" i="9"/>
  <c r="AH59" i="9"/>
  <c r="AI59" i="9"/>
  <c r="AK59" i="9"/>
  <c r="AL59" i="9"/>
  <c r="AM59" i="9"/>
  <c r="AO59" i="9"/>
  <c r="AQ59" i="9"/>
  <c r="AS59" i="9"/>
  <c r="AU59" i="9"/>
  <c r="C60" i="9"/>
  <c r="J60" i="9"/>
  <c r="K60" i="9"/>
  <c r="L60" i="9"/>
  <c r="M60" i="9"/>
  <c r="N60" i="9"/>
  <c r="O60" i="9"/>
  <c r="R60" i="9"/>
  <c r="AA60" i="9"/>
  <c r="AC60" i="9"/>
  <c r="AD60" i="9"/>
  <c r="AE60" i="9"/>
  <c r="AG60" i="9"/>
  <c r="AH60" i="9"/>
  <c r="AI60" i="9"/>
  <c r="AK60" i="9"/>
  <c r="AL60" i="9"/>
  <c r="AM60" i="9"/>
  <c r="AO60" i="9"/>
  <c r="AQ60" i="9"/>
  <c r="AS60" i="9"/>
  <c r="AU60" i="9"/>
  <c r="C61" i="9"/>
  <c r="J61" i="9"/>
  <c r="K61" i="9"/>
  <c r="L61" i="9"/>
  <c r="M61" i="9"/>
  <c r="N61" i="9"/>
  <c r="O61" i="9"/>
  <c r="R61" i="9"/>
  <c r="AA61" i="9"/>
  <c r="AC61" i="9"/>
  <c r="AD61" i="9"/>
  <c r="AE61" i="9"/>
  <c r="AG61" i="9"/>
  <c r="AH61" i="9"/>
  <c r="AI61" i="9"/>
  <c r="AK61" i="9"/>
  <c r="AL61" i="9"/>
  <c r="AM61" i="9"/>
  <c r="AO61" i="9"/>
  <c r="AQ61" i="9"/>
  <c r="AS61" i="9"/>
  <c r="AU61" i="9"/>
  <c r="C62" i="9"/>
  <c r="J62" i="9"/>
  <c r="K62" i="9"/>
  <c r="L62" i="9"/>
  <c r="M62" i="9"/>
  <c r="N62" i="9"/>
  <c r="O62" i="9"/>
  <c r="R62" i="9"/>
  <c r="AA62" i="9"/>
  <c r="AC62" i="9"/>
  <c r="AD62" i="9"/>
  <c r="AE62" i="9"/>
  <c r="AG62" i="9"/>
  <c r="AH62" i="9"/>
  <c r="AI62" i="9"/>
  <c r="AK62" i="9"/>
  <c r="AL62" i="9"/>
  <c r="AM62" i="9"/>
  <c r="AO62" i="9"/>
  <c r="AQ62" i="9"/>
  <c r="AS62" i="9"/>
  <c r="AU62" i="9"/>
  <c r="C63" i="9"/>
  <c r="J63" i="9"/>
  <c r="K63" i="9"/>
  <c r="L63" i="9"/>
  <c r="M63" i="9"/>
  <c r="N63" i="9"/>
  <c r="O63" i="9"/>
  <c r="R63" i="9"/>
  <c r="AA63" i="9"/>
  <c r="AC63" i="9"/>
  <c r="AD63" i="9"/>
  <c r="AE63" i="9"/>
  <c r="AG63" i="9"/>
  <c r="AH63" i="9"/>
  <c r="AI63" i="9"/>
  <c r="AK63" i="9"/>
  <c r="AL63" i="9"/>
  <c r="AM63" i="9"/>
  <c r="AO63" i="9"/>
  <c r="AQ63" i="9"/>
  <c r="AS63" i="9"/>
  <c r="AU63" i="9"/>
  <c r="B63" i="9"/>
  <c r="B62" i="9"/>
  <c r="B61" i="9"/>
  <c r="B60" i="9"/>
  <c r="B59" i="9"/>
  <c r="B58" i="9"/>
  <c r="B57" i="9"/>
  <c r="B56" i="9"/>
  <c r="B55" i="9"/>
  <c r="B54" i="9"/>
  <c r="B51" i="9"/>
  <c r="B50" i="9"/>
  <c r="B49" i="9"/>
  <c r="B48" i="9"/>
  <c r="B47" i="9"/>
  <c r="B46" i="9"/>
  <c r="B45" i="9"/>
  <c r="B44" i="9"/>
  <c r="B43" i="9"/>
  <c r="B42" i="9"/>
  <c r="B41" i="9"/>
  <c r="B40" i="9"/>
  <c r="B37" i="9"/>
  <c r="B36" i="9"/>
  <c r="B35" i="9"/>
  <c r="B34" i="9"/>
  <c r="B33" i="9"/>
  <c r="B32" i="9"/>
  <c r="B31" i="9"/>
  <c r="B30" i="9"/>
  <c r="B29" i="9"/>
  <c r="B28" i="9"/>
  <c r="B27" i="9"/>
  <c r="B26" i="9"/>
  <c r="B25" i="9"/>
  <c r="B22" i="9"/>
  <c r="B21" i="9"/>
  <c r="B20" i="9"/>
  <c r="B19" i="9"/>
  <c r="B18" i="9"/>
  <c r="B17" i="9"/>
  <c r="B16" i="9"/>
  <c r="B15" i="9"/>
  <c r="B14" i="9"/>
  <c r="B13" i="9"/>
  <c r="B12" i="9"/>
  <c r="B11" i="9"/>
  <c r="B10" i="9"/>
  <c r="B9" i="9"/>
  <c r="B8" i="9"/>
  <c r="B7" i="9"/>
  <c r="AU53" i="4"/>
  <c r="AS53" i="4"/>
  <c r="AQ53" i="4"/>
  <c r="AO53" i="4"/>
  <c r="AM53" i="4"/>
  <c r="AL53" i="4"/>
  <c r="AK53" i="4"/>
  <c r="AI53" i="4"/>
  <c r="AH53" i="4"/>
  <c r="AG53" i="4"/>
  <c r="AE53" i="4"/>
  <c r="AD53" i="4"/>
  <c r="AC53" i="4"/>
  <c r="AA53" i="4"/>
  <c r="R53" i="4"/>
  <c r="O53" i="4"/>
  <c r="N53" i="4"/>
  <c r="M53" i="4"/>
  <c r="L53" i="4"/>
  <c r="K53" i="4"/>
  <c r="J53" i="4"/>
  <c r="C53" i="4"/>
  <c r="B53" i="4"/>
  <c r="AU39" i="4"/>
  <c r="AS39" i="4"/>
  <c r="AQ39" i="4"/>
  <c r="AO39" i="4"/>
  <c r="AM39" i="4"/>
  <c r="AL39" i="4"/>
  <c r="AK39" i="4"/>
  <c r="AI39" i="4"/>
  <c r="AH39" i="4"/>
  <c r="AG39" i="4"/>
  <c r="AE39" i="4"/>
  <c r="AD39" i="4"/>
  <c r="AC39" i="4"/>
  <c r="AA39" i="4"/>
  <c r="R39" i="4"/>
  <c r="O39" i="4"/>
  <c r="N39" i="4"/>
  <c r="M39" i="4"/>
  <c r="L39" i="4"/>
  <c r="K39" i="4"/>
  <c r="J39" i="4"/>
  <c r="C39" i="4"/>
  <c r="B39" i="4"/>
  <c r="AU24" i="4"/>
  <c r="AS24" i="4"/>
  <c r="AQ24" i="4"/>
  <c r="AO24" i="4"/>
  <c r="AM24" i="4"/>
  <c r="AL24" i="4"/>
  <c r="AK24" i="4"/>
  <c r="AI24" i="4"/>
  <c r="AH24" i="4"/>
  <c r="AG24" i="4"/>
  <c r="AE24" i="4"/>
  <c r="AD24" i="4"/>
  <c r="AC24" i="4"/>
  <c r="AA24" i="4"/>
  <c r="R24" i="4"/>
  <c r="O24" i="4"/>
  <c r="N24" i="4"/>
  <c r="M24" i="4"/>
  <c r="L24" i="4"/>
  <c r="K24" i="4"/>
  <c r="J24" i="4"/>
  <c r="C24" i="4"/>
  <c r="B24" i="4"/>
  <c r="AU6" i="4"/>
  <c r="AS6" i="4"/>
  <c r="AQ6" i="4"/>
  <c r="AO6" i="4"/>
  <c r="AM6" i="4"/>
  <c r="AL6" i="4"/>
  <c r="AK6" i="4"/>
  <c r="AI6" i="4"/>
  <c r="AH6" i="4"/>
  <c r="AG6" i="4"/>
  <c r="AE6" i="4"/>
  <c r="AD6" i="4"/>
  <c r="AC6" i="4"/>
  <c r="R6" i="4"/>
  <c r="O6" i="4"/>
  <c r="N6" i="4"/>
  <c r="M6" i="4"/>
  <c r="L6" i="4"/>
  <c r="K6" i="4"/>
  <c r="J6" i="4"/>
  <c r="C6" i="4"/>
  <c r="B6" i="4"/>
  <c r="AT38" i="4"/>
  <c r="AT37" i="9" s="1"/>
  <c r="AT52" i="4"/>
  <c r="AT23" i="4"/>
  <c r="AT37" i="4"/>
  <c r="AT22" i="4"/>
  <c r="AT63" i="4"/>
  <c r="AT62" i="9" s="1"/>
  <c r="AT36" i="4"/>
  <c r="AT21" i="4"/>
  <c r="AT20" i="4"/>
  <c r="AT51" i="4"/>
  <c r="AT19" i="4"/>
  <c r="AT62" i="4"/>
  <c r="AT61" i="4"/>
  <c r="AT35" i="4"/>
  <c r="AT18" i="4"/>
  <c r="AT17" i="9" s="1"/>
  <c r="AT50" i="4"/>
  <c r="AT49" i="4"/>
  <c r="AT17" i="4"/>
  <c r="AT60" i="4"/>
  <c r="AT34" i="4"/>
  <c r="AT59" i="4"/>
  <c r="AT58" i="4"/>
  <c r="AT57" i="9" s="1"/>
  <c r="AT33" i="4"/>
  <c r="AT48" i="4"/>
  <c r="AT32" i="4"/>
  <c r="AT31" i="9" s="1"/>
  <c r="AT47" i="4"/>
  <c r="AT16" i="4"/>
  <c r="AT46" i="4"/>
  <c r="AT45" i="4"/>
  <c r="AT57" i="4"/>
  <c r="AT56" i="9" s="1"/>
  <c r="AT15" i="4"/>
  <c r="AT56" i="4"/>
  <c r="AT14" i="4"/>
  <c r="AT13" i="4"/>
  <c r="AT44" i="4"/>
  <c r="AT43" i="4"/>
  <c r="AT42" i="4"/>
  <c r="AT41" i="4"/>
  <c r="AT40" i="9" s="1"/>
  <c r="AT31" i="4"/>
  <c r="AT30" i="4"/>
  <c r="AT12" i="4"/>
  <c r="AT11" i="9" s="1"/>
  <c r="AT11" i="4"/>
  <c r="AT64" i="4"/>
  <c r="AT10" i="4"/>
  <c r="AT9" i="9" s="1"/>
  <c r="AT55" i="4"/>
  <c r="AT29" i="4"/>
  <c r="AT28" i="4"/>
  <c r="AT9" i="4"/>
  <c r="AT27" i="4"/>
  <c r="AT26" i="9" s="1"/>
  <c r="AT26" i="4"/>
  <c r="AT8" i="4"/>
  <c r="V51" i="30"/>
  <c r="U51" i="30"/>
  <c r="T51" i="30"/>
  <c r="S51" i="30"/>
  <c r="R51" i="30"/>
  <c r="Q51" i="30"/>
  <c r="P51" i="30"/>
  <c r="O51" i="30"/>
  <c r="N51" i="30"/>
  <c r="M51" i="30"/>
  <c r="L51" i="30"/>
  <c r="K51" i="30"/>
  <c r="J51" i="30"/>
  <c r="I51" i="30"/>
  <c r="H51" i="30"/>
  <c r="G51" i="30"/>
  <c r="F51" i="30"/>
  <c r="E51" i="30"/>
  <c r="D51" i="30"/>
  <c r="C51" i="30"/>
  <c r="B51" i="30"/>
  <c r="V37" i="30"/>
  <c r="U37" i="30"/>
  <c r="T37" i="30"/>
  <c r="S37" i="30"/>
  <c r="R37" i="30"/>
  <c r="Q37" i="30"/>
  <c r="P37" i="30"/>
  <c r="O37" i="30"/>
  <c r="N37" i="30"/>
  <c r="M37" i="30"/>
  <c r="L37" i="30"/>
  <c r="K37" i="30"/>
  <c r="J37" i="30"/>
  <c r="I37" i="30"/>
  <c r="H37" i="30"/>
  <c r="G37" i="30"/>
  <c r="F37" i="30"/>
  <c r="E37" i="30"/>
  <c r="D37" i="30"/>
  <c r="C37" i="30"/>
  <c r="B37" i="30"/>
  <c r="V22" i="30"/>
  <c r="U22" i="30"/>
  <c r="T22" i="30"/>
  <c r="S22" i="30"/>
  <c r="R22" i="30"/>
  <c r="Q22" i="30"/>
  <c r="P22" i="30"/>
  <c r="O22" i="30"/>
  <c r="N22" i="30"/>
  <c r="M22" i="30"/>
  <c r="L22" i="30"/>
  <c r="K22" i="30"/>
  <c r="J22" i="30"/>
  <c r="I22" i="30"/>
  <c r="H22" i="30"/>
  <c r="G22" i="30"/>
  <c r="F22" i="30"/>
  <c r="E22" i="30"/>
  <c r="D22" i="30"/>
  <c r="C22" i="30"/>
  <c r="B22" i="30"/>
  <c r="V4" i="30"/>
  <c r="U4" i="30"/>
  <c r="T4" i="30"/>
  <c r="S4" i="30"/>
  <c r="R4" i="30"/>
  <c r="Q4" i="30"/>
  <c r="P4" i="30"/>
  <c r="O4" i="30"/>
  <c r="N4" i="30"/>
  <c r="M4" i="30"/>
  <c r="L4" i="30"/>
  <c r="K4" i="30"/>
  <c r="J4" i="30"/>
  <c r="I4" i="30"/>
  <c r="H4" i="30"/>
  <c r="G4" i="30"/>
  <c r="F4" i="30"/>
  <c r="E4" i="30"/>
  <c r="D4" i="30"/>
  <c r="C4" i="30"/>
  <c r="B4" i="30"/>
  <c r="B3" i="30" l="1"/>
  <c r="E3" i="30"/>
  <c r="M3" i="30"/>
  <c r="U3" i="30"/>
  <c r="P3" i="30"/>
  <c r="S3" i="30"/>
  <c r="R3" i="30"/>
  <c r="H3" i="30"/>
  <c r="J3" i="30"/>
  <c r="C3" i="30"/>
  <c r="K3" i="30"/>
  <c r="N3" i="30"/>
  <c r="G3" i="30"/>
  <c r="O3" i="30"/>
  <c r="F3" i="30"/>
  <c r="I3" i="30"/>
  <c r="V3" i="30"/>
  <c r="Q3" i="30"/>
  <c r="D3" i="30"/>
  <c r="L3" i="30"/>
  <c r="T3" i="30"/>
  <c r="M5" i="4"/>
  <c r="AH5" i="4"/>
  <c r="L5" i="4"/>
  <c r="AG5" i="4"/>
  <c r="N5" i="4"/>
  <c r="AT58" i="9"/>
  <c r="AT54" i="9"/>
  <c r="AT47" i="9"/>
  <c r="AT45" i="9"/>
  <c r="AT48" i="9"/>
  <c r="AT44" i="9"/>
  <c r="AT28" i="9"/>
  <c r="AT27" i="9"/>
  <c r="AT32" i="9"/>
  <c r="AT35" i="9"/>
  <c r="AT30" i="9"/>
  <c r="AT34" i="9"/>
  <c r="AT36" i="9"/>
  <c r="AT29" i="9"/>
  <c r="AT20" i="9"/>
  <c r="AT19" i="9"/>
  <c r="AT6" i="4"/>
  <c r="AT7" i="9"/>
  <c r="AT59" i="9"/>
  <c r="AT24" i="4"/>
  <c r="AT25" i="9"/>
  <c r="AT10" i="9"/>
  <c r="AT12" i="9"/>
  <c r="AT16" i="9"/>
  <c r="AT50" i="9"/>
  <c r="AT51" i="9"/>
  <c r="AI5" i="4"/>
  <c r="AT46" i="9"/>
  <c r="AT43" i="9"/>
  <c r="AT63" i="9"/>
  <c r="AT15" i="9"/>
  <c r="AT22" i="9"/>
  <c r="AU5" i="4"/>
  <c r="AT18" i="9"/>
  <c r="B5" i="4"/>
  <c r="R5" i="4"/>
  <c r="AL5" i="4"/>
  <c r="O5" i="4"/>
  <c r="AK5" i="4"/>
  <c r="AT55" i="9"/>
  <c r="AT8" i="9"/>
  <c r="AS5" i="4"/>
  <c r="AT53" i="4"/>
  <c r="K5" i="4"/>
  <c r="AE5" i="4"/>
  <c r="AQ5" i="4"/>
  <c r="AT49" i="9"/>
  <c r="AT41" i="9"/>
  <c r="AT21" i="9"/>
  <c r="AT39" i="4"/>
  <c r="J5" i="4"/>
  <c r="AD5" i="4"/>
  <c r="AO5" i="4"/>
  <c r="AT60" i="9"/>
  <c r="AT42" i="9"/>
  <c r="AT13" i="9"/>
  <c r="C5" i="4"/>
  <c r="AC5" i="4"/>
  <c r="AM5" i="4"/>
  <c r="AT61" i="9"/>
  <c r="AT33" i="9"/>
  <c r="AT14" i="9"/>
  <c r="B5" i="9"/>
  <c r="C53" i="19"/>
  <c r="D53" i="19"/>
  <c r="E53" i="19"/>
  <c r="F53" i="19"/>
  <c r="G53" i="19"/>
  <c r="H53" i="19"/>
  <c r="I53" i="19"/>
  <c r="J53" i="19"/>
  <c r="K53" i="19"/>
  <c r="L53" i="19"/>
  <c r="M53" i="19"/>
  <c r="N53" i="19"/>
  <c r="O53" i="19"/>
  <c r="P53" i="19"/>
  <c r="Q53" i="19"/>
  <c r="R53" i="19"/>
  <c r="S53" i="19"/>
  <c r="T53" i="19"/>
  <c r="U53" i="19"/>
  <c r="V53" i="19"/>
  <c r="W53" i="19"/>
  <c r="X53" i="19"/>
  <c r="Y53" i="19"/>
  <c r="Z53" i="19"/>
  <c r="AA53" i="19"/>
  <c r="AB53" i="19"/>
  <c r="AC53" i="19"/>
  <c r="AD53" i="19"/>
  <c r="AE53" i="19"/>
  <c r="AF53" i="19"/>
  <c r="AG53" i="19"/>
  <c r="AH53" i="19"/>
  <c r="B53" i="19"/>
  <c r="C39" i="19"/>
  <c r="D39" i="19"/>
  <c r="E39" i="19"/>
  <c r="F39" i="19"/>
  <c r="G39" i="19"/>
  <c r="H39" i="19"/>
  <c r="I39" i="19"/>
  <c r="J39" i="19"/>
  <c r="K39" i="19"/>
  <c r="L39" i="19"/>
  <c r="M39" i="19"/>
  <c r="N39" i="19"/>
  <c r="O39" i="19"/>
  <c r="P39" i="19"/>
  <c r="Q39" i="19"/>
  <c r="R39" i="19"/>
  <c r="S39" i="19"/>
  <c r="T39" i="19"/>
  <c r="U39" i="19"/>
  <c r="V39" i="19"/>
  <c r="W39" i="19"/>
  <c r="X39" i="19"/>
  <c r="Y39" i="19"/>
  <c r="Z39" i="19"/>
  <c r="AA39" i="19"/>
  <c r="AB39" i="19"/>
  <c r="AC39" i="19"/>
  <c r="AD39" i="19"/>
  <c r="AE39" i="19"/>
  <c r="AF39" i="19"/>
  <c r="AG39" i="19"/>
  <c r="AH39" i="19"/>
  <c r="B39" i="19"/>
  <c r="C24" i="19"/>
  <c r="D24" i="19"/>
  <c r="E24" i="19"/>
  <c r="F24" i="19"/>
  <c r="G24" i="19"/>
  <c r="H24" i="19"/>
  <c r="I24" i="19"/>
  <c r="J24" i="19"/>
  <c r="K24" i="19"/>
  <c r="L24" i="19"/>
  <c r="M24" i="19"/>
  <c r="N24" i="19"/>
  <c r="O24" i="19"/>
  <c r="P24" i="19"/>
  <c r="Q24" i="19"/>
  <c r="R24" i="19"/>
  <c r="S24" i="19"/>
  <c r="T24" i="19"/>
  <c r="U24" i="19"/>
  <c r="V24" i="19"/>
  <c r="W24" i="19"/>
  <c r="X24" i="19"/>
  <c r="Y24" i="19"/>
  <c r="Z24" i="19"/>
  <c r="AA24" i="19"/>
  <c r="AB24" i="19"/>
  <c r="AC24" i="19"/>
  <c r="AD24" i="19"/>
  <c r="AE24" i="19"/>
  <c r="AF24" i="19"/>
  <c r="AG24" i="19"/>
  <c r="AH24" i="19"/>
  <c r="B24" i="19"/>
  <c r="C6" i="19"/>
  <c r="D6" i="19"/>
  <c r="E6" i="19"/>
  <c r="F6" i="19"/>
  <c r="G6" i="19"/>
  <c r="H6" i="19"/>
  <c r="I6" i="19"/>
  <c r="J6" i="19"/>
  <c r="K6" i="19"/>
  <c r="L6" i="19"/>
  <c r="M6" i="19"/>
  <c r="N6" i="19"/>
  <c r="O6" i="19"/>
  <c r="P6" i="19"/>
  <c r="Q6" i="19"/>
  <c r="R6" i="19"/>
  <c r="S6" i="19"/>
  <c r="T6" i="19"/>
  <c r="U6" i="19"/>
  <c r="V6" i="19"/>
  <c r="W6" i="19"/>
  <c r="X6" i="19"/>
  <c r="Y6" i="19"/>
  <c r="Z6" i="19"/>
  <c r="AA6" i="19"/>
  <c r="AB6" i="19"/>
  <c r="AC6" i="19"/>
  <c r="AD6" i="19"/>
  <c r="AE6" i="19"/>
  <c r="AF6" i="19"/>
  <c r="AG6" i="19"/>
  <c r="AH6" i="19"/>
  <c r="B6" i="19"/>
  <c r="AR38" i="4"/>
  <c r="AP38" i="4"/>
  <c r="AP37" i="9" s="1"/>
  <c r="AR49" i="4"/>
  <c r="AR26" i="4"/>
  <c r="AR27" i="4"/>
  <c r="AR28" i="4"/>
  <c r="AR29" i="4"/>
  <c r="AR55" i="4"/>
  <c r="AR30" i="4"/>
  <c r="AR31" i="4"/>
  <c r="AR41" i="4"/>
  <c r="AR42" i="4"/>
  <c r="AR43" i="4"/>
  <c r="AR44" i="4"/>
  <c r="AR56" i="4"/>
  <c r="AR57" i="4"/>
  <c r="AR45" i="4"/>
  <c r="AR46" i="4"/>
  <c r="AR47" i="4"/>
  <c r="AR32" i="4"/>
  <c r="AR48" i="4"/>
  <c r="AR33" i="4"/>
  <c r="AR58" i="4"/>
  <c r="AR59" i="4"/>
  <c r="AR34" i="4"/>
  <c r="AR60" i="4"/>
  <c r="AR50" i="4"/>
  <c r="AR35" i="4"/>
  <c r="AR61" i="4"/>
  <c r="AR62" i="4"/>
  <c r="AR51" i="4"/>
  <c r="AR36" i="4"/>
  <c r="AR63" i="4"/>
  <c r="AR37" i="4"/>
  <c r="AR52" i="4"/>
  <c r="AR64" i="4"/>
  <c r="AR9" i="4"/>
  <c r="AR10" i="4"/>
  <c r="AR11" i="4"/>
  <c r="AR12" i="4"/>
  <c r="AR13" i="4"/>
  <c r="AR14" i="4"/>
  <c r="AR15" i="4"/>
  <c r="AR16" i="4"/>
  <c r="AR17" i="4"/>
  <c r="AR18" i="4"/>
  <c r="AR19" i="4"/>
  <c r="AR20" i="4"/>
  <c r="AR21" i="4"/>
  <c r="AR22" i="4"/>
  <c r="AR23" i="4"/>
  <c r="AR8" i="4"/>
  <c r="AP9" i="4"/>
  <c r="AP8" i="9" s="1"/>
  <c r="AP10" i="4"/>
  <c r="AP9" i="9" s="1"/>
  <c r="AP11" i="4"/>
  <c r="AP10" i="9" s="1"/>
  <c r="AP12" i="4"/>
  <c r="AP11" i="9" s="1"/>
  <c r="AP13" i="4"/>
  <c r="AP12" i="9" s="1"/>
  <c r="AP14" i="4"/>
  <c r="AP13" i="9" s="1"/>
  <c r="AP15" i="4"/>
  <c r="AP14" i="9" s="1"/>
  <c r="AP16" i="4"/>
  <c r="AP15" i="9" s="1"/>
  <c r="AP17" i="4"/>
  <c r="AP16" i="9" s="1"/>
  <c r="AP18" i="4"/>
  <c r="AP17" i="9" s="1"/>
  <c r="AP19" i="4"/>
  <c r="AP18" i="9" s="1"/>
  <c r="AP20" i="4"/>
  <c r="AP19" i="9" s="1"/>
  <c r="AP21" i="4"/>
  <c r="AP20" i="9" s="1"/>
  <c r="AP22" i="4"/>
  <c r="AP21" i="9" s="1"/>
  <c r="AP23" i="4"/>
  <c r="AP22" i="9" s="1"/>
  <c r="AP26" i="4"/>
  <c r="AP25" i="9" s="1"/>
  <c r="AP27" i="4"/>
  <c r="AP26" i="9" s="1"/>
  <c r="AP28" i="4"/>
  <c r="AP27" i="9" s="1"/>
  <c r="AP29" i="4"/>
  <c r="AP28" i="9" s="1"/>
  <c r="AP55" i="4"/>
  <c r="AP54" i="9" s="1"/>
  <c r="AP30" i="4"/>
  <c r="AP29" i="9" s="1"/>
  <c r="AP31" i="4"/>
  <c r="AP30" i="9" s="1"/>
  <c r="AP41" i="4"/>
  <c r="AP40" i="9" s="1"/>
  <c r="AP42" i="4"/>
  <c r="AP41" i="9" s="1"/>
  <c r="AP43" i="4"/>
  <c r="AP42" i="9" s="1"/>
  <c r="AP44" i="4"/>
  <c r="AP43" i="9" s="1"/>
  <c r="AP56" i="4"/>
  <c r="AP55" i="9" s="1"/>
  <c r="AP57" i="4"/>
  <c r="AP56" i="9" s="1"/>
  <c r="AP45" i="4"/>
  <c r="AP44" i="9" s="1"/>
  <c r="AP46" i="4"/>
  <c r="AP45" i="9" s="1"/>
  <c r="AP47" i="4"/>
  <c r="AP46" i="9" s="1"/>
  <c r="AP32" i="4"/>
  <c r="AP31" i="9" s="1"/>
  <c r="AP48" i="4"/>
  <c r="AP47" i="9" s="1"/>
  <c r="AP33" i="4"/>
  <c r="AP32" i="9" s="1"/>
  <c r="AP58" i="4"/>
  <c r="AP57" i="9" s="1"/>
  <c r="AP59" i="4"/>
  <c r="AP58" i="9" s="1"/>
  <c r="AP34" i="4"/>
  <c r="AP33" i="9" s="1"/>
  <c r="AP60" i="4"/>
  <c r="AP59" i="9" s="1"/>
  <c r="AP49" i="4"/>
  <c r="AP48" i="9" s="1"/>
  <c r="AP50" i="4"/>
  <c r="AP49" i="9" s="1"/>
  <c r="AP35" i="4"/>
  <c r="AP34" i="9" s="1"/>
  <c r="AP61" i="4"/>
  <c r="AP60" i="9" s="1"/>
  <c r="AP62" i="4"/>
  <c r="AP61" i="9" s="1"/>
  <c r="AP51" i="4"/>
  <c r="AP50" i="9" s="1"/>
  <c r="AP36" i="4"/>
  <c r="AP35" i="9" s="1"/>
  <c r="AP63" i="4"/>
  <c r="AP62" i="9" s="1"/>
  <c r="AP37" i="4"/>
  <c r="AP36" i="9" s="1"/>
  <c r="AP52" i="4"/>
  <c r="AP51" i="9" s="1"/>
  <c r="AP64" i="4"/>
  <c r="AP63" i="9" s="1"/>
  <c r="AP8" i="4"/>
  <c r="AP7" i="9" s="1"/>
  <c r="AN8" i="4"/>
  <c r="AN7" i="9" s="1"/>
  <c r="AN64" i="4"/>
  <c r="AN63" i="9" s="1"/>
  <c r="AN38" i="4"/>
  <c r="AN37" i="9" s="1"/>
  <c r="AN52" i="4"/>
  <c r="AN51" i="9" s="1"/>
  <c r="AN37" i="4"/>
  <c r="AN36" i="9" s="1"/>
  <c r="AN63" i="4"/>
  <c r="AN62" i="9" s="1"/>
  <c r="AN36" i="4"/>
  <c r="AN35" i="9" s="1"/>
  <c r="AN51" i="4"/>
  <c r="AN50" i="9" s="1"/>
  <c r="AN62" i="4"/>
  <c r="AN61" i="9" s="1"/>
  <c r="AN61" i="4"/>
  <c r="AN60" i="9" s="1"/>
  <c r="AN35" i="4"/>
  <c r="AN34" i="9" s="1"/>
  <c r="AN50" i="4"/>
  <c r="AN49" i="9" s="1"/>
  <c r="AN49" i="4"/>
  <c r="AN48" i="9" s="1"/>
  <c r="AN60" i="4"/>
  <c r="AN59" i="9" s="1"/>
  <c r="AN34" i="4"/>
  <c r="AN33" i="9" s="1"/>
  <c r="AN59" i="4"/>
  <c r="AN58" i="9" s="1"/>
  <c r="AN58" i="4"/>
  <c r="AN57" i="9" s="1"/>
  <c r="AN33" i="4"/>
  <c r="AN32" i="9" s="1"/>
  <c r="AN48" i="4"/>
  <c r="AN47" i="9" s="1"/>
  <c r="AN32" i="4"/>
  <c r="AN31" i="9" s="1"/>
  <c r="AN47" i="4"/>
  <c r="AN46" i="9" s="1"/>
  <c r="AN46" i="4"/>
  <c r="AN45" i="9" s="1"/>
  <c r="AN45" i="4"/>
  <c r="AN44" i="9" s="1"/>
  <c r="AN57" i="4"/>
  <c r="AN56" i="9" s="1"/>
  <c r="AN56" i="4"/>
  <c r="AN55" i="9" s="1"/>
  <c r="AN44" i="4"/>
  <c r="AN43" i="9" s="1"/>
  <c r="AN43" i="4"/>
  <c r="AN42" i="9" s="1"/>
  <c r="AN42" i="4"/>
  <c r="AN41" i="9" s="1"/>
  <c r="AN41" i="4"/>
  <c r="AN40" i="9" s="1"/>
  <c r="AN31" i="4"/>
  <c r="AN30" i="9" s="1"/>
  <c r="AN30" i="4"/>
  <c r="AN29" i="9" s="1"/>
  <c r="AN55" i="4"/>
  <c r="AN29" i="4"/>
  <c r="AN28" i="9" s="1"/>
  <c r="AN28" i="4"/>
  <c r="AN27" i="9" s="1"/>
  <c r="AN27" i="4"/>
  <c r="AN26" i="9" s="1"/>
  <c r="AN26" i="4"/>
  <c r="AN23" i="4"/>
  <c r="AN22" i="9" s="1"/>
  <c r="AN22" i="4"/>
  <c r="AN21" i="9" s="1"/>
  <c r="AN21" i="4"/>
  <c r="AN20" i="9" s="1"/>
  <c r="AN20" i="4"/>
  <c r="AN19" i="9" s="1"/>
  <c r="AN19" i="4"/>
  <c r="AN18" i="9" s="1"/>
  <c r="AN18" i="4"/>
  <c r="AN17" i="9" s="1"/>
  <c r="AN17" i="4"/>
  <c r="AN16" i="9" s="1"/>
  <c r="AN16" i="4"/>
  <c r="AN15" i="9" s="1"/>
  <c r="AN15" i="4"/>
  <c r="AN14" i="9" s="1"/>
  <c r="AN14" i="4"/>
  <c r="AN13" i="9" s="1"/>
  <c r="AN13" i="4"/>
  <c r="AN12" i="9" s="1"/>
  <c r="AN12" i="4"/>
  <c r="AN11" i="9" s="1"/>
  <c r="AN11" i="4"/>
  <c r="AN10" i="9" s="1"/>
  <c r="AN10" i="4"/>
  <c r="AN9" i="9" s="1"/>
  <c r="AN9" i="4"/>
  <c r="AN8" i="9" s="1"/>
  <c r="AJ8" i="4"/>
  <c r="AJ7" i="9" s="1"/>
  <c r="AJ9" i="4"/>
  <c r="AJ8" i="9" s="1"/>
  <c r="AJ10" i="4"/>
  <c r="AJ9" i="9" s="1"/>
  <c r="AJ11" i="4"/>
  <c r="AJ10" i="9" s="1"/>
  <c r="AJ12" i="4"/>
  <c r="AJ11" i="9" s="1"/>
  <c r="AJ13" i="4"/>
  <c r="AJ12" i="9" s="1"/>
  <c r="AJ14" i="4"/>
  <c r="AJ13" i="9" s="1"/>
  <c r="AJ15" i="4"/>
  <c r="AJ14" i="9" s="1"/>
  <c r="AJ16" i="4"/>
  <c r="AJ15" i="9" s="1"/>
  <c r="AJ17" i="4"/>
  <c r="AJ16" i="9" s="1"/>
  <c r="AJ18" i="4"/>
  <c r="AJ17" i="9" s="1"/>
  <c r="AJ19" i="4"/>
  <c r="AJ18" i="9" s="1"/>
  <c r="AJ20" i="4"/>
  <c r="AJ19" i="9" s="1"/>
  <c r="AJ21" i="4"/>
  <c r="AJ20" i="9" s="1"/>
  <c r="AJ22" i="4"/>
  <c r="AJ21" i="9" s="1"/>
  <c r="AJ23" i="4"/>
  <c r="AJ22" i="9" s="1"/>
  <c r="AJ26" i="4"/>
  <c r="AJ25" i="9" s="1"/>
  <c r="AJ27" i="4"/>
  <c r="AJ26" i="9" s="1"/>
  <c r="AJ28" i="4"/>
  <c r="AJ27" i="9" s="1"/>
  <c r="AJ29" i="4"/>
  <c r="AJ28" i="9" s="1"/>
  <c r="AJ55" i="4"/>
  <c r="AJ54" i="9" s="1"/>
  <c r="AJ30" i="4"/>
  <c r="AJ29" i="9" s="1"/>
  <c r="AJ31" i="4"/>
  <c r="AJ30" i="9" s="1"/>
  <c r="AJ41" i="4"/>
  <c r="AJ40" i="9" s="1"/>
  <c r="AJ42" i="4"/>
  <c r="AJ41" i="9" s="1"/>
  <c r="AJ43" i="4"/>
  <c r="AJ42" i="9" s="1"/>
  <c r="AJ44" i="4"/>
  <c r="AJ43" i="9" s="1"/>
  <c r="AJ56" i="4"/>
  <c r="AJ55" i="9" s="1"/>
  <c r="AJ57" i="4"/>
  <c r="AJ56" i="9" s="1"/>
  <c r="AJ45" i="4"/>
  <c r="AJ44" i="9" s="1"/>
  <c r="AJ46" i="4"/>
  <c r="AJ45" i="9" s="1"/>
  <c r="AJ47" i="4"/>
  <c r="AJ46" i="9" s="1"/>
  <c r="AJ32" i="4"/>
  <c r="AJ31" i="9" s="1"/>
  <c r="AJ48" i="4"/>
  <c r="AJ47" i="9" s="1"/>
  <c r="AJ33" i="4"/>
  <c r="AJ32" i="9" s="1"/>
  <c r="AJ58" i="4"/>
  <c r="AJ57" i="9" s="1"/>
  <c r="AJ59" i="4"/>
  <c r="AJ58" i="9" s="1"/>
  <c r="AJ34" i="4"/>
  <c r="AJ33" i="9" s="1"/>
  <c r="AJ60" i="4"/>
  <c r="AJ59" i="9" s="1"/>
  <c r="AJ49" i="4"/>
  <c r="AJ48" i="9" s="1"/>
  <c r="AJ50" i="4"/>
  <c r="AJ49" i="9" s="1"/>
  <c r="AJ35" i="4"/>
  <c r="AJ34" i="9" s="1"/>
  <c r="AJ61" i="4"/>
  <c r="AJ60" i="9" s="1"/>
  <c r="AJ62" i="4"/>
  <c r="AJ61" i="9" s="1"/>
  <c r="AJ51" i="4"/>
  <c r="AJ50" i="9" s="1"/>
  <c r="AJ36" i="4"/>
  <c r="AJ35" i="9" s="1"/>
  <c r="AJ63" i="4"/>
  <c r="AJ62" i="9" s="1"/>
  <c r="AJ37" i="4"/>
  <c r="AJ36" i="9" s="1"/>
  <c r="AJ52" i="4"/>
  <c r="AJ51" i="9" s="1"/>
  <c r="AJ38" i="4"/>
  <c r="AJ37" i="9" s="1"/>
  <c r="AJ64" i="4"/>
  <c r="AJ63" i="9" s="1"/>
  <c r="AF8" i="4"/>
  <c r="AF7" i="9" s="1"/>
  <c r="AF9" i="4"/>
  <c r="AF8" i="9" s="1"/>
  <c r="AF10" i="4"/>
  <c r="AF9" i="9" s="1"/>
  <c r="AF11" i="4"/>
  <c r="AF10" i="9" s="1"/>
  <c r="AF12" i="4"/>
  <c r="AF11" i="9" s="1"/>
  <c r="AF13" i="4"/>
  <c r="AF12" i="9" s="1"/>
  <c r="AF14" i="4"/>
  <c r="AF13" i="9" s="1"/>
  <c r="AF15" i="4"/>
  <c r="AF14" i="9" s="1"/>
  <c r="AF16" i="4"/>
  <c r="AF15" i="9" s="1"/>
  <c r="AF17" i="4"/>
  <c r="AF16" i="9" s="1"/>
  <c r="AF18" i="4"/>
  <c r="AF17" i="9" s="1"/>
  <c r="AF19" i="4"/>
  <c r="AF18" i="9" s="1"/>
  <c r="AF20" i="4"/>
  <c r="AF19" i="9" s="1"/>
  <c r="AF21" i="4"/>
  <c r="AF20" i="9" s="1"/>
  <c r="AF22" i="4"/>
  <c r="AF21" i="9" s="1"/>
  <c r="AF23" i="4"/>
  <c r="AF22" i="9" s="1"/>
  <c r="AF26" i="4"/>
  <c r="AF25" i="9" s="1"/>
  <c r="AF27" i="4"/>
  <c r="AF26" i="9" s="1"/>
  <c r="AF28" i="4"/>
  <c r="AF27" i="9" s="1"/>
  <c r="AF29" i="4"/>
  <c r="AF28" i="9" s="1"/>
  <c r="AF55" i="4"/>
  <c r="AF54" i="9" s="1"/>
  <c r="AF30" i="4"/>
  <c r="AF29" i="9" s="1"/>
  <c r="AF31" i="4"/>
  <c r="AF30" i="9" s="1"/>
  <c r="AF41" i="4"/>
  <c r="AF40" i="9" s="1"/>
  <c r="AF42" i="4"/>
  <c r="AF41" i="9" s="1"/>
  <c r="AF43" i="4"/>
  <c r="AF42" i="9" s="1"/>
  <c r="AF44" i="4"/>
  <c r="AF43" i="9" s="1"/>
  <c r="AF56" i="4"/>
  <c r="AF55" i="9" s="1"/>
  <c r="AF57" i="4"/>
  <c r="AF56" i="9" s="1"/>
  <c r="AF45" i="4"/>
  <c r="AF44" i="9" s="1"/>
  <c r="AF46" i="4"/>
  <c r="AF45" i="9" s="1"/>
  <c r="AF47" i="4"/>
  <c r="AF46" i="9" s="1"/>
  <c r="AF32" i="4"/>
  <c r="AF31" i="9" s="1"/>
  <c r="AF48" i="4"/>
  <c r="AF47" i="9" s="1"/>
  <c r="AF33" i="4"/>
  <c r="AF32" i="9" s="1"/>
  <c r="AF58" i="4"/>
  <c r="AF57" i="9" s="1"/>
  <c r="AF59" i="4"/>
  <c r="AF58" i="9" s="1"/>
  <c r="AF34" i="4"/>
  <c r="AF33" i="9" s="1"/>
  <c r="AF60" i="4"/>
  <c r="AF59" i="9" s="1"/>
  <c r="AF49" i="4"/>
  <c r="AF48" i="9" s="1"/>
  <c r="AF50" i="4"/>
  <c r="AF49" i="9" s="1"/>
  <c r="AF35" i="4"/>
  <c r="AF34" i="9" s="1"/>
  <c r="AF61" i="4"/>
  <c r="AF60" i="9" s="1"/>
  <c r="AF62" i="4"/>
  <c r="AF61" i="9" s="1"/>
  <c r="AF51" i="4"/>
  <c r="AF50" i="9" s="1"/>
  <c r="AF36" i="4"/>
  <c r="AF35" i="9" s="1"/>
  <c r="AF63" i="4"/>
  <c r="AF62" i="9" s="1"/>
  <c r="AF37" i="4"/>
  <c r="AF36" i="9" s="1"/>
  <c r="AF52" i="4"/>
  <c r="AF51" i="9" s="1"/>
  <c r="AF38" i="4"/>
  <c r="AF37" i="9" s="1"/>
  <c r="AF64" i="4"/>
  <c r="AF63" i="9" s="1"/>
  <c r="AB8" i="4"/>
  <c r="AB7" i="9" s="1"/>
  <c r="AB9" i="4"/>
  <c r="AB8" i="9" s="1"/>
  <c r="AB10" i="4"/>
  <c r="AB9" i="9" s="1"/>
  <c r="AB11" i="4"/>
  <c r="AB10" i="9" s="1"/>
  <c r="AB12" i="4"/>
  <c r="AB11" i="9" s="1"/>
  <c r="AB13" i="4"/>
  <c r="AB12" i="9" s="1"/>
  <c r="AB14" i="4"/>
  <c r="AB13" i="9" s="1"/>
  <c r="AB15" i="4"/>
  <c r="AB14" i="9" s="1"/>
  <c r="AB16" i="4"/>
  <c r="AB15" i="9" s="1"/>
  <c r="AB17" i="4"/>
  <c r="AB16" i="9" s="1"/>
  <c r="AB18" i="4"/>
  <c r="AB17" i="9" s="1"/>
  <c r="AA19" i="4"/>
  <c r="AA18" i="9" s="1"/>
  <c r="AB20" i="4"/>
  <c r="AB19" i="9" s="1"/>
  <c r="AB21" i="4"/>
  <c r="AB20" i="9" s="1"/>
  <c r="AB22" i="4"/>
  <c r="AB21" i="9" s="1"/>
  <c r="AB23" i="4"/>
  <c r="AB22" i="9" s="1"/>
  <c r="AB26" i="4"/>
  <c r="AB25" i="9" s="1"/>
  <c r="AB27" i="4"/>
  <c r="AB26" i="9" s="1"/>
  <c r="AB28" i="4"/>
  <c r="AB27" i="9" s="1"/>
  <c r="AB29" i="4"/>
  <c r="AB28" i="9" s="1"/>
  <c r="AB55" i="4"/>
  <c r="AB54" i="9" s="1"/>
  <c r="AB30" i="4"/>
  <c r="AB29" i="9" s="1"/>
  <c r="AB31" i="4"/>
  <c r="AB30" i="9" s="1"/>
  <c r="AB41" i="4"/>
  <c r="AB40" i="9" s="1"/>
  <c r="AB42" i="4"/>
  <c r="AB41" i="9" s="1"/>
  <c r="AB43" i="4"/>
  <c r="AB42" i="9" s="1"/>
  <c r="AB44" i="4"/>
  <c r="AB43" i="9" s="1"/>
  <c r="AB56" i="4"/>
  <c r="AB55" i="9" s="1"/>
  <c r="AB57" i="4"/>
  <c r="AB56" i="9" s="1"/>
  <c r="AB45" i="4"/>
  <c r="AB44" i="9" s="1"/>
  <c r="AB46" i="4"/>
  <c r="AB45" i="9" s="1"/>
  <c r="AB47" i="4"/>
  <c r="AB46" i="9" s="1"/>
  <c r="AB32" i="4"/>
  <c r="AB31" i="9" s="1"/>
  <c r="AB48" i="4"/>
  <c r="AB47" i="9" s="1"/>
  <c r="AB33" i="4"/>
  <c r="AB32" i="9" s="1"/>
  <c r="AB58" i="4"/>
  <c r="AB57" i="9" s="1"/>
  <c r="AB59" i="4"/>
  <c r="AB58" i="9" s="1"/>
  <c r="AB34" i="4"/>
  <c r="AB33" i="9" s="1"/>
  <c r="AB60" i="4"/>
  <c r="AB59" i="9" s="1"/>
  <c r="AB49" i="4"/>
  <c r="AB48" i="9" s="1"/>
  <c r="AB50" i="4"/>
  <c r="AB49" i="9" s="1"/>
  <c r="AB35" i="4"/>
  <c r="AB34" i="9" s="1"/>
  <c r="AB61" i="4"/>
  <c r="AB60" i="9" s="1"/>
  <c r="AB62" i="4"/>
  <c r="AB61" i="9" s="1"/>
  <c r="AB51" i="4"/>
  <c r="AB50" i="9" s="1"/>
  <c r="AB36" i="4"/>
  <c r="AB35" i="9" s="1"/>
  <c r="AB63" i="4"/>
  <c r="AB62" i="9" s="1"/>
  <c r="AB37" i="4"/>
  <c r="AB36" i="9" s="1"/>
  <c r="AB52" i="4"/>
  <c r="AB51" i="9" s="1"/>
  <c r="AB38" i="4"/>
  <c r="AB37" i="9" s="1"/>
  <c r="AB64" i="4"/>
  <c r="AB63" i="9" s="1"/>
  <c r="S8" i="4"/>
  <c r="S7" i="9" s="1"/>
  <c r="S9" i="4"/>
  <c r="S10" i="4"/>
  <c r="S9" i="9" s="1"/>
  <c r="S11" i="4"/>
  <c r="S10" i="9" s="1"/>
  <c r="S12" i="4"/>
  <c r="S13" i="4"/>
  <c r="S14" i="4"/>
  <c r="S15" i="4"/>
  <c r="S14" i="9" s="1"/>
  <c r="S16" i="4"/>
  <c r="S17" i="4"/>
  <c r="S16" i="9" s="1"/>
  <c r="S18" i="4"/>
  <c r="S17" i="9" s="1"/>
  <c r="S20" i="4"/>
  <c r="S21" i="4"/>
  <c r="S22" i="4"/>
  <c r="S23" i="4"/>
  <c r="S22" i="9" s="1"/>
  <c r="S26" i="4"/>
  <c r="S25" i="9" s="1"/>
  <c r="S27" i="4"/>
  <c r="S26" i="9" s="1"/>
  <c r="S28" i="4"/>
  <c r="S27" i="9" s="1"/>
  <c r="S29" i="4"/>
  <c r="S28" i="9" s="1"/>
  <c r="S55" i="4"/>
  <c r="S54" i="9" s="1"/>
  <c r="S30" i="4"/>
  <c r="S31" i="4"/>
  <c r="S41" i="4"/>
  <c r="S40" i="9" s="1"/>
  <c r="S42" i="4"/>
  <c r="S43" i="4"/>
  <c r="S42" i="9" s="1"/>
  <c r="S44" i="4"/>
  <c r="S43" i="9" s="1"/>
  <c r="S56" i="4"/>
  <c r="S57" i="4"/>
  <c r="S45" i="4"/>
  <c r="S46" i="4"/>
  <c r="S47" i="4"/>
  <c r="S46" i="9" s="1"/>
  <c r="S32" i="4"/>
  <c r="S31" i="9" s="1"/>
  <c r="S48" i="4"/>
  <c r="S47" i="9" s="1"/>
  <c r="S33" i="4"/>
  <c r="S32" i="9" s="1"/>
  <c r="S58" i="4"/>
  <c r="S57" i="9" s="1"/>
  <c r="S59" i="4"/>
  <c r="S34" i="4"/>
  <c r="S60" i="4"/>
  <c r="S49" i="4"/>
  <c r="S48" i="9" s="1"/>
  <c r="S50" i="4"/>
  <c r="S49" i="9" s="1"/>
  <c r="S35" i="4"/>
  <c r="S34" i="9" s="1"/>
  <c r="S61" i="4"/>
  <c r="S60" i="9" s="1"/>
  <c r="S62" i="4"/>
  <c r="S61" i="9" s="1"/>
  <c r="S51" i="4"/>
  <c r="S36" i="4"/>
  <c r="S35" i="9" s="1"/>
  <c r="S63" i="4"/>
  <c r="S62" i="9" s="1"/>
  <c r="S37" i="4"/>
  <c r="S36" i="9" s="1"/>
  <c r="S52" i="4"/>
  <c r="S51" i="9" s="1"/>
  <c r="S38" i="4"/>
  <c r="S37" i="9" s="1"/>
  <c r="S64" i="4"/>
  <c r="S63" i="9" s="1"/>
  <c r="P8" i="4"/>
  <c r="P7" i="9" s="1"/>
  <c r="P9" i="4"/>
  <c r="P10" i="4"/>
  <c r="P11" i="4"/>
  <c r="P12" i="4"/>
  <c r="P13" i="4"/>
  <c r="P12" i="9" s="1"/>
  <c r="P14" i="4"/>
  <c r="P15" i="4"/>
  <c r="P16" i="4"/>
  <c r="P17" i="4"/>
  <c r="P16" i="9" s="1"/>
  <c r="P18" i="4"/>
  <c r="P19" i="4"/>
  <c r="P18" i="9" s="1"/>
  <c r="P20" i="4"/>
  <c r="P21" i="4"/>
  <c r="P22" i="4"/>
  <c r="P23" i="4"/>
  <c r="D8" i="4"/>
  <c r="D9" i="4"/>
  <c r="E9" i="4" s="1"/>
  <c r="F9" i="4" s="1"/>
  <c r="G9" i="4" s="1"/>
  <c r="H9" i="4" s="1"/>
  <c r="D10" i="4"/>
  <c r="D11" i="4"/>
  <c r="E11" i="4" s="1"/>
  <c r="F11" i="4" s="1"/>
  <c r="G11" i="4" s="1"/>
  <c r="H11" i="4" s="1"/>
  <c r="H10" i="9" s="1"/>
  <c r="D12" i="4"/>
  <c r="E12" i="4" s="1"/>
  <c r="D13" i="4"/>
  <c r="E13" i="4" s="1"/>
  <c r="F13" i="4" s="1"/>
  <c r="G13" i="4" s="1"/>
  <c r="H13" i="4" s="1"/>
  <c r="D14" i="4"/>
  <c r="E14" i="4" s="1"/>
  <c r="F14" i="4" s="1"/>
  <c r="G14" i="4" s="1"/>
  <c r="H14" i="4" s="1"/>
  <c r="H13" i="9" s="1"/>
  <c r="D15" i="4"/>
  <c r="D16" i="4"/>
  <c r="E16" i="4" s="1"/>
  <c r="D17" i="4"/>
  <c r="E17" i="4" s="1"/>
  <c r="F17" i="4" s="1"/>
  <c r="G17" i="4" s="1"/>
  <c r="H17" i="4" s="1"/>
  <c r="D18" i="4"/>
  <c r="E18" i="4" s="1"/>
  <c r="F18" i="4" s="1"/>
  <c r="G18" i="4" s="1"/>
  <c r="H18" i="4" s="1"/>
  <c r="D19" i="4"/>
  <c r="E19" i="4" s="1"/>
  <c r="F19" i="4" s="1"/>
  <c r="G19" i="4" s="1"/>
  <c r="H19" i="4" s="1"/>
  <c r="H18" i="9" s="1"/>
  <c r="D20" i="4"/>
  <c r="E20" i="4" s="1"/>
  <c r="F20" i="4" s="1"/>
  <c r="G20" i="4" s="1"/>
  <c r="H20" i="4" s="1"/>
  <c r="H19" i="9" s="1"/>
  <c r="D21" i="4"/>
  <c r="E21" i="4" s="1"/>
  <c r="F21" i="4" s="1"/>
  <c r="G21" i="4" s="1"/>
  <c r="H21" i="4" s="1"/>
  <c r="D22" i="4"/>
  <c r="E22" i="4" s="1"/>
  <c r="F22" i="4" s="1"/>
  <c r="G22" i="4" s="1"/>
  <c r="H22" i="4" s="1"/>
  <c r="H21" i="9" s="1"/>
  <c r="D23" i="4"/>
  <c r="E23" i="4" s="1"/>
  <c r="F23" i="4" s="1"/>
  <c r="G23" i="4" s="1"/>
  <c r="H23" i="4" s="1"/>
  <c r="D26" i="4"/>
  <c r="D27" i="4"/>
  <c r="D28" i="4"/>
  <c r="D29" i="4"/>
  <c r="D55" i="4"/>
  <c r="D30" i="4"/>
  <c r="E30" i="4" s="1"/>
  <c r="F30" i="4" s="1"/>
  <c r="G30" i="4" s="1"/>
  <c r="H30" i="4" s="1"/>
  <c r="H29" i="9" s="1"/>
  <c r="D31" i="4"/>
  <c r="D41" i="4"/>
  <c r="D42" i="4"/>
  <c r="E42" i="4" s="1"/>
  <c r="D43" i="4"/>
  <c r="E43" i="4" s="1"/>
  <c r="F43" i="4" s="1"/>
  <c r="G43" i="4" s="1"/>
  <c r="H43" i="4" s="1"/>
  <c r="D44" i="4"/>
  <c r="E44" i="4" s="1"/>
  <c r="F44" i="4" s="1"/>
  <c r="G44" i="4" s="1"/>
  <c r="H44" i="4" s="1"/>
  <c r="H43" i="9" s="1"/>
  <c r="D56" i="4"/>
  <c r="E56" i="4" s="1"/>
  <c r="F56" i="4" s="1"/>
  <c r="G56" i="4" s="1"/>
  <c r="H56" i="4" s="1"/>
  <c r="H55" i="9" s="1"/>
  <c r="D57" i="4"/>
  <c r="D45" i="4"/>
  <c r="E45" i="4" s="1"/>
  <c r="F45" i="4" s="1"/>
  <c r="G45" i="4" s="1"/>
  <c r="H45" i="4" s="1"/>
  <c r="H44" i="9" s="1"/>
  <c r="D46" i="4"/>
  <c r="D47" i="4"/>
  <c r="E47" i="4" s="1"/>
  <c r="F47" i="4" s="1"/>
  <c r="G47" i="4" s="1"/>
  <c r="H47" i="4" s="1"/>
  <c r="H46" i="9" s="1"/>
  <c r="D32" i="4"/>
  <c r="D48" i="4"/>
  <c r="E48" i="4" s="1"/>
  <c r="F48" i="4" s="1"/>
  <c r="G48" i="4" s="1"/>
  <c r="H48" i="4" s="1"/>
  <c r="H47" i="9" s="1"/>
  <c r="D33" i="4"/>
  <c r="D58" i="4"/>
  <c r="E58" i="4" s="1"/>
  <c r="F58" i="4" s="1"/>
  <c r="G58" i="4" s="1"/>
  <c r="H58" i="4" s="1"/>
  <c r="H57" i="9" s="1"/>
  <c r="D59" i="4"/>
  <c r="E59" i="4" s="1"/>
  <c r="F59" i="4" s="1"/>
  <c r="G59" i="4" s="1"/>
  <c r="H59" i="4" s="1"/>
  <c r="D34" i="4"/>
  <c r="D60" i="4"/>
  <c r="D49" i="4"/>
  <c r="D50" i="4"/>
  <c r="E50" i="4" s="1"/>
  <c r="F50" i="4" s="1"/>
  <c r="G50" i="4" s="1"/>
  <c r="H50" i="4" s="1"/>
  <c r="D35" i="4"/>
  <c r="D61" i="4"/>
  <c r="D62" i="4"/>
  <c r="D51" i="4"/>
  <c r="E51" i="4" s="1"/>
  <c r="F51" i="4" s="1"/>
  <c r="G51" i="4" s="1"/>
  <c r="H51" i="4" s="1"/>
  <c r="H50" i="9" s="1"/>
  <c r="D36" i="4"/>
  <c r="D63" i="4"/>
  <c r="D37" i="4"/>
  <c r="E37" i="4" s="1"/>
  <c r="F37" i="4" s="1"/>
  <c r="G37" i="4" s="1"/>
  <c r="H37" i="4" s="1"/>
  <c r="H36" i="9" s="1"/>
  <c r="D52" i="4"/>
  <c r="D38" i="4"/>
  <c r="E38" i="4" s="1"/>
  <c r="F38" i="4" s="1"/>
  <c r="G38" i="4" s="1"/>
  <c r="H38" i="4" s="1"/>
  <c r="H37" i="9" s="1"/>
  <c r="D64" i="4"/>
  <c r="E64" i="4" s="1"/>
  <c r="F64" i="4" s="1"/>
  <c r="G64" i="4" s="1"/>
  <c r="H64" i="4" s="1"/>
  <c r="H63" i="9" s="1"/>
  <c r="E29" i="4"/>
  <c r="F29" i="4" s="1"/>
  <c r="G29" i="4" s="1"/>
  <c r="H29" i="4" s="1"/>
  <c r="P26" i="4"/>
  <c r="P25" i="9" s="1"/>
  <c r="P27" i="4"/>
  <c r="P28" i="4"/>
  <c r="P29" i="4"/>
  <c r="P28" i="9" s="1"/>
  <c r="P55" i="4"/>
  <c r="P54" i="9" s="1"/>
  <c r="P30" i="4"/>
  <c r="P31" i="4"/>
  <c r="P41" i="4"/>
  <c r="P40" i="9" s="1"/>
  <c r="P42" i="4"/>
  <c r="P43" i="4"/>
  <c r="P44" i="4"/>
  <c r="P56" i="4"/>
  <c r="P57" i="4"/>
  <c r="P56" i="9" s="1"/>
  <c r="P45" i="4"/>
  <c r="P46" i="4"/>
  <c r="P47" i="4"/>
  <c r="P46" i="9" s="1"/>
  <c r="P32" i="4"/>
  <c r="P31" i="9" s="1"/>
  <c r="P48" i="4"/>
  <c r="P47" i="9" s="1"/>
  <c r="P33" i="4"/>
  <c r="P32" i="9" s="1"/>
  <c r="P58" i="4"/>
  <c r="P57" i="9" s="1"/>
  <c r="P59" i="4"/>
  <c r="P58" i="9" s="1"/>
  <c r="P34" i="4"/>
  <c r="P33" i="9" s="1"/>
  <c r="P60" i="4"/>
  <c r="P49" i="4"/>
  <c r="P50" i="4"/>
  <c r="P49" i="9" s="1"/>
  <c r="P35" i="4"/>
  <c r="P61" i="4"/>
  <c r="P60" i="9" s="1"/>
  <c r="P62" i="4"/>
  <c r="P61" i="9" s="1"/>
  <c r="P51" i="4"/>
  <c r="P50" i="9" s="1"/>
  <c r="P36" i="4"/>
  <c r="P63" i="4"/>
  <c r="P62" i="9" s="1"/>
  <c r="P37" i="4"/>
  <c r="P36" i="9" s="1"/>
  <c r="P52" i="4"/>
  <c r="P51" i="9" s="1"/>
  <c r="P38" i="4"/>
  <c r="P64" i="4"/>
  <c r="P63" i="9" s="1"/>
  <c r="Q29" i="4"/>
  <c r="Q28" i="9" s="1"/>
  <c r="T15" i="4" l="1"/>
  <c r="Q34" i="4"/>
  <c r="Q33" i="9" s="1"/>
  <c r="E10" i="4"/>
  <c r="F10" i="4" s="1"/>
  <c r="G10" i="4" s="1"/>
  <c r="H10" i="4" s="1"/>
  <c r="H9" i="9" s="1"/>
  <c r="D9" i="9"/>
  <c r="T58" i="4"/>
  <c r="T57" i="9" s="1"/>
  <c r="T47" i="4"/>
  <c r="T46" i="9" s="1"/>
  <c r="Q17" i="4"/>
  <c r="Q16" i="9" s="1"/>
  <c r="Q62" i="4"/>
  <c r="Q61" i="9" s="1"/>
  <c r="T11" i="4"/>
  <c r="U11" i="4" s="1"/>
  <c r="Q33" i="4"/>
  <c r="Q32" i="9" s="1"/>
  <c r="Q61" i="4"/>
  <c r="Q60" i="9" s="1"/>
  <c r="T35" i="4"/>
  <c r="T34" i="9" s="1"/>
  <c r="T32" i="4"/>
  <c r="T31" i="9" s="1"/>
  <c r="I13" i="4"/>
  <c r="I12" i="9" s="1"/>
  <c r="H12" i="9"/>
  <c r="Q46" i="4"/>
  <c r="Q45" i="9" s="1"/>
  <c r="P45" i="9"/>
  <c r="Q21" i="4"/>
  <c r="Q20" i="9" s="1"/>
  <c r="P20" i="9"/>
  <c r="AR33" i="9"/>
  <c r="AR21" i="9"/>
  <c r="AR45" i="9"/>
  <c r="I17" i="4"/>
  <c r="I16" i="9" s="1"/>
  <c r="H16" i="9"/>
  <c r="Q15" i="4"/>
  <c r="Q14" i="9" s="1"/>
  <c r="P14" i="9"/>
  <c r="AR49" i="9"/>
  <c r="T10" i="9"/>
  <c r="I29" i="4"/>
  <c r="I28" i="9" s="1"/>
  <c r="H28" i="9"/>
  <c r="Q11" i="4"/>
  <c r="Q10" i="9" s="1"/>
  <c r="P10" i="9"/>
  <c r="T60" i="4"/>
  <c r="T59" i="9" s="1"/>
  <c r="S59" i="9"/>
  <c r="T14" i="4"/>
  <c r="S13" i="9"/>
  <c r="AR18" i="9"/>
  <c r="AR10" i="9"/>
  <c r="AR50" i="9"/>
  <c r="AR57" i="9"/>
  <c r="AR55" i="9"/>
  <c r="AR28" i="9"/>
  <c r="Q36" i="4"/>
  <c r="Q35" i="9" s="1"/>
  <c r="P35" i="9"/>
  <c r="Q45" i="4"/>
  <c r="Q44" i="9" s="1"/>
  <c r="P44" i="9"/>
  <c r="Q30" i="4"/>
  <c r="Q29" i="9" s="1"/>
  <c r="P29" i="9"/>
  <c r="Q20" i="4"/>
  <c r="Q19" i="9" s="1"/>
  <c r="P19" i="9"/>
  <c r="Q12" i="4"/>
  <c r="Q11" i="9" s="1"/>
  <c r="P11" i="9"/>
  <c r="T42" i="4"/>
  <c r="S41" i="9"/>
  <c r="AR19" i="9"/>
  <c r="AR11" i="9"/>
  <c r="AR35" i="9"/>
  <c r="AR58" i="9"/>
  <c r="AR56" i="9"/>
  <c r="AR54" i="9"/>
  <c r="AB19" i="4"/>
  <c r="AB18" i="9" s="1"/>
  <c r="Q19" i="4"/>
  <c r="Q18" i="9" s="1"/>
  <c r="Q47" i="4"/>
  <c r="Q46" i="9" s="1"/>
  <c r="Q31" i="4"/>
  <c r="Q30" i="9" s="1"/>
  <c r="P30" i="9"/>
  <c r="I21" i="4"/>
  <c r="I20" i="9" s="1"/>
  <c r="H20" i="9"/>
  <c r="AR12" i="9"/>
  <c r="AR37" i="9"/>
  <c r="Q49" i="4"/>
  <c r="Q48" i="9" s="1"/>
  <c r="P48" i="9"/>
  <c r="Q23" i="4"/>
  <c r="Q22" i="9" s="1"/>
  <c r="P22" i="9"/>
  <c r="AR51" i="9"/>
  <c r="AR40" i="9"/>
  <c r="Q38" i="4"/>
  <c r="Q37" i="9" s="1"/>
  <c r="P37" i="9"/>
  <c r="Q35" i="4"/>
  <c r="Q34" i="9" s="1"/>
  <c r="P34" i="9"/>
  <c r="Q43" i="4"/>
  <c r="Q42" i="9" s="1"/>
  <c r="P42" i="9"/>
  <c r="Q27" i="4"/>
  <c r="Q26" i="9" s="1"/>
  <c r="P26" i="9"/>
  <c r="I50" i="4"/>
  <c r="I49" i="9" s="1"/>
  <c r="H49" i="9"/>
  <c r="Q16" i="4"/>
  <c r="Q15" i="9" s="1"/>
  <c r="P15" i="9"/>
  <c r="T57" i="4"/>
  <c r="T56" i="9" s="1"/>
  <c r="S56" i="9"/>
  <c r="T20" i="4"/>
  <c r="S19" i="9"/>
  <c r="AR7" i="9"/>
  <c r="AR15" i="9"/>
  <c r="AR63" i="9"/>
  <c r="AR34" i="9"/>
  <c r="AR31" i="9"/>
  <c r="AR41" i="9"/>
  <c r="AR25" i="9"/>
  <c r="T41" i="4"/>
  <c r="T40" i="9" s="1"/>
  <c r="Q64" i="4"/>
  <c r="Q63" i="9" s="1"/>
  <c r="Q63" i="4"/>
  <c r="Q62" i="9" s="1"/>
  <c r="AT5" i="4"/>
  <c r="Q60" i="4"/>
  <c r="Q59" i="9" s="1"/>
  <c r="P59" i="9"/>
  <c r="T16" i="4"/>
  <c r="S15" i="9"/>
  <c r="AN53" i="4"/>
  <c r="AN54" i="9"/>
  <c r="AR62" i="9"/>
  <c r="AR29" i="9"/>
  <c r="Q22" i="4"/>
  <c r="Q21" i="9" s="1"/>
  <c r="P21" i="9"/>
  <c r="T9" i="4"/>
  <c r="S8" i="9"/>
  <c r="AR36" i="9"/>
  <c r="AR30" i="9"/>
  <c r="Q42" i="4"/>
  <c r="Q41" i="9" s="1"/>
  <c r="P41" i="9"/>
  <c r="I23" i="4"/>
  <c r="I22" i="9" s="1"/>
  <c r="H22" i="9"/>
  <c r="AR22" i="9"/>
  <c r="AR46" i="9"/>
  <c r="Q44" i="4"/>
  <c r="Q43" i="9" s="1"/>
  <c r="P43" i="9"/>
  <c r="Q28" i="4"/>
  <c r="Q27" i="9" s="1"/>
  <c r="P27" i="9"/>
  <c r="I43" i="4"/>
  <c r="I42" i="9" s="1"/>
  <c r="H42" i="9"/>
  <c r="I9" i="4"/>
  <c r="I8" i="9" s="1"/>
  <c r="H8" i="9"/>
  <c r="Q9" i="4"/>
  <c r="Q8" i="9" s="1"/>
  <c r="P8" i="9"/>
  <c r="T51" i="4"/>
  <c r="S50" i="9"/>
  <c r="T59" i="4"/>
  <c r="S58" i="9"/>
  <c r="T45" i="4"/>
  <c r="S44" i="9"/>
  <c r="T30" i="4"/>
  <c r="S29" i="9"/>
  <c r="T21" i="4"/>
  <c r="S20" i="9"/>
  <c r="T12" i="4"/>
  <c r="S11" i="9"/>
  <c r="AN24" i="4"/>
  <c r="AN23" i="9" s="1"/>
  <c r="AN25" i="9"/>
  <c r="AR16" i="9"/>
  <c r="AR8" i="9"/>
  <c r="AR60" i="9"/>
  <c r="AR47" i="9"/>
  <c r="AR42" i="9"/>
  <c r="AR26" i="9"/>
  <c r="Q52" i="4"/>
  <c r="Q51" i="9" s="1"/>
  <c r="AR20" i="9"/>
  <c r="AR44" i="9"/>
  <c r="I59" i="4"/>
  <c r="I58" i="9" s="1"/>
  <c r="H58" i="9"/>
  <c r="Q14" i="4"/>
  <c r="Q13" i="9" s="1"/>
  <c r="P13" i="9"/>
  <c r="AR13" i="9"/>
  <c r="AR59" i="9"/>
  <c r="T56" i="4"/>
  <c r="S55" i="9"/>
  <c r="AR14" i="9"/>
  <c r="AR48" i="9"/>
  <c r="U15" i="4"/>
  <c r="U14" i="9" s="1"/>
  <c r="T14" i="9"/>
  <c r="Q56" i="4"/>
  <c r="Q55" i="9" s="1"/>
  <c r="P55" i="9"/>
  <c r="I18" i="4"/>
  <c r="I17" i="9" s="1"/>
  <c r="H17" i="9"/>
  <c r="Q18" i="4"/>
  <c r="Q17" i="9" s="1"/>
  <c r="P17" i="9"/>
  <c r="Q10" i="4"/>
  <c r="Q9" i="9" s="1"/>
  <c r="P9" i="9"/>
  <c r="T34" i="4"/>
  <c r="S33" i="9"/>
  <c r="T46" i="4"/>
  <c r="S45" i="9"/>
  <c r="T31" i="4"/>
  <c r="S30" i="9"/>
  <c r="T22" i="4"/>
  <c r="S21" i="9"/>
  <c r="T13" i="4"/>
  <c r="S12" i="9"/>
  <c r="AR17" i="9"/>
  <c r="AR9" i="9"/>
  <c r="AR61" i="9"/>
  <c r="AR32" i="9"/>
  <c r="AR43" i="9"/>
  <c r="AR27" i="9"/>
  <c r="T23" i="4"/>
  <c r="Q26" i="4"/>
  <c r="Q25" i="9" s="1"/>
  <c r="E63" i="9"/>
  <c r="D63" i="9"/>
  <c r="D51" i="9"/>
  <c r="D62" i="9"/>
  <c r="E50" i="9"/>
  <c r="D50" i="9"/>
  <c r="D60" i="9"/>
  <c r="E49" i="9"/>
  <c r="D49" i="9"/>
  <c r="D59" i="9"/>
  <c r="D58" i="9"/>
  <c r="D32" i="9"/>
  <c r="D31" i="9"/>
  <c r="D45" i="9"/>
  <c r="D56" i="9"/>
  <c r="D43" i="9"/>
  <c r="E41" i="9"/>
  <c r="D41" i="9"/>
  <c r="D30" i="9"/>
  <c r="D54" i="9"/>
  <c r="D27" i="9"/>
  <c r="D25" i="9"/>
  <c r="D21" i="9"/>
  <c r="D19" i="9"/>
  <c r="D17" i="9"/>
  <c r="D15" i="9"/>
  <c r="D13" i="9"/>
  <c r="D11" i="9"/>
  <c r="D7" i="9"/>
  <c r="C5" i="9"/>
  <c r="K5" i="9"/>
  <c r="M5" i="9"/>
  <c r="O5" i="9"/>
  <c r="AC5" i="9"/>
  <c r="AE5" i="9"/>
  <c r="AG5" i="9"/>
  <c r="AI5" i="9"/>
  <c r="AK5" i="9"/>
  <c r="AM5" i="9"/>
  <c r="AO5" i="9"/>
  <c r="AQ5" i="9"/>
  <c r="J23" i="9"/>
  <c r="L23" i="9"/>
  <c r="N23" i="9"/>
  <c r="R23" i="9"/>
  <c r="AD23" i="9"/>
  <c r="AH23" i="9"/>
  <c r="AL23" i="9"/>
  <c r="AT23" i="9"/>
  <c r="C38" i="9"/>
  <c r="K38" i="9"/>
  <c r="M38" i="9"/>
  <c r="O38" i="9"/>
  <c r="AA38" i="9"/>
  <c r="AC38" i="9"/>
  <c r="AE38" i="9"/>
  <c r="AG38" i="9"/>
  <c r="AI38" i="9"/>
  <c r="AK38" i="9"/>
  <c r="AM38" i="9"/>
  <c r="AO38" i="9"/>
  <c r="AQ38" i="9"/>
  <c r="AS38" i="9"/>
  <c r="AU38" i="9"/>
  <c r="J52" i="9"/>
  <c r="L52" i="9"/>
  <c r="N52" i="9"/>
  <c r="R52" i="9"/>
  <c r="AD52" i="9"/>
  <c r="AH52" i="9"/>
  <c r="AL52" i="9"/>
  <c r="AN52" i="9"/>
  <c r="AT52" i="9"/>
  <c r="B52" i="9"/>
  <c r="B38" i="9"/>
  <c r="B23" i="9"/>
  <c r="E8" i="9"/>
  <c r="E22" i="9"/>
  <c r="E37" i="9"/>
  <c r="D37" i="9"/>
  <c r="E36" i="9"/>
  <c r="D36" i="9"/>
  <c r="D35" i="9"/>
  <c r="D61" i="9"/>
  <c r="D34" i="9"/>
  <c r="D48" i="9"/>
  <c r="D33" i="9"/>
  <c r="E57" i="9"/>
  <c r="D57" i="9"/>
  <c r="E47" i="9"/>
  <c r="D47" i="9"/>
  <c r="E46" i="9"/>
  <c r="D46" i="9"/>
  <c r="E44" i="9"/>
  <c r="D44" i="9"/>
  <c r="D55" i="9"/>
  <c r="E42" i="9"/>
  <c r="D42" i="9"/>
  <c r="D40" i="9"/>
  <c r="D29" i="9"/>
  <c r="E28" i="9"/>
  <c r="D28" i="9"/>
  <c r="D26" i="9"/>
  <c r="D22" i="9"/>
  <c r="D20" i="9"/>
  <c r="D18" i="9"/>
  <c r="D16" i="9"/>
  <c r="D14" i="9"/>
  <c r="D12" i="9"/>
  <c r="D10" i="9"/>
  <c r="D8" i="9"/>
  <c r="J5" i="9"/>
  <c r="L5" i="9"/>
  <c r="N5" i="9"/>
  <c r="R5" i="9"/>
  <c r="AD5" i="9"/>
  <c r="AH5" i="9"/>
  <c r="AL5" i="9"/>
  <c r="C23" i="9"/>
  <c r="K23" i="9"/>
  <c r="M23" i="9"/>
  <c r="O23" i="9"/>
  <c r="AA23" i="9"/>
  <c r="AC23" i="9"/>
  <c r="AE23" i="9"/>
  <c r="AG23" i="9"/>
  <c r="AI23" i="9"/>
  <c r="AK23" i="9"/>
  <c r="AM23" i="9"/>
  <c r="AO23" i="9"/>
  <c r="AQ23" i="9"/>
  <c r="AS23" i="9"/>
  <c r="AU23" i="9"/>
  <c r="J38" i="9"/>
  <c r="L38" i="9"/>
  <c r="N38" i="9"/>
  <c r="R38" i="9"/>
  <c r="AD38" i="9"/>
  <c r="AH38" i="9"/>
  <c r="AL38" i="9"/>
  <c r="AT38" i="9"/>
  <c r="C52" i="9"/>
  <c r="K52" i="9"/>
  <c r="M52" i="9"/>
  <c r="O52" i="9"/>
  <c r="AA52" i="9"/>
  <c r="AC52" i="9"/>
  <c r="AE52" i="9"/>
  <c r="AG52" i="9"/>
  <c r="AI52" i="9"/>
  <c r="AK52" i="9"/>
  <c r="AM52" i="9"/>
  <c r="AO52" i="9"/>
  <c r="AQ52" i="9"/>
  <c r="AS52" i="9"/>
  <c r="AU52" i="9"/>
  <c r="AV4" i="9"/>
  <c r="AS5" i="9"/>
  <c r="AU5" i="9"/>
  <c r="AT5" i="9"/>
  <c r="Q41" i="4"/>
  <c r="Q40" i="9" s="1"/>
  <c r="P39" i="4"/>
  <c r="P38" i="9" s="1"/>
  <c r="Q55" i="4"/>
  <c r="Q54" i="9" s="1"/>
  <c r="P53" i="4"/>
  <c r="P52" i="9" s="1"/>
  <c r="D39" i="4"/>
  <c r="T55" i="4"/>
  <c r="T54" i="9" s="1"/>
  <c r="S53" i="4"/>
  <c r="S52" i="9" s="1"/>
  <c r="S24" i="4"/>
  <c r="S23" i="9" s="1"/>
  <c r="AP39" i="4"/>
  <c r="AP38" i="9" s="1"/>
  <c r="P24" i="4"/>
  <c r="P23" i="9" s="1"/>
  <c r="AB53" i="4"/>
  <c r="AB52" i="9" s="1"/>
  <c r="AB24" i="4"/>
  <c r="AB23" i="9" s="1"/>
  <c r="AF39" i="4"/>
  <c r="AF38" i="9" s="1"/>
  <c r="AJ53" i="4"/>
  <c r="AJ52" i="9" s="1"/>
  <c r="AJ24" i="4"/>
  <c r="AJ23" i="9" s="1"/>
  <c r="AN39" i="4"/>
  <c r="AN38" i="9" s="1"/>
  <c r="AN6" i="4"/>
  <c r="AR39" i="4"/>
  <c r="D6" i="4"/>
  <c r="Q8" i="4"/>
  <c r="Q7" i="9" s="1"/>
  <c r="P6" i="4"/>
  <c r="P5" i="9" s="1"/>
  <c r="AA6" i="4"/>
  <c r="AA5" i="9" s="1"/>
  <c r="AJ6" i="4"/>
  <c r="AJ5" i="9" s="1"/>
  <c r="AP6" i="4"/>
  <c r="AP5" i="9" s="1"/>
  <c r="AP53" i="4"/>
  <c r="AP52" i="9" s="1"/>
  <c r="AP24" i="4"/>
  <c r="AP23" i="9" s="1"/>
  <c r="AR6" i="4"/>
  <c r="AR53" i="4"/>
  <c r="D53" i="4"/>
  <c r="D24" i="4"/>
  <c r="S39" i="4"/>
  <c r="S38" i="9" s="1"/>
  <c r="AB39" i="4"/>
  <c r="AB38" i="9" s="1"/>
  <c r="AF53" i="4"/>
  <c r="AF52" i="9" s="1"/>
  <c r="AF24" i="4"/>
  <c r="AF23" i="9" s="1"/>
  <c r="AF6" i="4"/>
  <c r="AF5" i="9" s="1"/>
  <c r="AJ39" i="4"/>
  <c r="AJ38" i="9" s="1"/>
  <c r="AR24" i="4"/>
  <c r="T29" i="4"/>
  <c r="T28" i="9" s="1"/>
  <c r="T64" i="4"/>
  <c r="Q51" i="4"/>
  <c r="Q50" i="9" s="1"/>
  <c r="Q50" i="4"/>
  <c r="Q49" i="9" s="1"/>
  <c r="E41" i="4"/>
  <c r="E8" i="4"/>
  <c r="E15" i="4"/>
  <c r="F15" i="4" s="1"/>
  <c r="G15" i="4" s="1"/>
  <c r="H15" i="4" s="1"/>
  <c r="H14" i="9" s="1"/>
  <c r="Q13" i="4"/>
  <c r="Q12" i="9" s="1"/>
  <c r="Q59" i="4"/>
  <c r="Q58" i="9" s="1"/>
  <c r="Q32" i="4"/>
  <c r="Q57" i="4"/>
  <c r="Q56" i="9" s="1"/>
  <c r="E52" i="4"/>
  <c r="E28" i="4"/>
  <c r="F28" i="4" s="1"/>
  <c r="G28" i="4" s="1"/>
  <c r="H28" i="4" s="1"/>
  <c r="T38" i="4"/>
  <c r="T37" i="9" s="1"/>
  <c r="T52" i="4"/>
  <c r="T37" i="4"/>
  <c r="T26" i="4"/>
  <c r="T25" i="9" s="1"/>
  <c r="I51" i="4"/>
  <c r="I50" i="9" s="1"/>
  <c r="F42" i="4"/>
  <c r="G42" i="4" s="1"/>
  <c r="H42" i="4" s="1"/>
  <c r="Q37" i="4"/>
  <c r="Q36" i="9" s="1"/>
  <c r="Q58" i="4"/>
  <c r="Q57" i="9" s="1"/>
  <c r="Q48" i="4"/>
  <c r="Q47" i="9" s="1"/>
  <c r="E63" i="4"/>
  <c r="F63" i="4" s="1"/>
  <c r="G63" i="4" s="1"/>
  <c r="H63" i="4" s="1"/>
  <c r="E61" i="4"/>
  <c r="F61" i="4" s="1"/>
  <c r="G61" i="4" s="1"/>
  <c r="H61" i="4" s="1"/>
  <c r="H60" i="9" s="1"/>
  <c r="E60" i="4"/>
  <c r="F60" i="4" s="1"/>
  <c r="G60" i="4" s="1"/>
  <c r="H60" i="4" s="1"/>
  <c r="E57" i="4"/>
  <c r="F57" i="4" s="1"/>
  <c r="G57" i="4" s="1"/>
  <c r="H57" i="4" s="1"/>
  <c r="E26" i="4"/>
  <c r="S19" i="4"/>
  <c r="T63" i="4"/>
  <c r="T62" i="9" s="1"/>
  <c r="T36" i="4"/>
  <c r="T35" i="9" s="1"/>
  <c r="T50" i="4"/>
  <c r="T8" i="4"/>
  <c r="T7" i="9" s="1"/>
  <c r="I47" i="4"/>
  <c r="I46" i="9" s="1"/>
  <c r="I22" i="4"/>
  <c r="I21" i="9" s="1"/>
  <c r="I14" i="4"/>
  <c r="I13" i="9" s="1"/>
  <c r="I56" i="4"/>
  <c r="I55" i="9" s="1"/>
  <c r="I20" i="4"/>
  <c r="I19" i="9" s="1"/>
  <c r="I30" i="4"/>
  <c r="I29" i="9" s="1"/>
  <c r="E36" i="4"/>
  <c r="E62" i="4"/>
  <c r="F62" i="4" s="1"/>
  <c r="G62" i="4" s="1"/>
  <c r="H62" i="4" s="1"/>
  <c r="H61" i="9" s="1"/>
  <c r="E35" i="4"/>
  <c r="F35" i="4" s="1"/>
  <c r="G35" i="4" s="1"/>
  <c r="H35" i="4" s="1"/>
  <c r="H34" i="9" s="1"/>
  <c r="E49" i="4"/>
  <c r="F49" i="4" s="1"/>
  <c r="G49" i="4" s="1"/>
  <c r="H49" i="4" s="1"/>
  <c r="H48" i="9" s="1"/>
  <c r="E34" i="4"/>
  <c r="F34" i="4" s="1"/>
  <c r="G34" i="4" s="1"/>
  <c r="H34" i="4" s="1"/>
  <c r="H33" i="9" s="1"/>
  <c r="E33" i="4"/>
  <c r="F33" i="4" s="1"/>
  <c r="G33" i="4" s="1"/>
  <c r="H33" i="4" s="1"/>
  <c r="E32" i="4"/>
  <c r="F32" i="4" s="1"/>
  <c r="G32" i="4" s="1"/>
  <c r="H32" i="4" s="1"/>
  <c r="H31" i="9" s="1"/>
  <c r="E46" i="4"/>
  <c r="F46" i="4" s="1"/>
  <c r="G46" i="4" s="1"/>
  <c r="H46" i="4" s="1"/>
  <c r="H45" i="9" s="1"/>
  <c r="E31" i="4"/>
  <c r="E55" i="4"/>
  <c r="E27" i="4"/>
  <c r="T62" i="4"/>
  <c r="T61" i="9" s="1"/>
  <c r="T61" i="4"/>
  <c r="T60" i="9" s="1"/>
  <c r="T49" i="4"/>
  <c r="T48" i="9" s="1"/>
  <c r="T33" i="4"/>
  <c r="T32" i="9" s="1"/>
  <c r="T48" i="4"/>
  <c r="T47" i="9" s="1"/>
  <c r="T44" i="4"/>
  <c r="T43" i="9" s="1"/>
  <c r="T43" i="4"/>
  <c r="T42" i="9" s="1"/>
  <c r="T28" i="4"/>
  <c r="T27" i="9" s="1"/>
  <c r="T27" i="4"/>
  <c r="T26" i="9" s="1"/>
  <c r="T18" i="4"/>
  <c r="T17" i="9" s="1"/>
  <c r="T17" i="4"/>
  <c r="T16" i="9" s="1"/>
  <c r="T10" i="4"/>
  <c r="T9" i="9" s="1"/>
  <c r="I64" i="4"/>
  <c r="I63" i="9" s="1"/>
  <c r="I38" i="4"/>
  <c r="I37" i="9" s="1"/>
  <c r="I19" i="4"/>
  <c r="I18" i="9" s="1"/>
  <c r="I11" i="4"/>
  <c r="I10" i="9" s="1"/>
  <c r="I44" i="4"/>
  <c r="I43" i="9" s="1"/>
  <c r="I48" i="4"/>
  <c r="I47" i="9" s="1"/>
  <c r="I58" i="4"/>
  <c r="I57" i="9" s="1"/>
  <c r="F16" i="4"/>
  <c r="G16" i="4" s="1"/>
  <c r="H16" i="4" s="1"/>
  <c r="H15" i="9" s="1"/>
  <c r="I37" i="4"/>
  <c r="I36" i="9" s="1"/>
  <c r="I45" i="4"/>
  <c r="I44" i="9" s="1"/>
  <c r="F12" i="4"/>
  <c r="F27" i="9"/>
  <c r="F42" i="9" l="1"/>
  <c r="F44" i="9"/>
  <c r="F46" i="9"/>
  <c r="F63" i="9"/>
  <c r="F36" i="9"/>
  <c r="AB6" i="4"/>
  <c r="AB5" i="9" s="1"/>
  <c r="G41" i="9"/>
  <c r="F47" i="9"/>
  <c r="V15" i="4"/>
  <c r="V14" i="9" s="1"/>
  <c r="F49" i="9"/>
  <c r="F32" i="9"/>
  <c r="I10" i="4"/>
  <c r="I9" i="9" s="1"/>
  <c r="F37" i="9"/>
  <c r="U35" i="4"/>
  <c r="U34" i="9" s="1"/>
  <c r="F28" i="9"/>
  <c r="E59" i="9"/>
  <c r="F50" i="9"/>
  <c r="E13" i="9"/>
  <c r="F59" i="9"/>
  <c r="U60" i="4"/>
  <c r="U59" i="9" s="1"/>
  <c r="U10" i="9"/>
  <c r="V11" i="4"/>
  <c r="V10" i="9" s="1"/>
  <c r="E25" i="9"/>
  <c r="F48" i="9"/>
  <c r="F34" i="9"/>
  <c r="U47" i="4"/>
  <c r="V47" i="4" s="1"/>
  <c r="E40" i="9"/>
  <c r="E27" i="9"/>
  <c r="E32" i="9"/>
  <c r="E60" i="9"/>
  <c r="U32" i="4"/>
  <c r="V32" i="4" s="1"/>
  <c r="U58" i="4"/>
  <c r="U57" i="9" s="1"/>
  <c r="E51" i="9"/>
  <c r="F60" i="9"/>
  <c r="I61" i="4"/>
  <c r="I60" i="9" s="1"/>
  <c r="E26" i="9"/>
  <c r="E34" i="9"/>
  <c r="F61" i="9"/>
  <c r="G34" i="9"/>
  <c r="AR38" i="9"/>
  <c r="U45" i="4"/>
  <c r="T44" i="9"/>
  <c r="I33" i="4"/>
  <c r="I32" i="9" s="1"/>
  <c r="H32" i="9"/>
  <c r="S6" i="4"/>
  <c r="S5" i="9" s="1"/>
  <c r="S18" i="9"/>
  <c r="I28" i="4"/>
  <c r="I27" i="9" s="1"/>
  <c r="H27" i="9"/>
  <c r="U31" i="4"/>
  <c r="T30" i="9"/>
  <c r="AN5" i="4"/>
  <c r="AN4" i="9" s="1"/>
  <c r="I15" i="4"/>
  <c r="I14" i="9" s="1"/>
  <c r="U38" i="4"/>
  <c r="U37" i="9" s="1"/>
  <c r="AN5" i="9"/>
  <c r="E61" i="9"/>
  <c r="AR52" i="9"/>
  <c r="U16" i="4"/>
  <c r="T15" i="9"/>
  <c r="U22" i="4"/>
  <c r="T21" i="9"/>
  <c r="U56" i="4"/>
  <c r="T55" i="9"/>
  <c r="U50" i="4"/>
  <c r="U49" i="9" s="1"/>
  <c r="T49" i="9"/>
  <c r="U21" i="4"/>
  <c r="T20" i="9"/>
  <c r="U20" i="4"/>
  <c r="T19" i="9"/>
  <c r="U14" i="4"/>
  <c r="T13" i="9"/>
  <c r="U13" i="4"/>
  <c r="T12" i="9"/>
  <c r="U34" i="4"/>
  <c r="T33" i="9"/>
  <c r="E45" i="9"/>
  <c r="F45" i="9"/>
  <c r="E48" i="9"/>
  <c r="AR23" i="9"/>
  <c r="U52" i="4"/>
  <c r="T51" i="9"/>
  <c r="I42" i="4"/>
  <c r="I41" i="9" s="1"/>
  <c r="H41" i="9"/>
  <c r="U42" i="4"/>
  <c r="T41" i="9"/>
  <c r="I60" i="4"/>
  <c r="I59" i="9" s="1"/>
  <c r="H59" i="9"/>
  <c r="Q24" i="4"/>
  <c r="Q23" i="9" s="1"/>
  <c r="Q31" i="9"/>
  <c r="U64" i="4"/>
  <c r="T63" i="9"/>
  <c r="U23" i="4"/>
  <c r="T22" i="9"/>
  <c r="U12" i="4"/>
  <c r="T11" i="9"/>
  <c r="U59" i="4"/>
  <c r="T58" i="9"/>
  <c r="AR5" i="9"/>
  <c r="F41" i="9"/>
  <c r="U41" i="4"/>
  <c r="E54" i="9"/>
  <c r="U30" i="4"/>
  <c r="T29" i="9"/>
  <c r="I63" i="4"/>
  <c r="I62" i="9" s="1"/>
  <c r="H62" i="9"/>
  <c r="U37" i="4"/>
  <c r="T36" i="9"/>
  <c r="U51" i="4"/>
  <c r="T50" i="9"/>
  <c r="U9" i="4"/>
  <c r="T8" i="9"/>
  <c r="I57" i="4"/>
  <c r="I56" i="9" s="1"/>
  <c r="H56" i="9"/>
  <c r="U46" i="4"/>
  <c r="T45" i="9"/>
  <c r="F33" i="9"/>
  <c r="U57" i="4"/>
  <c r="E33" i="9"/>
  <c r="F19" i="9"/>
  <c r="AL4" i="9"/>
  <c r="AH4" i="9"/>
  <c r="AD4" i="9"/>
  <c r="R4" i="9"/>
  <c r="N4" i="9"/>
  <c r="J4" i="9"/>
  <c r="E10" i="9"/>
  <c r="E12" i="9"/>
  <c r="E16" i="9"/>
  <c r="E20" i="9"/>
  <c r="E29" i="9"/>
  <c r="E55" i="9"/>
  <c r="E35" i="9"/>
  <c r="F8" i="9"/>
  <c r="AQ4" i="9"/>
  <c r="AM4" i="9"/>
  <c r="AI4" i="9"/>
  <c r="AE4" i="9"/>
  <c r="O4" i="9"/>
  <c r="K4" i="9"/>
  <c r="C4" i="9"/>
  <c r="E11" i="9"/>
  <c r="E17" i="9"/>
  <c r="E21" i="9"/>
  <c r="E30" i="9"/>
  <c r="E43" i="9"/>
  <c r="E56" i="9"/>
  <c r="E31" i="9"/>
  <c r="E58" i="9"/>
  <c r="E62" i="9"/>
  <c r="G8" i="9"/>
  <c r="F14" i="9"/>
  <c r="F10" i="9"/>
  <c r="G49" i="9"/>
  <c r="E7" i="9"/>
  <c r="D52" i="9"/>
  <c r="D5" i="9"/>
  <c r="F17" i="9"/>
  <c r="F12" i="9"/>
  <c r="F18" i="9"/>
  <c r="F16" i="9"/>
  <c r="G57" i="9"/>
  <c r="F57" i="9"/>
  <c r="F15" i="9"/>
  <c r="D38" i="9"/>
  <c r="D23" i="9"/>
  <c r="L4" i="9"/>
  <c r="B4" i="9"/>
  <c r="E14" i="9"/>
  <c r="E18" i="9"/>
  <c r="F22" i="9"/>
  <c r="AO4" i="9"/>
  <c r="AK4" i="9"/>
  <c r="AG4" i="9"/>
  <c r="AC4" i="9"/>
  <c r="M4" i="9"/>
  <c r="E9" i="9"/>
  <c r="E15" i="9"/>
  <c r="E19" i="9"/>
  <c r="AT4" i="9"/>
  <c r="AU4" i="9"/>
  <c r="AS4" i="9"/>
  <c r="F26" i="4"/>
  <c r="F25" i="9" s="1"/>
  <c r="E24" i="4"/>
  <c r="F8" i="4"/>
  <c r="E6" i="4"/>
  <c r="F41" i="4"/>
  <c r="F40" i="9" s="1"/>
  <c r="E39" i="4"/>
  <c r="T24" i="4"/>
  <c r="T23" i="9" s="1"/>
  <c r="Q6" i="4"/>
  <c r="Q5" i="9" s="1"/>
  <c r="T39" i="4"/>
  <c r="T38" i="9" s="1"/>
  <c r="F55" i="4"/>
  <c r="E53" i="4"/>
  <c r="AF5" i="4"/>
  <c r="AF4" i="9" s="1"/>
  <c r="AA5" i="4"/>
  <c r="AA4" i="9" s="1"/>
  <c r="P5" i="4"/>
  <c r="P4" i="9" s="1"/>
  <c r="U55" i="4"/>
  <c r="U54" i="9" s="1"/>
  <c r="T53" i="4"/>
  <c r="T52" i="9" s="1"/>
  <c r="AR5" i="4"/>
  <c r="AR4" i="9" s="1"/>
  <c r="AP5" i="4"/>
  <c r="AP4" i="9" s="1"/>
  <c r="AJ5" i="4"/>
  <c r="AJ4" i="9" s="1"/>
  <c r="D5" i="4"/>
  <c r="Q53" i="4"/>
  <c r="Q52" i="9" s="1"/>
  <c r="Q39" i="4"/>
  <c r="Q38" i="9" s="1"/>
  <c r="U29" i="4"/>
  <c r="U28" i="9" s="1"/>
  <c r="U26" i="4"/>
  <c r="U25" i="9" s="1"/>
  <c r="I34" i="4"/>
  <c r="I33" i="9" s="1"/>
  <c r="F52" i="4"/>
  <c r="G52" i="4" s="1"/>
  <c r="H52" i="4" s="1"/>
  <c r="H51" i="9" s="1"/>
  <c r="I62" i="4"/>
  <c r="I61" i="9" s="1"/>
  <c r="T19" i="4"/>
  <c r="T18" i="9" s="1"/>
  <c r="U63" i="4"/>
  <c r="U62" i="9" s="1"/>
  <c r="F27" i="4"/>
  <c r="F26" i="9" s="1"/>
  <c r="U8" i="4"/>
  <c r="U7" i="9" s="1"/>
  <c r="U36" i="4"/>
  <c r="U35" i="9" s="1"/>
  <c r="U10" i="4"/>
  <c r="U9" i="9" s="1"/>
  <c r="U18" i="4"/>
  <c r="U17" i="9" s="1"/>
  <c r="U28" i="4"/>
  <c r="U27" i="9" s="1"/>
  <c r="U44" i="4"/>
  <c r="U43" i="9" s="1"/>
  <c r="U33" i="4"/>
  <c r="U32" i="9" s="1"/>
  <c r="U49" i="4"/>
  <c r="U48" i="9" s="1"/>
  <c r="U62" i="4"/>
  <c r="U61" i="9" s="1"/>
  <c r="I46" i="4"/>
  <c r="I45" i="9" s="1"/>
  <c r="I49" i="4"/>
  <c r="I48" i="9" s="1"/>
  <c r="U17" i="4"/>
  <c r="U16" i="9" s="1"/>
  <c r="U27" i="4"/>
  <c r="U26" i="9" s="1"/>
  <c r="U43" i="4"/>
  <c r="U42" i="9" s="1"/>
  <c r="U48" i="4"/>
  <c r="U47" i="9" s="1"/>
  <c r="U61" i="4"/>
  <c r="U60" i="9" s="1"/>
  <c r="F31" i="4"/>
  <c r="G31" i="4" s="1"/>
  <c r="H31" i="4" s="1"/>
  <c r="H30" i="9" s="1"/>
  <c r="I32" i="4"/>
  <c r="I31" i="9" s="1"/>
  <c r="I35" i="4"/>
  <c r="I34" i="9" s="1"/>
  <c r="F36" i="4"/>
  <c r="G36" i="4" s="1"/>
  <c r="H36" i="4" s="1"/>
  <c r="H35" i="9" s="1"/>
  <c r="G12" i="4"/>
  <c r="I16" i="4"/>
  <c r="I15" i="9" s="1"/>
  <c r="G32" i="9"/>
  <c r="G27" i="9"/>
  <c r="G45" i="9"/>
  <c r="G60" i="9"/>
  <c r="G63" i="9"/>
  <c r="G42" i="9"/>
  <c r="G44" i="9"/>
  <c r="G48" i="9"/>
  <c r="G61" i="9"/>
  <c r="G33" i="9"/>
  <c r="AB5" i="4" l="1"/>
  <c r="AB4" i="9" s="1"/>
  <c r="G28" i="9"/>
  <c r="G46" i="9"/>
  <c r="E23" i="9"/>
  <c r="G36" i="9"/>
  <c r="G59" i="9"/>
  <c r="W15" i="4"/>
  <c r="W14" i="9" s="1"/>
  <c r="G47" i="9"/>
  <c r="V35" i="4"/>
  <c r="G50" i="9"/>
  <c r="F54" i="9"/>
  <c r="W11" i="4"/>
  <c r="W10" i="9" s="1"/>
  <c r="E38" i="9"/>
  <c r="E52" i="9"/>
  <c r="G37" i="9"/>
  <c r="V60" i="4"/>
  <c r="V59" i="9" s="1"/>
  <c r="S5" i="4"/>
  <c r="S4" i="9" s="1"/>
  <c r="G51" i="9"/>
  <c r="F13" i="9"/>
  <c r="U46" i="9"/>
  <c r="V58" i="4"/>
  <c r="V57" i="9" s="1"/>
  <c r="U31" i="9"/>
  <c r="U30" i="9"/>
  <c r="V31" i="4"/>
  <c r="V21" i="4"/>
  <c r="U20" i="9"/>
  <c r="V12" i="4"/>
  <c r="U11" i="9"/>
  <c r="U13" i="9"/>
  <c r="V14" i="4"/>
  <c r="U55" i="9"/>
  <c r="V56" i="4"/>
  <c r="U44" i="9"/>
  <c r="V45" i="4"/>
  <c r="U50" i="9"/>
  <c r="V51" i="4"/>
  <c r="U40" i="9"/>
  <c r="V41" i="4"/>
  <c r="V38" i="4"/>
  <c r="V37" i="9" s="1"/>
  <c r="V57" i="4"/>
  <c r="U56" i="9"/>
  <c r="U15" i="9"/>
  <c r="V16" i="4"/>
  <c r="V9" i="4"/>
  <c r="U8" i="9"/>
  <c r="V59" i="4"/>
  <c r="U58" i="9"/>
  <c r="V52" i="4"/>
  <c r="U51" i="9"/>
  <c r="U12" i="9"/>
  <c r="V13" i="4"/>
  <c r="V30" i="4"/>
  <c r="U29" i="9"/>
  <c r="W32" i="4"/>
  <c r="V31" i="9"/>
  <c r="U63" i="9"/>
  <c r="V64" i="4"/>
  <c r="U33" i="9"/>
  <c r="V34" i="4"/>
  <c r="U22" i="9"/>
  <c r="V23" i="4"/>
  <c r="V42" i="4"/>
  <c r="U41" i="9"/>
  <c r="U19" i="9"/>
  <c r="V20" i="4"/>
  <c r="U21" i="9"/>
  <c r="V22" i="4"/>
  <c r="V46" i="9"/>
  <c r="W47" i="4"/>
  <c r="V46" i="4"/>
  <c r="U45" i="9"/>
  <c r="V37" i="4"/>
  <c r="U36" i="9"/>
  <c r="V50" i="4"/>
  <c r="V49" i="9" s="1"/>
  <c r="F51" i="9"/>
  <c r="G17" i="9"/>
  <c r="F7" i="9"/>
  <c r="G12" i="9"/>
  <c r="G18" i="9"/>
  <c r="G19" i="9"/>
  <c r="G15" i="9"/>
  <c r="F9" i="9"/>
  <c r="G16" i="9"/>
  <c r="E5" i="9"/>
  <c r="F21" i="9"/>
  <c r="F20" i="9"/>
  <c r="G14" i="9"/>
  <c r="D4" i="9"/>
  <c r="G22" i="9"/>
  <c r="G10" i="9"/>
  <c r="G62" i="9"/>
  <c r="F62" i="9"/>
  <c r="F58" i="9"/>
  <c r="G58" i="9"/>
  <c r="F31" i="9"/>
  <c r="G31" i="9"/>
  <c r="F56" i="9"/>
  <c r="G56" i="9"/>
  <c r="G43" i="9"/>
  <c r="F43" i="9"/>
  <c r="G30" i="9"/>
  <c r="F30" i="9"/>
  <c r="F11" i="9"/>
  <c r="G35" i="9"/>
  <c r="F35" i="9"/>
  <c r="G55" i="9"/>
  <c r="F55" i="9"/>
  <c r="G29" i="9"/>
  <c r="F29" i="9"/>
  <c r="V55" i="4"/>
  <c r="V54" i="9" s="1"/>
  <c r="U53" i="4"/>
  <c r="U52" i="9" s="1"/>
  <c r="G55" i="4"/>
  <c r="G54" i="9" s="1"/>
  <c r="F53" i="4"/>
  <c r="G41" i="4"/>
  <c r="G40" i="9" s="1"/>
  <c r="F39" i="4"/>
  <c r="G8" i="4"/>
  <c r="F6" i="4"/>
  <c r="G26" i="4"/>
  <c r="G25" i="9" s="1"/>
  <c r="F24" i="4"/>
  <c r="Q5" i="4"/>
  <c r="Q4" i="9" s="1"/>
  <c r="U24" i="4"/>
  <c r="U23" i="9" s="1"/>
  <c r="U39" i="4"/>
  <c r="U38" i="9" s="1"/>
  <c r="T6" i="4"/>
  <c r="T5" i="9" s="1"/>
  <c r="E5" i="4"/>
  <c r="V29" i="4"/>
  <c r="V28" i="9" s="1"/>
  <c r="I52" i="4"/>
  <c r="I51" i="9" s="1"/>
  <c r="V26" i="4"/>
  <c r="V25" i="9" s="1"/>
  <c r="V36" i="4"/>
  <c r="V35" i="9" s="1"/>
  <c r="G27" i="4"/>
  <c r="H27" i="4" s="1"/>
  <c r="H26" i="9" s="1"/>
  <c r="U19" i="4"/>
  <c r="V8" i="4"/>
  <c r="V7" i="9" s="1"/>
  <c r="V63" i="4"/>
  <c r="V62" i="9" s="1"/>
  <c r="I36" i="4"/>
  <c r="I35" i="9" s="1"/>
  <c r="I31" i="4"/>
  <c r="I30" i="9" s="1"/>
  <c r="V48" i="4"/>
  <c r="V47" i="9" s="1"/>
  <c r="V17" i="4"/>
  <c r="V16" i="9" s="1"/>
  <c r="V62" i="4"/>
  <c r="V61" i="9" s="1"/>
  <c r="V44" i="4"/>
  <c r="V43" i="9" s="1"/>
  <c r="V28" i="4"/>
  <c r="V27" i="9" s="1"/>
  <c r="V18" i="4"/>
  <c r="V17" i="9" s="1"/>
  <c r="V10" i="4"/>
  <c r="V9" i="9" s="1"/>
  <c r="V61" i="4"/>
  <c r="V60" i="9" s="1"/>
  <c r="V43" i="4"/>
  <c r="V42" i="9" s="1"/>
  <c r="V27" i="4"/>
  <c r="V26" i="9" s="1"/>
  <c r="V49" i="4"/>
  <c r="V48" i="9" s="1"/>
  <c r="V33" i="4"/>
  <c r="V32" i="9" s="1"/>
  <c r="H12" i="4"/>
  <c r="H11" i="9" s="1"/>
  <c r="W58" i="4" l="1"/>
  <c r="W57" i="9" s="1"/>
  <c r="X15" i="4"/>
  <c r="X14" i="9" s="1"/>
  <c r="X11" i="4"/>
  <c r="X10" i="9" s="1"/>
  <c r="F52" i="9"/>
  <c r="F23" i="9"/>
  <c r="V34" i="9"/>
  <c r="W35" i="4"/>
  <c r="F38" i="9"/>
  <c r="E4" i="9"/>
  <c r="W60" i="4"/>
  <c r="W59" i="9" s="1"/>
  <c r="W50" i="4"/>
  <c r="X50" i="4" s="1"/>
  <c r="G13" i="9"/>
  <c r="G26" i="9"/>
  <c r="W46" i="9"/>
  <c r="X47" i="4"/>
  <c r="V22" i="9"/>
  <c r="W23" i="4"/>
  <c r="U6" i="4"/>
  <c r="U5" i="9" s="1"/>
  <c r="U18" i="9"/>
  <c r="W46" i="4"/>
  <c r="V45" i="9"/>
  <c r="W42" i="4"/>
  <c r="V41" i="9"/>
  <c r="X32" i="4"/>
  <c r="W31" i="9"/>
  <c r="W59" i="4"/>
  <c r="V58" i="9"/>
  <c r="V55" i="9"/>
  <c r="W56" i="4"/>
  <c r="V30" i="9"/>
  <c r="W31" i="4"/>
  <c r="W38" i="4"/>
  <c r="W37" i="9" s="1"/>
  <c r="V20" i="9"/>
  <c r="W21" i="4"/>
  <c r="W57" i="4"/>
  <c r="V56" i="9"/>
  <c r="V50" i="9"/>
  <c r="W51" i="4"/>
  <c r="W37" i="4"/>
  <c r="V36" i="9"/>
  <c r="V51" i="9"/>
  <c r="W52" i="4"/>
  <c r="V44" i="9"/>
  <c r="W45" i="4"/>
  <c r="V63" i="9"/>
  <c r="W64" i="4"/>
  <c r="V19" i="9"/>
  <c r="W20" i="4"/>
  <c r="W12" i="4"/>
  <c r="V11" i="9"/>
  <c r="V21" i="9"/>
  <c r="W22" i="4"/>
  <c r="V33" i="9"/>
  <c r="W34" i="4"/>
  <c r="V12" i="9"/>
  <c r="W13" i="4"/>
  <c r="W16" i="4"/>
  <c r="V15" i="9"/>
  <c r="V29" i="9"/>
  <c r="W30" i="4"/>
  <c r="W9" i="4"/>
  <c r="V8" i="9"/>
  <c r="V40" i="9"/>
  <c r="W41" i="4"/>
  <c r="V13" i="9"/>
  <c r="W14" i="4"/>
  <c r="G20" i="9"/>
  <c r="G9" i="9"/>
  <c r="F5" i="9"/>
  <c r="G7" i="9"/>
  <c r="G11" i="9"/>
  <c r="G21" i="9"/>
  <c r="H26" i="4"/>
  <c r="H25" i="9" s="1"/>
  <c r="G24" i="4"/>
  <c r="G6" i="4"/>
  <c r="H8" i="4"/>
  <c r="H7" i="9" s="1"/>
  <c r="H41" i="4"/>
  <c r="H40" i="9" s="1"/>
  <c r="G39" i="4"/>
  <c r="H55" i="4"/>
  <c r="H54" i="9" s="1"/>
  <c r="G53" i="4"/>
  <c r="W55" i="4"/>
  <c r="W54" i="9" s="1"/>
  <c r="V53" i="4"/>
  <c r="V52" i="9" s="1"/>
  <c r="V24" i="4"/>
  <c r="V23" i="9" s="1"/>
  <c r="V39" i="4"/>
  <c r="V38" i="9" s="1"/>
  <c r="T5" i="4"/>
  <c r="T4" i="9" s="1"/>
  <c r="F5" i="4"/>
  <c r="W29" i="4"/>
  <c r="W28" i="9" s="1"/>
  <c r="W26" i="4"/>
  <c r="W25" i="9" s="1"/>
  <c r="I27" i="4"/>
  <c r="I26" i="9" s="1"/>
  <c r="W36" i="4"/>
  <c r="W35" i="9" s="1"/>
  <c r="V19" i="4"/>
  <c r="X58" i="4"/>
  <c r="X57" i="9" s="1"/>
  <c r="W63" i="4"/>
  <c r="W62" i="9" s="1"/>
  <c r="W8" i="4"/>
  <c r="W7" i="9" s="1"/>
  <c r="W33" i="4"/>
  <c r="W32" i="9" s="1"/>
  <c r="W49" i="4"/>
  <c r="W48" i="9" s="1"/>
  <c r="W27" i="4"/>
  <c r="W26" i="9" s="1"/>
  <c r="W43" i="4"/>
  <c r="W42" i="9" s="1"/>
  <c r="W61" i="4"/>
  <c r="W60" i="9" s="1"/>
  <c r="W62" i="4"/>
  <c r="W61" i="9" s="1"/>
  <c r="W17" i="4"/>
  <c r="W16" i="9" s="1"/>
  <c r="W48" i="4"/>
  <c r="W47" i="9" s="1"/>
  <c r="Y11" i="4"/>
  <c r="Y10" i="9" s="1"/>
  <c r="W10" i="4"/>
  <c r="W9" i="9" s="1"/>
  <c r="W18" i="4"/>
  <c r="W17" i="9" s="1"/>
  <c r="W28" i="4"/>
  <c r="W27" i="9" s="1"/>
  <c r="W44" i="4"/>
  <c r="W43" i="9" s="1"/>
  <c r="I12" i="4"/>
  <c r="I11" i="9" s="1"/>
  <c r="Y15" i="4"/>
  <c r="Y14" i="9" s="1"/>
  <c r="W49" i="9" l="1"/>
  <c r="G52" i="9"/>
  <c r="W34" i="9"/>
  <c r="X35" i="4"/>
  <c r="X60" i="4"/>
  <c r="X59" i="9" s="1"/>
  <c r="W29" i="9"/>
  <c r="X30" i="4"/>
  <c r="W21" i="9"/>
  <c r="X22" i="4"/>
  <c r="W63" i="9"/>
  <c r="X64" i="4"/>
  <c r="W50" i="9"/>
  <c r="X51" i="4"/>
  <c r="W41" i="9"/>
  <c r="X42" i="4"/>
  <c r="W8" i="9"/>
  <c r="X9" i="4"/>
  <c r="X49" i="9"/>
  <c r="Y50" i="4"/>
  <c r="W36" i="9"/>
  <c r="X37" i="4"/>
  <c r="W30" i="9"/>
  <c r="X31" i="4"/>
  <c r="X46" i="9"/>
  <c r="Y47" i="4"/>
  <c r="U5" i="4"/>
  <c r="U4" i="9" s="1"/>
  <c r="W33" i="9"/>
  <c r="X34" i="4"/>
  <c r="Y32" i="4"/>
  <c r="X31" i="9"/>
  <c r="W40" i="9"/>
  <c r="X41" i="4"/>
  <c r="X13" i="4"/>
  <c r="W12" i="9"/>
  <c r="W51" i="9"/>
  <c r="X52" i="4"/>
  <c r="W20" i="9"/>
  <c r="X21" i="4"/>
  <c r="X59" i="4"/>
  <c r="W58" i="9"/>
  <c r="X12" i="4"/>
  <c r="W11" i="9"/>
  <c r="W13" i="9"/>
  <c r="X14" i="4"/>
  <c r="W44" i="9"/>
  <c r="X45" i="4"/>
  <c r="W45" i="9"/>
  <c r="X46" i="4"/>
  <c r="X38" i="4"/>
  <c r="X37" i="9" s="1"/>
  <c r="W22" i="9"/>
  <c r="X23" i="4"/>
  <c r="V6" i="4"/>
  <c r="V5" i="9" s="1"/>
  <c r="V18" i="9"/>
  <c r="W19" i="9"/>
  <c r="X20" i="4"/>
  <c r="W15" i="9"/>
  <c r="X16" i="4"/>
  <c r="X57" i="4"/>
  <c r="W56" i="9"/>
  <c r="W55" i="9"/>
  <c r="X56" i="4"/>
  <c r="G38" i="9"/>
  <c r="F4" i="9"/>
  <c r="G5" i="9"/>
  <c r="G23" i="9"/>
  <c r="X55" i="4"/>
  <c r="X54" i="9" s="1"/>
  <c r="W53" i="4"/>
  <c r="W52" i="9" s="1"/>
  <c r="H53" i="4"/>
  <c r="H52" i="9" s="1"/>
  <c r="I55" i="4"/>
  <c r="I54" i="9" s="1"/>
  <c r="H39" i="4"/>
  <c r="H38" i="9" s="1"/>
  <c r="I41" i="4"/>
  <c r="I40" i="9" s="1"/>
  <c r="I26" i="4"/>
  <c r="I25" i="9" s="1"/>
  <c r="H24" i="4"/>
  <c r="H23" i="9" s="1"/>
  <c r="W24" i="4"/>
  <c r="W23" i="9" s="1"/>
  <c r="G5" i="4"/>
  <c r="W39" i="4"/>
  <c r="W38" i="9" s="1"/>
  <c r="H6" i="4"/>
  <c r="H5" i="9" s="1"/>
  <c r="I8" i="4"/>
  <c r="I7" i="9" s="1"/>
  <c r="X29" i="4"/>
  <c r="X28" i="9" s="1"/>
  <c r="X26" i="4"/>
  <c r="X25" i="9" s="1"/>
  <c r="W19" i="4"/>
  <c r="X36" i="4"/>
  <c r="X35" i="9" s="1"/>
  <c r="Y58" i="4"/>
  <c r="Y57" i="9" s="1"/>
  <c r="X63" i="4"/>
  <c r="X62" i="9" s="1"/>
  <c r="X8" i="4"/>
  <c r="X7" i="9" s="1"/>
  <c r="X44" i="4"/>
  <c r="X43" i="9" s="1"/>
  <c r="X28" i="4"/>
  <c r="X27" i="9" s="1"/>
  <c r="X18" i="4"/>
  <c r="X17" i="9" s="1"/>
  <c r="Z11" i="4"/>
  <c r="Z10" i="9" s="1"/>
  <c r="X33" i="4"/>
  <c r="X32" i="9" s="1"/>
  <c r="X10" i="4"/>
  <c r="X9" i="9" s="1"/>
  <c r="X48" i="4"/>
  <c r="X47" i="9" s="1"/>
  <c r="X17" i="4"/>
  <c r="X16" i="9" s="1"/>
  <c r="X62" i="4"/>
  <c r="X61" i="9" s="1"/>
  <c r="X61" i="4"/>
  <c r="X60" i="9" s="1"/>
  <c r="X43" i="4"/>
  <c r="X42" i="9" s="1"/>
  <c r="X27" i="4"/>
  <c r="X26" i="9" s="1"/>
  <c r="X49" i="4"/>
  <c r="X48" i="9" s="1"/>
  <c r="Z15" i="4"/>
  <c r="Z14" i="9" s="1"/>
  <c r="Y60" i="4" l="1"/>
  <c r="Y59" i="9" s="1"/>
  <c r="X34" i="9"/>
  <c r="Y35" i="4"/>
  <c r="Y38" i="4"/>
  <c r="Y37" i="9" s="1"/>
  <c r="V5" i="4"/>
  <c r="V4" i="9" s="1"/>
  <c r="X44" i="9"/>
  <c r="Y45" i="4"/>
  <c r="X20" i="9"/>
  <c r="Y21" i="4"/>
  <c r="W6" i="4"/>
  <c r="W5" i="9" s="1"/>
  <c r="W18" i="9"/>
  <c r="X19" i="9"/>
  <c r="Y20" i="4"/>
  <c r="Y59" i="4"/>
  <c r="X58" i="9"/>
  <c r="X30" i="9"/>
  <c r="Y31" i="4"/>
  <c r="X41" i="9"/>
  <c r="Y42" i="4"/>
  <c r="X29" i="9"/>
  <c r="Y30" i="4"/>
  <c r="X21" i="9"/>
  <c r="Y22" i="4"/>
  <c r="X22" i="9"/>
  <c r="Y23" i="4"/>
  <c r="Y49" i="9"/>
  <c r="Z50" i="4"/>
  <c r="Z49" i="9" s="1"/>
  <c r="X63" i="9"/>
  <c r="Y64" i="4"/>
  <c r="X15" i="9"/>
  <c r="Y16" i="4"/>
  <c r="X12" i="9"/>
  <c r="Y13" i="4"/>
  <c r="Y9" i="4"/>
  <c r="X8" i="9"/>
  <c r="X13" i="9"/>
  <c r="Y14" i="4"/>
  <c r="X51" i="9"/>
  <c r="Y52" i="4"/>
  <c r="X33" i="9"/>
  <c r="Y34" i="4"/>
  <c r="X45" i="9"/>
  <c r="Y46" i="4"/>
  <c r="X40" i="9"/>
  <c r="Y41" i="4"/>
  <c r="X11" i="9"/>
  <c r="Y12" i="4"/>
  <c r="Y46" i="9"/>
  <c r="Z47" i="4"/>
  <c r="Z46" i="9" s="1"/>
  <c r="Y57" i="4"/>
  <c r="X56" i="9"/>
  <c r="X55" i="9"/>
  <c r="Y56" i="4"/>
  <c r="Y31" i="9"/>
  <c r="Z32" i="4"/>
  <c r="Z31" i="9" s="1"/>
  <c r="X36" i="9"/>
  <c r="Y37" i="4"/>
  <c r="X50" i="9"/>
  <c r="Y51" i="4"/>
  <c r="G4" i="9"/>
  <c r="I6" i="4"/>
  <c r="I5" i="9" s="1"/>
  <c r="I24" i="4"/>
  <c r="I23" i="9" s="1"/>
  <c r="I39" i="4"/>
  <c r="I38" i="9" s="1"/>
  <c r="Y55" i="4"/>
  <c r="Y54" i="9" s="1"/>
  <c r="X53" i="4"/>
  <c r="X52" i="9" s="1"/>
  <c r="X24" i="4"/>
  <c r="X23" i="9" s="1"/>
  <c r="X39" i="4"/>
  <c r="X38" i="9" s="1"/>
  <c r="H5" i="4"/>
  <c r="H4" i="9" s="1"/>
  <c r="I53" i="4"/>
  <c r="I52" i="9" s="1"/>
  <c r="Y29" i="4"/>
  <c r="Y28" i="9" s="1"/>
  <c r="Y26" i="4"/>
  <c r="Y25" i="9" s="1"/>
  <c r="Y36" i="4"/>
  <c r="Y35" i="9" s="1"/>
  <c r="X19" i="4"/>
  <c r="Z58" i="4"/>
  <c r="Z57" i="9" s="1"/>
  <c r="Y8" i="4"/>
  <c r="Y7" i="9" s="1"/>
  <c r="Y63" i="4"/>
  <c r="Y62" i="9" s="1"/>
  <c r="Y61" i="4"/>
  <c r="Y60" i="9" s="1"/>
  <c r="Y62" i="4"/>
  <c r="Y61" i="9" s="1"/>
  <c r="Y17" i="4"/>
  <c r="Y16" i="9" s="1"/>
  <c r="Y48" i="4"/>
  <c r="Y47" i="9" s="1"/>
  <c r="Z60" i="4"/>
  <c r="Z59" i="9" s="1"/>
  <c r="Y28" i="4"/>
  <c r="Y27" i="9" s="1"/>
  <c r="Y49" i="4"/>
  <c r="Y48" i="9" s="1"/>
  <c r="Y27" i="4"/>
  <c r="Y26" i="9" s="1"/>
  <c r="Y43" i="4"/>
  <c r="Y42" i="9" s="1"/>
  <c r="Y10" i="4"/>
  <c r="Y9" i="9" s="1"/>
  <c r="Y33" i="4"/>
  <c r="Y32" i="9" s="1"/>
  <c r="Y18" i="4"/>
  <c r="Y17" i="9" s="1"/>
  <c r="Y44" i="4"/>
  <c r="Y43" i="9" s="1"/>
  <c r="Z38" i="4" l="1"/>
  <c r="Z37" i="9" s="1"/>
  <c r="Y34" i="9"/>
  <c r="Z35" i="4"/>
  <c r="Z34" i="9" s="1"/>
  <c r="W5" i="4"/>
  <c r="W4" i="9" s="1"/>
  <c r="Y58" i="9"/>
  <c r="Z59" i="4"/>
  <c r="Z58" i="9" s="1"/>
  <c r="Y11" i="9"/>
  <c r="Z12" i="4"/>
  <c r="Z11" i="9" s="1"/>
  <c r="Y51" i="9"/>
  <c r="Z52" i="4"/>
  <c r="Z51" i="9" s="1"/>
  <c r="Y15" i="9"/>
  <c r="Z16" i="4"/>
  <c r="Z15" i="9" s="1"/>
  <c r="Y21" i="9"/>
  <c r="Z22" i="4"/>
  <c r="Z21" i="9" s="1"/>
  <c r="Y44" i="9"/>
  <c r="Z45" i="4"/>
  <c r="Z44" i="9" s="1"/>
  <c r="Y12" i="9"/>
  <c r="Z13" i="4"/>
  <c r="Z12" i="9" s="1"/>
  <c r="Y22" i="9"/>
  <c r="Z23" i="4"/>
  <c r="Z22" i="9" s="1"/>
  <c r="Y20" i="9"/>
  <c r="Z21" i="4"/>
  <c r="Z20" i="9" s="1"/>
  <c r="Y56" i="9"/>
  <c r="Z57" i="4"/>
  <c r="Z56" i="9" s="1"/>
  <c r="Z9" i="4"/>
  <c r="Z8" i="9" s="1"/>
  <c r="Y8" i="9"/>
  <c r="X6" i="4"/>
  <c r="X5" i="9" s="1"/>
  <c r="X18" i="9"/>
  <c r="Y50" i="9"/>
  <c r="Z51" i="4"/>
  <c r="Z50" i="9" s="1"/>
  <c r="Y45" i="9"/>
  <c r="Z46" i="4"/>
  <c r="Z45" i="9" s="1"/>
  <c r="Y41" i="9"/>
  <c r="Z42" i="4"/>
  <c r="Z41" i="9" s="1"/>
  <c r="Y36" i="9"/>
  <c r="Z37" i="4"/>
  <c r="Z36" i="9" s="1"/>
  <c r="Y33" i="9"/>
  <c r="Z34" i="4"/>
  <c r="Z33" i="9" s="1"/>
  <c r="Y30" i="9"/>
  <c r="Z31" i="4"/>
  <c r="Z30" i="9" s="1"/>
  <c r="Y55" i="9"/>
  <c r="Z56" i="4"/>
  <c r="Z55" i="9" s="1"/>
  <c r="Y40" i="9"/>
  <c r="Z41" i="4"/>
  <c r="Z40" i="9" s="1"/>
  <c r="Y13" i="9"/>
  <c r="Z14" i="4"/>
  <c r="Z13" i="9" s="1"/>
  <c r="Y63" i="9"/>
  <c r="Z64" i="4"/>
  <c r="Z63" i="9" s="1"/>
  <c r="Y29" i="9"/>
  <c r="Z30" i="4"/>
  <c r="Z29" i="9" s="1"/>
  <c r="Y19" i="9"/>
  <c r="Z20" i="4"/>
  <c r="Z19" i="9" s="1"/>
  <c r="Y53" i="4"/>
  <c r="Y52" i="9" s="1"/>
  <c r="Z55" i="4"/>
  <c r="Z54" i="9" s="1"/>
  <c r="Y39" i="4"/>
  <c r="Y38" i="9" s="1"/>
  <c r="Y24" i="4"/>
  <c r="Y23" i="9" s="1"/>
  <c r="I5" i="4"/>
  <c r="I4" i="9" s="1"/>
  <c r="Z29" i="4"/>
  <c r="Z28" i="9" s="1"/>
  <c r="Z26" i="4"/>
  <c r="Z25" i="9" s="1"/>
  <c r="Y19" i="4"/>
  <c r="Z36" i="4"/>
  <c r="Z35" i="9" s="1"/>
  <c r="Z63" i="4"/>
  <c r="Z62" i="9" s="1"/>
  <c r="Z8" i="4"/>
  <c r="Z7" i="9" s="1"/>
  <c r="Z44" i="4"/>
  <c r="Z43" i="9" s="1"/>
  <c r="Z33" i="4"/>
  <c r="Z32" i="9" s="1"/>
  <c r="Z43" i="4"/>
  <c r="Z42" i="9" s="1"/>
  <c r="Z27" i="4"/>
  <c r="Z26" i="9" s="1"/>
  <c r="Z49" i="4"/>
  <c r="Z48" i="9" s="1"/>
  <c r="Z28" i="4"/>
  <c r="Z27" i="9" s="1"/>
  <c r="Z17" i="4"/>
  <c r="Z16" i="9" s="1"/>
  <c r="Z18" i="4"/>
  <c r="Z17" i="9" s="1"/>
  <c r="Z10" i="4"/>
  <c r="Z9" i="9" s="1"/>
  <c r="Z48" i="4"/>
  <c r="Z47" i="9" s="1"/>
  <c r="Z62" i="4"/>
  <c r="Z61" i="9" s="1"/>
  <c r="Z61" i="4"/>
  <c r="Z60" i="9" s="1"/>
  <c r="X5" i="4" l="1"/>
  <c r="X4" i="9" s="1"/>
  <c r="Y6" i="4"/>
  <c r="Y5" i="9" s="1"/>
  <c r="Y18" i="9"/>
  <c r="Z39" i="4"/>
  <c r="Z38" i="9" s="1"/>
  <c r="Z24" i="4"/>
  <c r="Z23" i="9" s="1"/>
  <c r="Z53" i="4"/>
  <c r="Z52" i="9" s="1"/>
  <c r="Z19" i="4"/>
  <c r="Y5" i="4" l="1"/>
  <c r="Y4" i="9" s="1"/>
  <c r="Z6" i="4"/>
  <c r="Z5" i="9" s="1"/>
  <c r="Z18" i="9"/>
  <c r="Z5" i="4" l="1"/>
  <c r="Z4"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Alicia A. Diaz</author>
  </authors>
  <commentList>
    <comment ref="A1" authorId="0" shapeId="0" xr:uid="{00000000-0006-0000-0A00-000001000000}">
      <text>
        <r>
          <rPr>
            <sz val="8"/>
            <color indexed="81"/>
            <rFont val="Tahoma"/>
            <family val="2"/>
          </rPr>
          <t>Averaged freshman graduation rate (AFGR) is an estimate of the percentage of an entering freshman class graduating in 4 years. It equals the total number of diploma recipients in a year divided by the average membership of the 8th-grade class in four years prior, the 9th-grade class  three years prior, and the 10th-grade class two years prior.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C4" authorId="0" shapeId="0" xr:uid="{00000000-0006-0000-0500-000001000000}">
      <text>
        <r>
          <rPr>
            <b/>
            <sz val="10"/>
            <color indexed="81"/>
            <rFont val="Tahoma"/>
            <family val="2"/>
          </rPr>
          <t>jmarks:</t>
        </r>
        <r>
          <rPr>
            <sz val="10"/>
            <color indexed="81"/>
            <rFont val="Tahoma"/>
            <family val="2"/>
          </rPr>
          <t xml:space="preserve">
extrapolated</t>
        </r>
      </text>
    </comment>
    <comment ref="H4" authorId="0" shapeId="0" xr:uid="{00000000-0006-0000-0500-000002000000}">
      <text>
        <r>
          <rPr>
            <b/>
            <sz val="10"/>
            <color indexed="81"/>
            <rFont val="Tahoma"/>
            <family val="2"/>
          </rPr>
          <t>jmarks:</t>
        </r>
        <r>
          <rPr>
            <sz val="10"/>
            <color indexed="81"/>
            <rFont val="Tahoma"/>
            <family val="2"/>
          </rPr>
          <t xml:space="preserve">
extrapolated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A19" authorId="0" shapeId="0" xr:uid="{00000000-0006-0000-0600-000001000000}">
      <text>
        <r>
          <rPr>
            <sz val="8"/>
            <color indexed="81"/>
            <rFont val="Tahoma"/>
            <family val="2"/>
          </rPr>
          <t>jmarks: NCES published 4,770 with a standard error of 2,099) so we have interpolated the 1988-89 figure based on the previous and subsequent years.</t>
        </r>
        <r>
          <rPr>
            <sz val="8"/>
            <color indexed="81"/>
            <rFont val="Tahoma"/>
            <family val="2"/>
          </rPr>
          <t xml:space="preserve">
</t>
        </r>
      </text>
    </comment>
    <comment ref="AQ38" authorId="0" shapeId="0" xr:uid="{00000000-0006-0000-0600-000002000000}">
      <text>
        <r>
          <rPr>
            <b/>
            <sz val="10"/>
            <color indexed="81"/>
            <rFont val="Tahoma"/>
            <family val="2"/>
          </rPr>
          <t>jmarks:</t>
        </r>
        <r>
          <rPr>
            <sz val="10"/>
            <color indexed="81"/>
            <rFont val="Tahoma"/>
            <family val="2"/>
          </rPr>
          <t xml:space="preserve">
private not reported</t>
        </r>
      </text>
    </comment>
    <comment ref="AS38" authorId="0" shapeId="0" xr:uid="{00000000-0006-0000-0600-000003000000}">
      <text>
        <r>
          <rPr>
            <b/>
            <sz val="10"/>
            <color indexed="81"/>
            <rFont val="Tahoma"/>
            <family val="2"/>
          </rPr>
          <t>jmarks:</t>
        </r>
        <r>
          <rPr>
            <sz val="10"/>
            <color indexed="81"/>
            <rFont val="Tahoma"/>
            <family val="2"/>
          </rPr>
          <t xml:space="preserve">
private not reported</t>
        </r>
      </text>
    </comment>
    <comment ref="AS49" authorId="0" shapeId="0" xr:uid="{00000000-0006-0000-0600-000004000000}">
      <text>
        <r>
          <rPr>
            <b/>
            <sz val="10"/>
            <color indexed="81"/>
            <rFont val="Tahoma"/>
            <family val="2"/>
          </rPr>
          <t>jmarks:</t>
        </r>
        <r>
          <rPr>
            <sz val="10"/>
            <color indexed="81"/>
            <rFont val="Tahoma"/>
            <family val="2"/>
          </rPr>
          <t xml:space="preserve">
private not reported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Susan Lounsbury</author>
    <author>jmarks</author>
  </authors>
  <commentList>
    <comment ref="AZ7" authorId="0" shapeId="0" xr:uid="{00000000-0006-0000-0700-000001000000}">
      <text>
        <r>
          <rPr>
            <b/>
            <sz val="9"/>
            <color indexed="81"/>
            <rFont val="Tahoma"/>
            <family val="2"/>
          </rPr>
          <t>Susan Lounsbury:</t>
        </r>
        <r>
          <rPr>
            <sz val="9"/>
            <color indexed="81"/>
            <rFont val="Tahoma"/>
            <family val="2"/>
          </rPr>
          <t xml:space="preserve">
Private high school data extrapolated</t>
        </r>
      </text>
    </comment>
    <comment ref="AR47" authorId="1" shapeId="0" xr:uid="{00000000-0006-0000-0700-000002000000}">
      <text>
        <r>
          <rPr>
            <b/>
            <sz val="10"/>
            <color indexed="81"/>
            <rFont val="Tahoma"/>
            <family val="2"/>
          </rPr>
          <t>jmarks:</t>
        </r>
        <r>
          <rPr>
            <sz val="10"/>
            <color indexed="81"/>
            <rFont val="Tahoma"/>
            <family val="2"/>
          </rPr>
          <t xml:space="preserve">
private not reported</t>
        </r>
      </text>
    </comment>
    <comment ref="AS47" authorId="1" shapeId="0" xr:uid="{00000000-0006-0000-0700-000003000000}">
      <text>
        <r>
          <rPr>
            <b/>
            <sz val="10"/>
            <color indexed="81"/>
            <rFont val="Tahoma"/>
            <family val="2"/>
          </rPr>
          <t>jmarks:</t>
        </r>
        <r>
          <rPr>
            <sz val="10"/>
            <color indexed="81"/>
            <rFont val="Tahoma"/>
            <family val="2"/>
          </rPr>
          <t xml:space="preserve">
private not reported</t>
        </r>
      </text>
    </comment>
    <comment ref="AP57" authorId="1" shapeId="0" xr:uid="{00000000-0006-0000-0700-000004000000}">
      <text>
        <r>
          <rPr>
            <b/>
            <sz val="10"/>
            <color indexed="81"/>
            <rFont val="Tahoma"/>
            <family val="2"/>
          </rPr>
          <t>jmarks:</t>
        </r>
        <r>
          <rPr>
            <sz val="10"/>
            <color indexed="81"/>
            <rFont val="Tahoma"/>
            <family val="2"/>
          </rPr>
          <t xml:space="preserve">
private not reported</t>
        </r>
      </text>
    </comment>
    <comment ref="AQ57" authorId="1" shapeId="0" xr:uid="{00000000-0006-0000-0700-000005000000}">
      <text>
        <r>
          <rPr>
            <b/>
            <sz val="10"/>
            <color indexed="81"/>
            <rFont val="Tahoma"/>
            <family val="2"/>
          </rPr>
          <t>jmarks:</t>
        </r>
        <r>
          <rPr>
            <sz val="10"/>
            <color indexed="81"/>
            <rFont val="Tahoma"/>
            <family val="2"/>
          </rPr>
          <t xml:space="preserve">
private not reported</t>
        </r>
      </text>
    </comment>
    <comment ref="AR57" authorId="1" shapeId="0" xr:uid="{00000000-0006-0000-0700-000006000000}">
      <text>
        <r>
          <rPr>
            <b/>
            <sz val="10"/>
            <color indexed="81"/>
            <rFont val="Tahoma"/>
            <family val="2"/>
          </rPr>
          <t>jmarks:</t>
        </r>
        <r>
          <rPr>
            <sz val="10"/>
            <color indexed="81"/>
            <rFont val="Tahoma"/>
            <family val="2"/>
          </rPr>
          <t xml:space="preserve">
private not reported</t>
        </r>
      </text>
    </comment>
    <comment ref="AS57" authorId="1" shapeId="0" xr:uid="{00000000-0006-0000-0700-000007000000}">
      <text>
        <r>
          <rPr>
            <b/>
            <sz val="10"/>
            <color indexed="81"/>
            <rFont val="Tahoma"/>
            <family val="2"/>
          </rPr>
          <t>jmarks:</t>
        </r>
        <r>
          <rPr>
            <sz val="10"/>
            <color indexed="81"/>
            <rFont val="Tahoma"/>
            <family val="2"/>
          </rPr>
          <t xml:space="preserve">
private not reported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7" authorId="0" shapeId="0" xr:uid="{00000000-0006-0000-0B00-000001000000}">
      <text>
        <r>
          <rPr>
            <b/>
            <sz val="9"/>
            <color indexed="81"/>
            <rFont val="Tahoma"/>
            <family val="2"/>
          </rPr>
          <t xml:space="preserve">jmarks:
</t>
        </r>
        <r>
          <rPr>
            <sz val="9"/>
            <color indexed="81"/>
            <rFont val="Tahoma"/>
            <family val="2"/>
          </rPr>
          <t>South minus DC</t>
        </r>
        <r>
          <rPr>
            <b/>
            <sz val="9"/>
            <color indexed="81"/>
            <rFont val="Tahoma"/>
            <family val="2"/>
          </rPr>
          <t xml:space="preserve">
</t>
        </r>
      </text>
    </comment>
    <comment ref="A26" authorId="0" shapeId="0" xr:uid="{00000000-0006-0000-0B00-000002000000}">
      <text>
        <r>
          <rPr>
            <b/>
            <sz val="9"/>
            <color indexed="81"/>
            <rFont val="Tahoma"/>
            <family val="2"/>
          </rPr>
          <t>jmarks:</t>
        </r>
        <r>
          <rPr>
            <sz val="9"/>
            <color indexed="81"/>
            <rFont val="Tahoma"/>
            <family val="2"/>
          </rPr>
          <t xml:space="preserve">
WICHE minus ND, SD
</t>
        </r>
      </text>
    </comment>
    <comment ref="A42" authorId="0" shapeId="0" xr:uid="{00000000-0006-0000-0B00-000003000000}">
      <text>
        <r>
          <rPr>
            <b/>
            <sz val="9"/>
            <color indexed="81"/>
            <rFont val="Tahoma"/>
            <family val="2"/>
          </rPr>
          <t>jmarks:</t>
        </r>
        <r>
          <rPr>
            <sz val="9"/>
            <color indexed="81"/>
            <rFont val="Tahoma"/>
            <family val="2"/>
          </rPr>
          <t xml:space="preserve">
WICHE MW plus ND, SD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7" authorId="0" shapeId="0" xr:uid="{A7B6EBA3-37BC-4090-92DB-D6252D227D7E}">
      <text>
        <r>
          <rPr>
            <b/>
            <sz val="9"/>
            <color indexed="81"/>
            <rFont val="Tahoma"/>
            <family val="2"/>
          </rPr>
          <t xml:space="preserve">jmarks:
</t>
        </r>
        <r>
          <rPr>
            <sz val="9"/>
            <color indexed="81"/>
            <rFont val="Tahoma"/>
            <family val="2"/>
          </rPr>
          <t>South minus DC</t>
        </r>
        <r>
          <rPr>
            <b/>
            <sz val="9"/>
            <color indexed="81"/>
            <rFont val="Tahoma"/>
            <family val="2"/>
          </rPr>
          <t xml:space="preserve">
</t>
        </r>
      </text>
    </comment>
    <comment ref="A26" authorId="0" shapeId="0" xr:uid="{E1CBC430-B2A0-4DD0-9B33-A77819B608EB}">
      <text>
        <r>
          <rPr>
            <b/>
            <sz val="9"/>
            <color indexed="81"/>
            <rFont val="Tahoma"/>
            <family val="2"/>
          </rPr>
          <t>jmarks:</t>
        </r>
        <r>
          <rPr>
            <sz val="9"/>
            <color indexed="81"/>
            <rFont val="Tahoma"/>
            <family val="2"/>
          </rPr>
          <t xml:space="preserve">
WICHE minus ND, SD
</t>
        </r>
      </text>
    </comment>
    <comment ref="A42" authorId="0" shapeId="0" xr:uid="{2D067FB6-2126-4510-92BF-9F2A9A262BC3}">
      <text>
        <r>
          <rPr>
            <b/>
            <sz val="9"/>
            <color indexed="81"/>
            <rFont val="Tahoma"/>
            <family val="2"/>
          </rPr>
          <t>jmarks:</t>
        </r>
        <r>
          <rPr>
            <sz val="9"/>
            <color indexed="81"/>
            <rFont val="Tahoma"/>
            <family val="2"/>
          </rPr>
          <t xml:space="preserve">
WICHE MW plus ND, SD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6" authorId="0" shapeId="0" xr:uid="{00000000-0006-0000-0C00-000001000000}">
      <text>
        <r>
          <rPr>
            <b/>
            <sz val="9"/>
            <color indexed="81"/>
            <rFont val="Tahoma"/>
            <family val="2"/>
          </rPr>
          <t xml:space="preserve">jmarks:
</t>
        </r>
        <r>
          <rPr>
            <sz val="9"/>
            <color indexed="81"/>
            <rFont val="Tahoma"/>
            <family val="2"/>
          </rPr>
          <t>South minus DC</t>
        </r>
        <r>
          <rPr>
            <b/>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B2" authorId="0" shapeId="0" xr:uid="{00000000-0006-0000-0800-000001000000}">
      <text>
        <r>
          <rPr>
            <b/>
            <sz val="10"/>
            <color indexed="81"/>
            <rFont val="Tahoma"/>
            <family val="2"/>
          </rPr>
          <t>jmarks:</t>
        </r>
        <r>
          <rPr>
            <sz val="10"/>
            <color indexed="81"/>
            <rFont val="Tahoma"/>
            <family val="2"/>
          </rPr>
          <t xml:space="preserve">
Sum of men and women may not equal total reported elsewhere because some state have not reported gender.</t>
        </r>
      </text>
    </comment>
    <comment ref="W53" authorId="0" shapeId="0" xr:uid="{00000000-0006-0000-0800-000002000000}">
      <text>
        <r>
          <rPr>
            <b/>
            <sz val="9"/>
            <color indexed="81"/>
            <rFont val="Tahoma"/>
            <family val="2"/>
          </rPr>
          <t>jmarks:</t>
        </r>
        <r>
          <rPr>
            <sz val="9"/>
            <color indexed="81"/>
            <rFont val="Tahoma"/>
            <family val="2"/>
          </rPr>
          <t xml:space="preserve">
In 2008-09 men were 49.4% and women were 50.6%. No figures for men and women were reported in 2009-10. The percentages from 2008-09 were used to derive these estimates in order to have more valid regional and national trends.</t>
        </r>
      </text>
    </comment>
    <comment ref="X53" authorId="0" shapeId="0" xr:uid="{00000000-0006-0000-0800-000003000000}">
      <text>
        <r>
          <rPr>
            <b/>
            <sz val="9"/>
            <color indexed="81"/>
            <rFont val="Tahoma"/>
            <family val="2"/>
          </rPr>
          <t>jmarks:</t>
        </r>
        <r>
          <rPr>
            <sz val="9"/>
            <color indexed="81"/>
            <rFont val="Tahoma"/>
            <family val="2"/>
          </rPr>
          <t xml:space="preserve">
In 2008-09 men were 49.4% and women were 50.6%. No figures for men and women were reported in 2009-10. The percentages from 2008-09 were used to derive these estimates in order to have more valid regional and national trends.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Alicia A. Diaz</author>
    <author>jmarks</author>
  </authors>
  <commentList>
    <comment ref="A1" authorId="0" shapeId="0" xr:uid="{00000000-0006-0000-0900-000001000000}">
      <text>
        <r>
          <rPr>
            <sz val="8"/>
            <color indexed="81"/>
            <rFont val="Tahoma"/>
            <family val="2"/>
          </rPr>
          <t>Averaged freshman graduation rate (AFGR) is an estimate of the percentage of an entering freshman class graduating in 4 years. It equals the total number of diploma recipients in a year divided by the average membership of the 8th-grade class in four years prior, the 9th-grade class  three years prior, and the 10th-grade class two years prior.</t>
        </r>
      </text>
    </comment>
    <comment ref="N5" authorId="1" shapeId="0" xr:uid="{00000000-0006-0000-0900-000002000000}">
      <text>
        <r>
          <rPr>
            <b/>
            <sz val="10"/>
            <color indexed="81"/>
            <rFont val="Tahoma"/>
            <family val="2"/>
          </rPr>
          <t>jmarks:</t>
        </r>
        <r>
          <rPr>
            <sz val="10"/>
            <color indexed="81"/>
            <rFont val="Tahoma"/>
            <family val="2"/>
          </rPr>
          <t xml:space="preserve">
Represents reporting states.</t>
        </r>
      </text>
    </comment>
    <comment ref="P5" authorId="1" shapeId="0" xr:uid="{00000000-0006-0000-0900-000003000000}">
      <text>
        <r>
          <rPr>
            <b/>
            <sz val="10"/>
            <color indexed="81"/>
            <rFont val="Tahoma"/>
            <family val="2"/>
          </rPr>
          <t>jmarks:</t>
        </r>
        <r>
          <rPr>
            <sz val="10"/>
            <color indexed="81"/>
            <rFont val="Tahoma"/>
            <family val="2"/>
          </rPr>
          <t xml:space="preserve">
Represents reporting states.</t>
        </r>
      </text>
    </comment>
    <comment ref="Q5" authorId="1" shapeId="0" xr:uid="{00000000-0006-0000-0900-000004000000}">
      <text>
        <r>
          <rPr>
            <b/>
            <sz val="10"/>
            <color indexed="81"/>
            <rFont val="Tahoma"/>
            <family val="2"/>
          </rPr>
          <t>jmarks:</t>
        </r>
        <r>
          <rPr>
            <sz val="10"/>
            <color indexed="81"/>
            <rFont val="Tahoma"/>
            <family val="2"/>
          </rPr>
          <t xml:space="preserve">
Represents reporting states.</t>
        </r>
      </text>
    </comment>
    <comment ref="R5" authorId="1" shapeId="0" xr:uid="{00000000-0006-0000-0900-000005000000}">
      <text>
        <r>
          <rPr>
            <b/>
            <sz val="10"/>
            <color indexed="81"/>
            <rFont val="Tahoma"/>
            <family val="2"/>
          </rPr>
          <t>jmarks:</t>
        </r>
        <r>
          <rPr>
            <sz val="10"/>
            <color indexed="81"/>
            <rFont val="Tahoma"/>
            <family val="2"/>
          </rPr>
          <t xml:space="preserve">
Represents reporting states.</t>
        </r>
      </text>
    </comment>
    <comment ref="S5" authorId="1" shapeId="0" xr:uid="{00000000-0006-0000-0900-000006000000}">
      <text>
        <r>
          <rPr>
            <b/>
            <sz val="10"/>
            <color indexed="81"/>
            <rFont val="Tahoma"/>
            <family val="2"/>
          </rPr>
          <t>jmarks:</t>
        </r>
        <r>
          <rPr>
            <sz val="10"/>
            <color indexed="81"/>
            <rFont val="Tahoma"/>
            <family val="2"/>
          </rPr>
          <t xml:space="preserve">
Represents reporting states.</t>
        </r>
      </text>
    </comment>
    <comment ref="T5" authorId="1" shapeId="0" xr:uid="{00000000-0006-0000-0900-000007000000}">
      <text>
        <r>
          <rPr>
            <b/>
            <sz val="10"/>
            <color indexed="81"/>
            <rFont val="Tahoma"/>
            <family val="2"/>
          </rPr>
          <t>jmarks:</t>
        </r>
        <r>
          <rPr>
            <sz val="10"/>
            <color indexed="81"/>
            <rFont val="Tahoma"/>
            <family val="2"/>
          </rPr>
          <t xml:space="preserve">
Represents reporting states.</t>
        </r>
      </text>
    </comment>
    <comment ref="U5" authorId="1" shapeId="0" xr:uid="{00000000-0006-0000-0900-000008000000}">
      <text>
        <r>
          <rPr>
            <b/>
            <sz val="10"/>
            <color indexed="81"/>
            <rFont val="Tahoma"/>
            <family val="2"/>
          </rPr>
          <t>jmarks:</t>
        </r>
        <r>
          <rPr>
            <sz val="10"/>
            <color indexed="81"/>
            <rFont val="Tahoma"/>
            <family val="2"/>
          </rPr>
          <t xml:space="preserve">
Represents reporting states.</t>
        </r>
      </text>
    </comment>
    <comment ref="V5" authorId="1" shapeId="0" xr:uid="{00000000-0006-0000-0900-000009000000}">
      <text>
        <r>
          <rPr>
            <b/>
            <sz val="10"/>
            <color indexed="81"/>
            <rFont val="Tahoma"/>
            <family val="2"/>
          </rPr>
          <t>jmarks:</t>
        </r>
        <r>
          <rPr>
            <sz val="10"/>
            <color indexed="81"/>
            <rFont val="Tahoma"/>
            <family val="2"/>
          </rPr>
          <t xml:space="preserve">
Represents reporting states.</t>
        </r>
      </text>
    </comment>
    <comment ref="W5" authorId="1" shapeId="0" xr:uid="{00000000-0006-0000-0900-00000A000000}">
      <text>
        <r>
          <rPr>
            <b/>
            <sz val="10"/>
            <color indexed="81"/>
            <rFont val="Tahoma"/>
            <family val="2"/>
          </rPr>
          <t>jmarks:</t>
        </r>
        <r>
          <rPr>
            <sz val="10"/>
            <color indexed="81"/>
            <rFont val="Tahoma"/>
            <family val="2"/>
          </rPr>
          <t xml:space="preserve">
Represents reporting states.</t>
        </r>
      </text>
    </comment>
    <comment ref="X5" authorId="1" shapeId="0" xr:uid="{00000000-0006-0000-0900-00000B000000}">
      <text>
        <r>
          <rPr>
            <b/>
            <sz val="10"/>
            <color indexed="81"/>
            <rFont val="Tahoma"/>
            <family val="2"/>
          </rPr>
          <t>jmarks:</t>
        </r>
        <r>
          <rPr>
            <sz val="10"/>
            <color indexed="81"/>
            <rFont val="Tahoma"/>
            <family val="2"/>
          </rPr>
          <t xml:space="preserve">
Represents reporting states.</t>
        </r>
      </text>
    </comment>
    <comment ref="Y5" authorId="1" shapeId="0" xr:uid="{00000000-0006-0000-0900-00000C000000}">
      <text>
        <r>
          <rPr>
            <b/>
            <sz val="10"/>
            <color indexed="81"/>
            <rFont val="Tahoma"/>
            <family val="2"/>
          </rPr>
          <t>jmarks:</t>
        </r>
        <r>
          <rPr>
            <sz val="10"/>
            <color indexed="81"/>
            <rFont val="Tahoma"/>
            <family val="2"/>
          </rPr>
          <t xml:space="preserve">
Represents reporting states.</t>
        </r>
      </text>
    </comment>
    <comment ref="Z5" authorId="1" shapeId="0" xr:uid="{00000000-0006-0000-0900-00000D000000}">
      <text>
        <r>
          <rPr>
            <b/>
            <sz val="10"/>
            <color indexed="81"/>
            <rFont val="Tahoma"/>
            <family val="2"/>
          </rPr>
          <t>jmarks:</t>
        </r>
        <r>
          <rPr>
            <sz val="10"/>
            <color indexed="81"/>
            <rFont val="Tahoma"/>
            <family val="2"/>
          </rPr>
          <t xml:space="preserve">
Represents reporting states.</t>
        </r>
      </text>
    </comment>
    <comment ref="AA5" authorId="1" shapeId="0" xr:uid="{00000000-0006-0000-0900-00000E000000}">
      <text>
        <r>
          <rPr>
            <b/>
            <sz val="10"/>
            <color indexed="81"/>
            <rFont val="Tahoma"/>
            <family val="2"/>
          </rPr>
          <t>jmarks:</t>
        </r>
        <r>
          <rPr>
            <sz val="10"/>
            <color indexed="81"/>
            <rFont val="Tahoma"/>
            <family val="2"/>
          </rPr>
          <t xml:space="preserve">
Represents reporting states.</t>
        </r>
      </text>
    </comment>
    <comment ref="AB5" authorId="1" shapeId="0" xr:uid="{00000000-0006-0000-0900-00000F000000}">
      <text>
        <r>
          <rPr>
            <b/>
            <sz val="10"/>
            <color indexed="81"/>
            <rFont val="Tahoma"/>
            <family val="2"/>
          </rPr>
          <t>jmarks:</t>
        </r>
        <r>
          <rPr>
            <sz val="10"/>
            <color indexed="81"/>
            <rFont val="Tahoma"/>
            <family val="2"/>
          </rPr>
          <t xml:space="preserve">
Represents reporting states.</t>
        </r>
      </text>
    </comment>
  </commentList>
</comments>
</file>

<file path=xl/sharedStrings.xml><?xml version="1.0" encoding="utf-8"?>
<sst xmlns="http://schemas.openxmlformats.org/spreadsheetml/2006/main" count="3732" uniqueCount="605">
  <si>
    <t>Table 9</t>
  </si>
  <si>
    <t>High School Graduation Rates</t>
  </si>
  <si>
    <t>continued</t>
  </si>
  <si>
    <t>2019-20 High School Graduation Rates by Race/Ethnicity</t>
  </si>
  <si>
    <t xml:space="preserve"> </t>
  </si>
  <si>
    <t>Public High School Graduation Rates</t>
  </si>
  <si>
    <t>2019-20 High School Graduation Rates by Race/Ethnicity and</t>
  </si>
  <si>
    <t>Private High School</t>
  </si>
  <si>
    <t>Selected Demographic Characteristics</t>
  </si>
  <si>
    <t xml:space="preserve">Graduates as a </t>
  </si>
  <si>
    <t>Adjusted Cohort</t>
  </si>
  <si>
    <t>Limited</t>
  </si>
  <si>
    <t>Percent of Total</t>
  </si>
  <si>
    <t>Graduation Rate</t>
  </si>
  <si>
    <t>Economically</t>
  </si>
  <si>
    <t>English</t>
  </si>
  <si>
    <t>Students w/</t>
  </si>
  <si>
    <t>High School Graduates</t>
  </si>
  <si>
    <t>(ACGR)</t>
  </si>
  <si>
    <t>American Indian/Alaskan Native</t>
  </si>
  <si>
    <t>Asian/Pacific Islander</t>
  </si>
  <si>
    <t>Hispanic</t>
  </si>
  <si>
    <t>Black</t>
  </si>
  <si>
    <t>White</t>
  </si>
  <si>
    <t>Disadvantaged</t>
  </si>
  <si>
    <t>Proficiency</t>
  </si>
  <si>
    <t>Disabilities</t>
  </si>
  <si>
    <t>2019-20</t>
  </si>
  <si>
    <t>2018-19</t>
  </si>
  <si>
    <t>2017-18</t>
  </si>
  <si>
    <t>2007-08</t>
  </si>
  <si>
    <t>50 states and D.C.</t>
  </si>
  <si>
    <t>SREB states</t>
  </si>
  <si>
    <t>Alabama</t>
  </si>
  <si>
    <t>Arkansas</t>
  </si>
  <si>
    <t>Delaware</t>
  </si>
  <si>
    <t>Florida</t>
  </si>
  <si>
    <t>Georgia</t>
  </si>
  <si>
    <t>Kentucky</t>
  </si>
  <si>
    <t>Louisiana</t>
  </si>
  <si>
    <t>Maryland</t>
  </si>
  <si>
    <t>Mississippi</t>
  </si>
  <si>
    <t>North Carolina</t>
  </si>
  <si>
    <t>Oklahoma</t>
  </si>
  <si>
    <t>South Carolina</t>
  </si>
  <si>
    <t>Tennessee</t>
  </si>
  <si>
    <t>Texas</t>
  </si>
  <si>
    <t>—</t>
  </si>
  <si>
    <t>Virginia</t>
  </si>
  <si>
    <t>West Virginia</t>
  </si>
  <si>
    <t>West</t>
  </si>
  <si>
    <t>Alaska</t>
  </si>
  <si>
    <t>Arizona</t>
  </si>
  <si>
    <t>California</t>
  </si>
  <si>
    <t>Colorado</t>
  </si>
  <si>
    <t>Hawaii</t>
  </si>
  <si>
    <t>Idaho</t>
  </si>
  <si>
    <t>Montana</t>
  </si>
  <si>
    <t>Nevada</t>
  </si>
  <si>
    <t>New Mexico</t>
  </si>
  <si>
    <t>Oregon</t>
  </si>
  <si>
    <t>Utah</t>
  </si>
  <si>
    <t>Washington</t>
  </si>
  <si>
    <t>Wyoming</t>
  </si>
  <si>
    <t>Midwest</t>
  </si>
  <si>
    <t>Illinois</t>
  </si>
  <si>
    <t>Indiana</t>
  </si>
  <si>
    <t>Iowa</t>
  </si>
  <si>
    <t>Kansas</t>
  </si>
  <si>
    <t>Michigan</t>
  </si>
  <si>
    <t>Minnesota</t>
  </si>
  <si>
    <t>Missouri</t>
  </si>
  <si>
    <t>Nebraska</t>
  </si>
  <si>
    <t>North Dakota</t>
  </si>
  <si>
    <t>Ohio</t>
  </si>
  <si>
    <t>South Dakota</t>
  </si>
  <si>
    <t>Wisconsin</t>
  </si>
  <si>
    <t>Northeast</t>
  </si>
  <si>
    <t>Connecticut</t>
  </si>
  <si>
    <t>Maine</t>
  </si>
  <si>
    <t>Massachusetts</t>
  </si>
  <si>
    <t>New Hampshire</t>
  </si>
  <si>
    <t>New Jersey</t>
  </si>
  <si>
    <t>New York</t>
  </si>
  <si>
    <t>Pennsylvania</t>
  </si>
  <si>
    <t>Rhode Island</t>
  </si>
  <si>
    <t>Vermont</t>
  </si>
  <si>
    <t>District of Columbia</t>
  </si>
  <si>
    <r>
      <rPr>
        <sz val="10"/>
        <rFont val="Calibri"/>
        <family val="2"/>
      </rPr>
      <t>"—"</t>
    </r>
    <r>
      <rPr>
        <sz val="10"/>
        <rFont val="Arial"/>
        <family val="2"/>
      </rPr>
      <t xml:space="preserve"> indicates data not available.</t>
    </r>
  </si>
  <si>
    <t>"&lt;&gt;" indicates data were suppressed to protect the confidentiality of individual student data.</t>
  </si>
  <si>
    <t xml:space="preserve">"≥" indicates the estimate has been top coded to protect the confidentiality of individual student data. The U.S. Department of Education defines top coding as a process where rates at or above a specific level are reported in a range to protect the privacy of individuals represented either within the reported rate or its inverse. </t>
  </si>
  <si>
    <t>"†" indicates not applicable. No students reported in the cohort.</t>
  </si>
  <si>
    <t>Sources:</t>
  </si>
  <si>
    <t xml:space="preserve"> Western Interstate Commission for Higher Education, Knocking at the College Door: Projections of High School Graduates, 2023, www.knocking.wiche.edu.; Common Core of Data Table 1. Public high school 4-year adjusted cohort graduation rate (ACGR), by race/ethnicity and selected demographic characteristics for the United States, the 50 states, the District of Columbia, and Puerto Rico: School year 2019–20</t>
  </si>
  <si>
    <t>NCES Adjusted Cohort Graduation Rates</t>
  </si>
  <si>
    <t>2010-11</t>
  </si>
  <si>
    <t>2011-12</t>
  </si>
  <si>
    <t>2012-13</t>
  </si>
  <si>
    <t>2013-14</t>
  </si>
  <si>
    <t>2014-15</t>
  </si>
  <si>
    <t>2015-16</t>
  </si>
  <si>
    <t>2016-17</t>
  </si>
  <si>
    <t>2019-2020</t>
  </si>
  <si>
    <t>State</t>
  </si>
  <si>
    <t>Total</t>
  </si>
  <si>
    <t>American Indian / Alaska Native</t>
  </si>
  <si>
    <t>Asian / Pacific Islander</t>
  </si>
  <si>
    <t>Economically disadvantaged</t>
  </si>
  <si>
    <t>Limited English proficiency</t>
  </si>
  <si>
    <t>Students with disabilities</t>
  </si>
  <si>
    <t>Two or More Races</t>
  </si>
  <si>
    <r>
      <t>Homeless enrolled</t>
    </r>
    <r>
      <rPr>
        <vertAlign val="superscript"/>
        <sz val="10"/>
        <rFont val="Arial"/>
        <family val="2"/>
      </rPr>
      <t>2</t>
    </r>
  </si>
  <si>
    <r>
      <t>Foster care</t>
    </r>
    <r>
      <rPr>
        <vertAlign val="superscript"/>
        <sz val="10"/>
        <rFont val="Arial"/>
        <family val="2"/>
      </rPr>
      <t>2</t>
    </r>
  </si>
  <si>
    <t>American Indian/Alaska Native</t>
  </si>
  <si>
    <t>Two or more races</t>
  </si>
  <si>
    <t>English learner</t>
  </si>
  <si>
    <t>Homeless</t>
  </si>
  <si>
    <t>Foster Care</t>
  </si>
  <si>
    <t>82.3</t>
  </si>
  <si>
    <t>69.6</t>
  </si>
  <si>
    <t>89.4</t>
  </si>
  <si>
    <t>76.3</t>
  </si>
  <si>
    <t>72.5</t>
  </si>
  <si>
    <t>87.2</t>
  </si>
  <si>
    <t>74.6</t>
  </si>
  <si>
    <t>62.6</t>
  </si>
  <si>
    <t>63.1</t>
  </si>
  <si>
    <t>---</t>
  </si>
  <si>
    <t>SREB states (median state)</t>
  </si>
  <si>
    <t xml:space="preserve">   as a percent of U.S.</t>
  </si>
  <si>
    <t>&gt;=90</t>
  </si>
  <si>
    <t>‡</t>
  </si>
  <si>
    <t>≥90%</t>
  </si>
  <si>
    <t>90*</t>
  </si>
  <si>
    <t>&lt;&gt;</t>
  </si>
  <si>
    <t>≥ 95%</t>
  </si>
  <si>
    <t>&gt;=95</t>
  </si>
  <si>
    <t>≥80</t>
  </si>
  <si>
    <t>≥95%</t>
  </si>
  <si>
    <t>≥95</t>
  </si>
  <si>
    <t>West (median state)</t>
  </si>
  <si>
    <t>†</t>
  </si>
  <si>
    <t>Midwest (median state)</t>
  </si>
  <si>
    <t>Northeast (median state)</t>
  </si>
  <si>
    <t>≥80%</t>
  </si>
  <si>
    <t>91*</t>
  </si>
  <si>
    <t>≥50%</t>
  </si>
  <si>
    <t>&gt;=50</t>
  </si>
  <si>
    <t>&gt;=50%</t>
  </si>
  <si>
    <t>≥ 50%</t>
  </si>
  <si>
    <t>≥50</t>
  </si>
  <si>
    <t>≥90</t>
  </si>
  <si>
    <t xml:space="preserve">— Not available.  </t>
  </si>
  <si>
    <t>SOURCE: U.S. Department of Education, Office of Elementary and Secondary Education, Consolidated State Performance Report, 2010-11 through 2015-16. (This table was prepared December 2017.)</t>
  </si>
  <si>
    <t>yellow highlight = symbol</t>
  </si>
  <si>
    <t>— Not available. Data were not reported and have not been imputed.</t>
  </si>
  <si>
    <t>The United States 4-year ACGR for American Indian/Alaska Native students was estimated using both the reported 4-year ACGR data from 49 states and the District of Columbia and using imputed data for Virginia.</t>
  </si>
  <si>
    <t>&lt;&gt; Data were suppressed to protect the confidentiality of individual student data.</t>
  </si>
  <si>
    <t>† Not applicable. No students reported in the cohort.</t>
  </si>
  <si>
    <t>NOTE: The 4-year ACGR is the number of students who graduate in 4 years with a regular high school diploma divided by the number of students who form the adjusted cohort for the graduating class. From the beginning of 9th grade (or the earliest high school grade), students who are entering that grade for the first time form a cohort that is "adjusted" by adding any students who subsequently transfer into the cohort and subtracting any students who subsequently transfer out, emigrate to another country, or die. To protect the confidentiality of individual student data, ACGRs are shown at varying levels of precision depending on the size of the cohort population for each category cell. There are some differences in how states implemented the requirements for the ACGR, leading to the potential for differences across states in how the rates are calculated. This is particularly applicable to the population of children with disabilities. Black includes African American, Hispanic includes Latino, Asian/Pacific Islander includes Native Hawaiian or Other Pacific Islander, and American Indian includes Alaska Native. Race categories exclude Hispanic origin unless specified.</t>
  </si>
  <si>
    <t>≥ Greater than or equal to. The estimate has been top coded to protect the confidentiality of individual student data.</t>
  </si>
  <si>
    <t>Common Core of Data Table 1. Public high school 4-year adjusted cohort graduation rate (ACGR), by race/ethnicity and selected demographic characteristics for the United States, the 50 states, the District of Columbia, and Puerto Rico: School year 2018–19</t>
  </si>
  <si>
    <t>SOURCE: EDFacts Data Groups 695 and 696, School year 2013–14; September 4, 2015.</t>
  </si>
  <si>
    <r>
      <t>1</t>
    </r>
    <r>
      <rPr>
        <sz val="10"/>
        <rFont val="Arial"/>
        <family val="2"/>
      </rPr>
      <t>The United States 4-year ACGR for American Indian/Alaska Native students was estimated using both the reported 4-year ACGR data from 49 states and the District of Columbia and using imputed data for Virginia.</t>
    </r>
  </si>
  <si>
    <r>
      <t>1</t>
    </r>
    <r>
      <rPr>
        <sz val="10"/>
        <rFont val="Arial"/>
        <family val="2"/>
      </rPr>
      <t>The United States 4-year ACGRs were estimated using both the reported 4-year ACGR data from 49 states and the District of Columbia and using imputed data for Idaho. The estimate for American Indian/Alaska Native students also includes imputed data for Virginia.</t>
    </r>
  </si>
  <si>
    <t>Table 1. Public high school 4-year adjusted cohort graduation rate (ACGR), by race/ethnicity and selected demographics for the United States, the 50 states, and the District of Columbia</t>
  </si>
  <si>
    <r>
      <t>2</t>
    </r>
    <r>
      <rPr>
        <sz val="10"/>
        <rFont val="Arial"/>
        <family val="2"/>
      </rPr>
      <t>Mississippi’s adjusted cohort graduation rate data displayed in the table above reflect submissions as of May 7, 2016 and subsequently certified in the state’s Consolidated State Performance Report.  The state resubmitted their adjusted cohort graduation rate data on July 20, 2016.  These data are currently under review by ED and, upon completion of the data quality review, these tables will be updated to include any accepted revisions for Mississippi’s data.</t>
    </r>
  </si>
  <si>
    <t>1 The United States 4-year ACGR was estimated using both the reported 4-year ACGR data from 47 states and the District of Columbia and using imputed data for Idaho, Kentucky, and Oklahoma. The Bureau of Indian Education and Puerto Rico were not included in the United States 4-year ACGR estimate.</t>
  </si>
  <si>
    <r>
      <rPr>
        <vertAlign val="superscript"/>
        <sz val="10"/>
        <rFont val="Arial"/>
        <family val="2"/>
      </rPr>
      <t>2</t>
    </r>
    <r>
      <rPr>
        <sz val="10"/>
        <rFont val="Arial"/>
        <family val="2"/>
      </rPr>
      <t>The Department of Education’s Office of Elementary and Secondary Education approved a timeline extension for Idaho to begin reporting 4-year ACGR data. As a result, the 4-year ACGR data for Idaho are not available for SY 2012–13.</t>
    </r>
  </si>
  <si>
    <r>
      <t>SOURCE: ED</t>
    </r>
    <r>
      <rPr>
        <i/>
        <sz val="10"/>
        <rFont val="Arial"/>
        <family val="2"/>
      </rPr>
      <t>Facts</t>
    </r>
    <r>
      <rPr>
        <sz val="10"/>
        <rFont val="Arial"/>
        <family val="2"/>
      </rPr>
      <t xml:space="preserve"> Data Groups 695 and 696, School year 2014–15; September 15, 2016.</t>
    </r>
  </si>
  <si>
    <t>2 The Department of Education’s Office of Elementary and Secondary Education approved a timeline extension for these states to begin reporting 4-year ACGR data, resulting in the 4-year ACGR not being available for these states in SY 2010–11.</t>
  </si>
  <si>
    <t>2 The Department of Education’s Office of Elementary and Secondary Education approved a timeline extension for these states to begin reporting 4-year ACGR data, resulting in the 4-year ACGR not being available for these states in SY 2011–12.</t>
  </si>
  <si>
    <r>
      <rPr>
        <vertAlign val="superscript"/>
        <sz val="10"/>
        <rFont val="Arial"/>
        <family val="2"/>
      </rPr>
      <t>3</t>
    </r>
    <r>
      <rPr>
        <sz val="10"/>
        <rFont val="Arial"/>
        <family val="2"/>
      </rPr>
      <t>Data editing procedures were applied to adjust for reporting anomalies in the Asian and Asian Pacific Islander categories.*</t>
    </r>
  </si>
  <si>
    <t>3  The Department of Education’s Office of Elementary and Secondary Education approved an exception for Puerto Rico to report 3-year ACGR data instead of 4-year ACGR data for SY 2010–11.</t>
  </si>
  <si>
    <t>3 The Department of Education’s Office of Elementary and Secondary Education approved an exception for Puerto Rico to report 3-year ACGR data instead of 4-year ACGR data for SY 2011–12.</t>
  </si>
  <si>
    <t>NOTE: To protect the confidentiality of individual student data, ACGRs are shown at varying levels of precision depending on the size of the cohort population for each category cell. There are some differences in how states implemented the requirements for the ACGR, leading to the potential for differences across states in how the rates are calculated.  This is particularly applicable to the population of children with disabilities. Black includes African American, Hispanic includes Latino, Asian/Pacific Islander includes Native Hawaiian or Other Pacific Islander, and American Indian includes Alaska Native. Race categories exclude Hispanic origin unless specified.</t>
  </si>
  <si>
    <t>NOTE: Reported rates are presented rounded to the whole percentage point where the related population size is greater than 300. Estimates have been top coded to protect the confidentiality of individual student data. Top coding is a process where rates at or above a specific level are reported in a range, rather than a precise percentage, to protect the privacy of individuals represented either within the reported rate or its inverse. Based on the population size, top coded estimates are presented as being greater than or equal to a certain percent. For example, a rate of 94 percent may be presented as “≥90” percent for one population and “≥80” percent for another, dependent on total population size. Black includes African American, Hispanic includes Latino, Asian/Pacific Islander includes Native Hawaiian or Other Pacific Islander, and American Indian includes Alaska Native. Race categories exclude Hispanic origin unless specified.</t>
  </si>
  <si>
    <r>
      <t>SOURCE: Table 2. Public high school adjusted cohort 4-year high school graduation rate by race/ethnicity and selected demographic characteristics for the United States, the 50 states, and the District of Columbia. ED</t>
    </r>
    <r>
      <rPr>
        <i/>
        <sz val="10"/>
        <rFont val="Arial"/>
        <family val="2"/>
      </rPr>
      <t>Facts</t>
    </r>
    <r>
      <rPr>
        <sz val="10"/>
        <rFont val="Arial"/>
        <family val="2"/>
      </rPr>
      <t xml:space="preserve">/Consolidated State Performance Report, SY 2011-12 and 2012–13, </t>
    </r>
    <r>
      <rPr>
        <u/>
        <sz val="10"/>
        <rFont val="Arial"/>
        <family val="2"/>
      </rPr>
      <t>http://www2.ed.gov/admins/lead/account/consolidated/index.html</t>
    </r>
    <r>
      <rPr>
        <sz val="10"/>
        <rFont val="Arial"/>
        <family val="2"/>
      </rPr>
      <t>. This table was prepared February 2015.</t>
    </r>
  </si>
  <si>
    <t>SOURCE: U.S. Department of Education, National Center for Education Statistics, Common Core of Data (CCD), "NCES Common Core of Data State Dropout and Graduation Rate Data file," School Year 2010–11, Provisional Version 1a.</t>
  </si>
  <si>
    <t>SOURCE: U.S. Department of Education, National Center for Education Statistics, Common Core of Data (CCD), “NCES Common Core of Data State Dropout and Graduation Rate Data file,” School Year 2011–12, Preliminary Version 1a.</t>
  </si>
  <si>
    <t>Table 1. Public high school 4-year adjusted cohort graduation rate (ACGR) by race/ethnicity and selcted demographics for the United States, the 50 states, the District of Columbia, and other jurisdictions: School year 2010-11.</t>
  </si>
  <si>
    <t>Table 2. Public high school 4-year adjusted cohort graduation rate (ACGR) by race/ethnicity and selected demographics for the United States, the 50 states,the District of Columbia and other jurisdictions: School year 2011-12.</t>
  </si>
  <si>
    <t>Public High School Graduates</t>
  </si>
  <si>
    <t>Projected</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</si>
  <si>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</si>
  <si>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</si>
  <si>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</si>
  <si>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</si>
  <si>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</si>
  <si>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</si>
  <si>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</si>
  <si>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</si>
  <si>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</si>
  <si>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</si>
  <si>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</si>
  <si>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</si>
  <si>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</si>
  <si>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</si>
  <si>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</si>
  <si>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</si>
  <si>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</si>
  <si>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</si>
  <si>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</si>
  <si>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</si>
  <si>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</si>
  <si>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</si>
  <si>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</si>
  <si>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</si>
  <si>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</si>
  <si>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</si>
  <si>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</si>
  <si>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</si>
  <si>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</si>
  <si>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</si>
  <si>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</si>
  <si>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</si>
  <si>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</si>
  <si>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</si>
  <si>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</si>
  <si>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</si>
  <si>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</si>
  <si>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</si>
  <si>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</si>
  <si>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</si>
  <si>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1999–2000</t>
  </si>
  <si>
    <t>2000–01</t>
  </si>
  <si>
    <t>2001–02</t>
  </si>
  <si>
    <t>2002–03</t>
  </si>
  <si>
    <t>2003–04</t>
  </si>
  <si>
    <t>2004–05</t>
  </si>
  <si>
    <t>2005–06</t>
  </si>
  <si>
    <t>2006–07</t>
  </si>
  <si>
    <t>2008-09</t>
  </si>
  <si>
    <t>2009–10</t>
  </si>
  <si>
    <t>2010–11</t>
  </si>
  <si>
    <t>2011–12</t>
  </si>
  <si>
    <t>2012–13</t>
  </si>
  <si>
    <t>2013–14</t>
  </si>
  <si>
    <t>2014–15</t>
  </si>
  <si>
    <t>2015–16</t>
  </si>
  <si>
    <t>2016–17</t>
  </si>
  <si>
    <t>2018–19</t>
  </si>
  <si>
    <t>2020–21</t>
  </si>
  <si>
    <t>2021-22</t>
  </si>
  <si>
    <t>2022-23</t>
  </si>
  <si>
    <t>U.S. Office of Education, "Digest of Educational Statistics, 1962" (Washington, D.C.: U.S. Government Printing Office, 1963) Table 31, pp. 60-61.</t>
  </si>
  <si>
    <t>U.S. Office of Education, "Digest of Educational Statistics, 1963" (Washington, D.C.: U.S. Government Printing Office, 1963) Table 29, pp. 40-41.</t>
  </si>
  <si>
    <t>U.S. Office of Education, "Digest of Educational Statistics, 1964" (Washington, D.C.: U.S. Government Printing Office, 1964) Table 36, pp. 54-55.</t>
  </si>
  <si>
    <t>U.S. Office of Education, "Digest of Educational Statistics, 1965" (Washington, D.C.: U.S. Government Printing Office, 1965) Table 36, pp. 51-52.</t>
  </si>
  <si>
    <t>U.S. Office of Education, "Digest of Education Statistics, 1966" (Washington, D.C.: U.S. Government Printing Office, 1966) Table 62, p. 49</t>
  </si>
  <si>
    <t>National Center for Education Statistics, "Digest of Education Statistics, 1996" (Washington, D.C.: U.S. Government Printing Office, Dec 1996) Table 99, p. 109</t>
  </si>
  <si>
    <t>National Center for Education Statistics, State Comparisons of Education Statistics: 1969-70 to 1996-97 NCES 98-018 (Washington, D.C.: U.S. Government Printing Office, Nov. 1998)Table 19, pp.55-57</t>
  </si>
  <si>
    <t>National Center for Education Statistics, "Projections of Education Statistics to 2013" NCES 2004-013 (Washington, DC: U.S. Government Printing Office, Oct. 2003) Table 24, pp.59-60</t>
  </si>
  <si>
    <t>National Center for Education Statistics, "Projections of Education Statistics, to 2011" NCES 2001-083 (Washington, D.C.: U.S. Government Printing Office, Oct. 2001) Table 24, pp.59-60</t>
  </si>
  <si>
    <t>National Center for Education Statistics, "Early Estimates of Public Elementary and Secondary Education Statistics: School Year 2000-2001" NCES 2001-331(Washington, D.C.: U.S. Government Printing Office, Feb. 2001)  Table 3.</t>
  </si>
  <si>
    <t>Source: National Center for Education Statistics, "Projections of Education Statistics, to 2012" (Washington, D.C.: U.S. Government Printing Office NCES 2002-030, Aug. 2002, Table 24, pp.59-60.)</t>
  </si>
  <si>
    <t>NCES Projections of Education Statistics to 2017, (NCES 2008-078) Sep. 2008 Table 25</t>
  </si>
  <si>
    <t>William J. Hussar and Tabitha M. Bailey, Projections of Education Statistics to 2020, (NCES 2011-026) September 2011.</t>
  </si>
  <si>
    <t>NCES Digest 2011, Table 112 (2012)</t>
  </si>
  <si>
    <t>NCES, Public School Graduates and Dropouts from the Common Core of Data: School Year 2009-10, Table 1 (Jan. 13)</t>
  </si>
  <si>
    <t>NCES, Digest of Education Statistics, Table 219.32 Public high school graduates, by sex, race/ethnicity, and state or jurisdiction:2010-11 (Table prepared January 2016.)</t>
  </si>
  <si>
    <t>NCES, Digest of Education Statistics, Table 219.32 Public high school graduates, by sex, race/ethnicity, and state or jurisdiction:2011-12 (Table prepared January 2016.)</t>
  </si>
  <si>
    <r>
      <t>NCES, Digest of Education Statistics, Table 219.32 Public high school graduates, by sex, race/ethnicity, and state or jurisdiction:2012-13 (Table prepared January 2016.) [[[</t>
    </r>
    <r>
      <rPr>
        <sz val="10"/>
        <color rgb="FFFF0000"/>
        <rFont val="Arial"/>
        <family val="2"/>
      </rPr>
      <t>As of 4/9/18, still the most recent Table 219.32.]]]</t>
    </r>
  </si>
  <si>
    <t xml:space="preserve">Old 2013-14 data updated with NCES data. Source: Data element report 6598, NCES. Cohort (denominator) and grad rate data found at https://eddataexpress.ed.gov/data-element-explorer.cfm
</t>
  </si>
  <si>
    <t xml:space="preserve">Source: Data element report 6598, NCES. Cohort (denominator) and grad rate data found at https://eddataexpress.ed.gov/data-element-explorer.cfm
</t>
  </si>
  <si>
    <r>
      <t>Source: Western Interstate Commission for Higher Education, </t>
    </r>
    <r>
      <rPr>
        <i/>
        <sz val="10"/>
        <color rgb="FF212529"/>
        <rFont val="Arial"/>
        <family val="2"/>
      </rPr>
      <t>Knocking at the College Door: Projections of High School Graduates</t>
    </r>
    <r>
      <rPr>
        <sz val="10"/>
        <color rgb="FF212529"/>
        <rFont val="Arial"/>
        <family val="2"/>
      </rPr>
      <t>, 2020, www.knocking.wiche.edu. </t>
    </r>
  </si>
  <si>
    <t>NCES, Projections of Education Statistics to 2023, (2014),Table 14; updated 4/4/14</t>
  </si>
  <si>
    <t>Private High School Graduates</t>
  </si>
  <si>
    <t>extrapolated</t>
  </si>
  <si>
    <t>1966-68</t>
  </si>
  <si>
    <t>1993-94</t>
  </si>
  <si>
    <t>1994-95</t>
  </si>
  <si>
    <t>1995-96</t>
  </si>
  <si>
    <t>1996-97</t>
  </si>
  <si>
    <t>1997-98</t>
  </si>
  <si>
    <t>1998-99</t>
  </si>
  <si>
    <t>1999-00</t>
  </si>
  <si>
    <t>2000-01</t>
  </si>
  <si>
    <t>2001-02</t>
  </si>
  <si>
    <t>2002-03</t>
  </si>
  <si>
    <t>2003-04</t>
  </si>
  <si>
    <t>2004-05</t>
  </si>
  <si>
    <t>2005-06</t>
  </si>
  <si>
    <t>2006-07</t>
  </si>
  <si>
    <t>2009-10</t>
  </si>
  <si>
    <t>NR</t>
  </si>
  <si>
    <t>Center for Education Statistics, "Digest of Education Statistics, 1966" (Washington, D.C.: U.S. Government Printing Office, '1966) Table 62, p. 49</t>
  </si>
  <si>
    <t>Center for Education Statistics, "Digest of Education Statistics, 1973" (Washington, D.C.: U.S. Government Printing Office, '1974) Table 67, p. 56</t>
  </si>
  <si>
    <t>Center for Education Statistics, "Digest of Education Statistics, 1974" (Washington, D.C.: U.S. Government Printing Office, '1975) Table 67, p. 56</t>
  </si>
  <si>
    <t>Center for Education Statistics, "Digest of Education Statistics, 1975" (Washington, D.C.: U.S. Government Printing Office, '1976) Table 61, p. 60</t>
  </si>
  <si>
    <t>Center for Education Statistics, "Digest of Education Statistics, 1976" (Washington, D.C.: U.S. Government Printing Office, '1977) Table 65, p. 66</t>
  </si>
  <si>
    <t>Center for Education Statistics, "Digest of Education Statistics, 1978" (Washington, D.C.: U.S. Government Printing Office, '1978) Table 62, p. 62</t>
  </si>
  <si>
    <t>Center for Education Statistics, "Digest of Education Statistics, 1979" (Washington, D.C.: U.S. Government Printing Office, '1979) Table 61, p. 65</t>
  </si>
  <si>
    <t>Center for Education Statistics, "Digest of Education Statistics, 1989" (Washington, D.C.: U.S. Government Printing Office, '1989) Table 54, p. 67</t>
  </si>
  <si>
    <t>Center for Education Statistics, "State Comparisons of Education Statistics: 1969-70 to 1996-97" NCES 98-018 (Washington, D.C.: U.S. Government Printing Office, 'Nov. 98) Table 8, pp. 30-33</t>
  </si>
  <si>
    <t>Center for Education Statistics, "Digest of Education Statistics, 1994" (Washington, D.C.: U.S. Government Printing Office, '1994) Table 63, p. 73</t>
  </si>
  <si>
    <t>Center for Education Statistics, "Digest of Education Statistics, 1999" (Washington, D.C.: U.S. Government Printing Office, 2000) Table 64, p. 74</t>
  </si>
  <si>
    <t>National Center for Education Statistics, "Digest of Education Statistics, 2001" (Washington, D.C.: U.S. Government Printing Office, 2001) Table 63, p. 73</t>
  </si>
  <si>
    <t>National Center for Education Statistics, "Private School Universe Survey, 1999-2000;" and Indirect State-Level Estimation for the Private School Survey, 1999.</t>
  </si>
  <si>
    <t>National Center for Education Statistics, "Digest of Education Statistics 2004" Table 62.</t>
  </si>
  <si>
    <t>National Center for Education Statistics, "Digest of Education Statistics 2007" Table 59. Online: http://nces.ed.gov</t>
  </si>
  <si>
    <t>National Center for Education Statistics, "Digest of Education Statistics 2008" Table 62. Online: http://nces.ed.gov</t>
  </si>
  <si>
    <t>National Center for Education Statistics, "Digest of Education Statistics 2009" Table 62. Online: http://nces.ed.gov</t>
  </si>
  <si>
    <t>National Center for Education Statistics, "Digest of Education Statistics 2011" Table 67. Online: http://nces.ed.gov (2012)</t>
  </si>
  <si>
    <t>National Center for Education Statistics, Digest of Education Statistics, 2013, Table 205.80, http://nces.ed.gov/programs/digest/; downloaded 4/4/14</t>
  </si>
  <si>
    <t>National Center for Education Statistics, Digest of Education Statistics, 2015, Table 205.80, http://nces.ed.gov/programs/digest/; downloaded 5/11/16</t>
  </si>
  <si>
    <t>National Center for Education Statistics, Digest of Education Statistics, 2017, Table 205.80, http://nces.ed.gov/programs/digest/; downloaded 2/16/18; prepared June 2017</t>
  </si>
  <si>
    <t>National Center for Education Statistics, Digest of Education Statistics, 2019, Table 205.80, http://nces.ed.gov/programs/digest/; downloaded 4/1/20; prepared August 2019</t>
  </si>
  <si>
    <t>TOTAL High School Graduates</t>
  </si>
  <si>
    <t>Public High School Graduates by Race/Ethnicity</t>
  </si>
  <si>
    <t>All Races Total</t>
  </si>
  <si>
    <t>Projections</t>
  </si>
  <si>
    <t>Other Total (American Indian or Alaskan Native/Asian or Pacific Islander)</t>
  </si>
  <si>
    <t>Black non-Hispanic</t>
  </si>
  <si>
    <t>White non-Hispanic</t>
  </si>
  <si>
    <t>2020-21</t>
  </si>
  <si>
    <t>2023-24</t>
  </si>
  <si>
    <t>2024-25</t>
  </si>
  <si>
    <t>2025-26</t>
  </si>
  <si>
    <t>2026-27</t>
  </si>
  <si>
    <t>2027-28</t>
  </si>
  <si>
    <t>2028-29</t>
  </si>
  <si>
    <t>2029-30</t>
  </si>
  <si>
    <t>2030-31</t>
  </si>
  <si>
    <t>2031-32</t>
  </si>
  <si>
    <t xml:space="preserve">     South</t>
  </si>
  <si>
    <t>M</t>
  </si>
  <si>
    <t>WICHE West</t>
  </si>
  <si>
    <t>WICHE Midwest</t>
  </si>
  <si>
    <t>N/A</t>
  </si>
  <si>
    <t>Western Interstate Commission for Higher Education</t>
  </si>
  <si>
    <t>Knocking at the College Door: Projections of High School Graduates by State and Race/Ethnicity, 1992 to 2022</t>
  </si>
  <si>
    <t>Knocking at the College Door: Projections of High School Graduates by State and Race/Ethnicity, 1997 to 2028</t>
  </si>
  <si>
    <t>(Boulder, Colorado: Western Interstate Commission for Higher Education, March 2008)</t>
  </si>
  <si>
    <t>(Boulder, Colorado: Western Interstate Commission for Higher Education, January 2012)</t>
  </si>
  <si>
    <t>…with support from The College Board and ACT</t>
  </si>
  <si>
    <t>Notes: The “Race/Ethnicity Total” column equals the sum of the five racial/ethnic group columns shown. It will not equal the “Public Total” column in the projected years and also may not for the years in which actual data are reported if the state collects data on additional racial/ethnic groups. Also, the regional and national totals may not equal the sum of the states because they are separately derived.</t>
  </si>
  <si>
    <t>All Races</t>
  </si>
  <si>
    <t>2032-2033</t>
  </si>
  <si>
    <t>2033-2034</t>
  </si>
  <si>
    <t>2034-2035</t>
  </si>
  <si>
    <t>2035-2036</t>
  </si>
  <si>
    <t>2000-2001</t>
  </si>
  <si>
    <t>Other Total (Am Ind/Asian Pacf)</t>
  </si>
  <si>
    <t>Check Figures</t>
  </si>
  <si>
    <r>
      <rPr>
        <b/>
        <sz val="12"/>
        <color rgb="FFC00000"/>
        <rFont val="Arial"/>
        <family val="2"/>
      </rPr>
      <t>ACGR</t>
    </r>
    <r>
      <rPr>
        <sz val="12"/>
        <rFont val="Arial"/>
        <family val="2"/>
      </rPr>
      <t>: The four-year</t>
    </r>
    <r>
      <rPr>
        <b/>
        <sz val="12"/>
        <color rgb="FFC00000"/>
        <rFont val="Arial"/>
        <family val="2"/>
      </rPr>
      <t xml:space="preserve"> Adjusted Cohort Graduation Rate</t>
    </r>
    <r>
      <rPr>
        <sz val="12"/>
        <rFont val="Arial"/>
        <family val="2"/>
      </rPr>
      <t xml:space="preserve"> is the "gold standard" formula for calculating high school graduataion rates. ACGR was established through an NGA agreement with states in 2005 and federal regualtions in 2009. ACGR equals the number of actual students who graduate in four years with a regular high school diploma divided by the actual number of students who form the adjusted cohort for the graduating class. Unlike other formulas used to estimate high school graduation rates (AFGR, CPI and Leaver), ACGR is not an estimate. Instead, ACGR involves the counting and tracking of actual students (by unique ID) across four years of high school.                                                                                                                                                                                                                         From the beginning of 9th grade (or the earliest high school grade), students who are entering that grade for the first time form a cohort that is "adjusted" over the next four school years by adding any students who subsequently transfer into the cohort and subtracting any students who subsequently transfer out, emigrate to another country, or die.  States are required by regulation to have specific documentation for those students who transfer out of a cohort. 2010-11 was the first year that states were required to use the regulatory cohort rate, so data prior to that year are not necessarily comparable to the regulatory rates</t>
    </r>
    <r>
      <rPr>
        <b/>
        <sz val="12"/>
        <rFont val="Arial"/>
        <family val="2"/>
      </rPr>
      <t>.</t>
    </r>
  </si>
  <si>
    <t>Category Name</t>
  </si>
  <si>
    <t>Achievement Data</t>
  </si>
  <si>
    <t>Group Name</t>
  </si>
  <si>
    <t>Graduation Rate Data</t>
  </si>
  <si>
    <t>Sub-group Name</t>
  </si>
  <si>
    <t>Regulatory Adjusted Cohort Graduation Rates: 2010-11</t>
  </si>
  <si>
    <t>Regulatory Adjusted Cohort Graduation Rates: 2011-12</t>
  </si>
  <si>
    <t>States/Data Elements</t>
  </si>
  <si>
    <t>Regulatory Adjusted Cohort Graduation Rate, All Students: 2010-11</t>
  </si>
  <si>
    <t>State Note</t>
  </si>
  <si>
    <t>Regulatory Adjusted Cohort Graduation Rate, All Students: 2011-12</t>
  </si>
  <si>
    <t>AL</t>
  </si>
  <si>
    <t>AK</t>
  </si>
  <si>
    <t>AZ</t>
  </si>
  <si>
    <t>AR</t>
  </si>
  <si>
    <t>CA</t>
  </si>
  <si>
    <t>CO</t>
  </si>
  <si>
    <t>CT</t>
  </si>
  <si>
    <t>DE</t>
  </si>
  <si>
    <t>DC</t>
  </si>
  <si>
    <t>FL</t>
  </si>
  <si>
    <t>GA</t>
  </si>
  <si>
    <t>HI</t>
  </si>
  <si>
    <t>ID</t>
  </si>
  <si>
    <t>Regulatory Adjusted Cohort Graduation Rate, All Students: 2010-11: Idaho has received a "timeline extension" from the Department, pursuant to which it was not yet required to use an adjusted cohort graduation rate that meets the regulatory requirements for 2010-11. Accordingly, they did not submit data based on the regulatory requirements for 2010-11. Instead, they submitted data based on their previously approved methodology.</t>
  </si>
  <si>
    <t>Regulatory Adjusted Cohort Graduation Rate, All Students: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</si>
  <si>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IL</t>
  </si>
  <si>
    <t>IN</t>
  </si>
  <si>
    <t>IA</t>
  </si>
  <si>
    <t>KS</t>
  </si>
  <si>
    <t>KY</t>
  </si>
  <si>
    <t>Regulatory Adjusted Cohort Graduation Rate, All Students: 2010-11: Kentucky has received a "timeline extension" from the Department, pursuant to which it was not yet required to use an adjusted cohort graduation rate that meets the regulatory requirements for 2010-11. Accordingly, they did not submit data based on the regulatory requirements for 2010-11. Instead, they submitted data based on their previously approved methodology.</t>
  </si>
  <si>
    <t>LA</t>
  </si>
  <si>
    <t>ME</t>
  </si>
  <si>
    <t>MD</t>
  </si>
  <si>
    <t>MA</t>
  </si>
  <si>
    <t>MI</t>
  </si>
  <si>
    <t>MN</t>
  </si>
  <si>
    <t>MS</t>
  </si>
  <si>
    <t>MO</t>
  </si>
  <si>
    <t>MT</t>
  </si>
  <si>
    <t>NE</t>
  </si>
  <si>
    <t>NV</t>
  </si>
  <si>
    <t>NH</t>
  </si>
  <si>
    <t>NJ</t>
  </si>
  <si>
    <t>NM</t>
  </si>
  <si>
    <t>Regulatory Adjusted Cohort Graduation Rate, All Students: 2011-12: Growth in New Mexico's graduation rate from the 2010-11 to 2011-12 school year is the result of a policy issue that was resolved in 2012.</t>
  </si>
  <si>
    <t>NY</t>
  </si>
  <si>
    <t>NC</t>
  </si>
  <si>
    <t>ND</t>
  </si>
  <si>
    <t>OH</t>
  </si>
  <si>
    <t>OK</t>
  </si>
  <si>
    <t>OR</t>
  </si>
  <si>
    <t>PA</t>
  </si>
  <si>
    <t>PR</t>
  </si>
  <si>
    <t>Regulatory Adjusted Cohort Graduation Rate, All Students: 2011-12: Puerto Rico calculates a three-year adjusted cohort graduation rate instead of a four-year adjusted cohort graduation rate.</t>
  </si>
  <si>
    <t>RI</t>
  </si>
  <si>
    <t>SC</t>
  </si>
  <si>
    <t>SD</t>
  </si>
  <si>
    <t>TN</t>
  </si>
  <si>
    <t>TX</t>
  </si>
  <si>
    <t>UT</t>
  </si>
  <si>
    <t>VT</t>
  </si>
  <si>
    <t>VA</t>
  </si>
  <si>
    <t>WA</t>
  </si>
  <si>
    <t>WV</t>
  </si>
  <si>
    <t>WI</t>
  </si>
  <si>
    <t>WY</t>
  </si>
  <si>
    <t>US</t>
  </si>
  <si>
    <t>-</t>
  </si>
  <si>
    <t>Description</t>
  </si>
  <si>
    <t>The percentage of students from the original cohort who graduated in four years with a regular high school diploma.</t>
  </si>
  <si>
    <t>Academic Year</t>
  </si>
  <si>
    <t>Grade</t>
  </si>
  <si>
    <t>Note</t>
  </si>
  <si>
    <t>The four-year adjusted cohort graduation rate is the number of students who graduate in four years with a regular high school diploma divided by the number of students who form the adjusted cohort for the graduating class. From the beginning of 9th grade (or the earliest high school grade), students who are entering that grade for the first time form a cohort that is "adjusted" by adding any students who subsequently transfer into the cohort and subtracting any students who subsequently transfer out, emigrate to another country, or die. 2010-11 was the first year that states were required to use the regulatory cohort rate, so prior year data are not necessarily comparable to the 2010-11 rates. A dash (-) indicates that the data are not available. Cell with a "&gt;" or "&lt;" next to the value indicate that the value has been blurred, and is greater than or less than the value listed. An "n&lt;" means that the value has been suppressed. A "†" symbol means not applicable.</t>
  </si>
  <si>
    <t>The four-year adjusted cohort graduation rate is the number of students who graduate in four years with a regular high school diploma divided by the number of students who form the adjusted cohort for the graduating class. From the beginning of 9th grade (or the earliest high school grade), students who are entering that grade for the first time form a cohort that is "adjusted" by adding any students who subsequently transfer into the cohort and subtracting any students who subsequently transfer out, emigrate to another country, or die. 2010-11 was the first year that states were required to use the regulatory cohort rate, so data prior to that year are not necessarily comparable to the regulatory rates. A dash (-) indicates that the data are not available. Cell with a "&gt;" or "&lt;" next to the value indicate that the value has been blurred, and is greater than or less than the value listed. An "n&lt;" means that the value has been suppressed. A "†" symbol means not applicable.</t>
  </si>
  <si>
    <t>Source</t>
  </si>
  <si>
    <t>EDFacts: Tabulated from the reporting system as of September 2012</t>
  </si>
  <si>
    <t>EDFacts/Consolidated State Performance Report, 2011-12: http://www2.ed.gov/admins/lead/account/consolidated/index.html</t>
  </si>
  <si>
    <t>Data Uploaded On</t>
  </si>
  <si>
    <t>Downloaded from ED.gov on 4/4/14</t>
  </si>
  <si>
    <r>
      <rPr>
        <b/>
        <sz val="12"/>
        <color rgb="FFC00000"/>
        <rFont val="Arial"/>
        <family val="2"/>
      </rPr>
      <t>ACGR: The four-year Adjusted Cohort Graduation Rate</t>
    </r>
    <r>
      <rPr>
        <sz val="12"/>
        <rFont val="Arial"/>
        <family val="2"/>
      </rPr>
      <t xml:space="preserve"> is the "gold standard" formula for calculating high school graduataion rates. ACGR was established through an NGA agreement with states in 2005 and federal regualtions in 2009. ACGR equals the number of actual students who graduate in four years with a regular high school diploma divided by the actual number of students who form the adjusted cohort for the graduating class. Unlike other formulas used to estimate high school graduation rates (AFGR, CPI and Leaver), ACGR is not an estimate. Instead ACGR involves the counting and tracking of actual students (by unique ID) across four years of high school.                                                                                                                                                                                                                                                      
From the beginning of 9th grade (or the earliest high school grade), students who are entering that grade for the first time form a cohort that is "adjusted" over the next four school years by adding any students who subsequently transfer into the cohort and subtracting any students who subsequently transfer out, emigrate to another country, or die.  States are required by regulation to have specific documentation for those students who transfer out of a cohort. 2010-11 was the first year that states were required to use the regulatory cohort rate, so data prior to that year are not necessarily comparable to the regulatory rates.</t>
    </r>
  </si>
  <si>
    <t>Regulatory Adjusted Cohort Graduation Rate, American Indian and Alaskan Native: 2011-12</t>
  </si>
  <si>
    <t>Regulatory Adjusted Cohort Graduation Rate, Asian and Pacific Islander: 2011-12</t>
  </si>
  <si>
    <t>Regulatory Adjusted Cohort Graduation Rate, Asian: 2011-12</t>
  </si>
  <si>
    <t>Regulatory Adjusted Cohort Graduation Rate, Black: 2011-12</t>
  </si>
  <si>
    <t>Regulatory Adjusted Cohort Graduation Rate, Children with Disabilities: 2011-12</t>
  </si>
  <si>
    <t>Regulatory Adjusted Cohort Graduation Rate, Hispanic: 2011-12</t>
  </si>
  <si>
    <t>Regulatory Adjusted Cohort Graduation Rate, Limited English Proficient: 2011-12</t>
  </si>
  <si>
    <t>Regulatory Adjusted Cohort Graduation Rate, Low Income: 2011-12</t>
  </si>
  <si>
    <t>Regulatory Adjusted Cohort Graduation Rate, Native Hawaiian or Other Pacific Islander: 2011-12</t>
  </si>
  <si>
    <t>Regulatory Adjusted Cohort Graduation Rate, Two or More Races: 2011-12</t>
  </si>
  <si>
    <t>Regulatory Adjusted Cohort Graduation Rate, White: 2011-12</t>
  </si>
  <si>
    <t>Regulatory Adjusted Cohort Graduation Rate, Asian and Pacific Islander: 2011-12: The Asian/Pacific Islander value for this state has been derived based on counts submitted by the state for the "Asian" and "Native Hawaiian or Other Pacific Islander subgroups.</t>
  </si>
  <si>
    <t>n&lt;</t>
  </si>
  <si>
    <t>&gt;=80</t>
  </si>
  <si>
    <t>Regulatory Adjusted Cohort Graduation Rate, American Indian and Alaskan Native: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</si>
  <si>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Asian and Pacific Islander: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</si>
  <si>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Asian: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</si>
  <si>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Black: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</si>
  <si>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Children with Disabilities: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</si>
  <si>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Hispanic: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</si>
  <si>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Limited English Proficient: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</si>
  <si>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Low Income: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</si>
  <si>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Native Hawaiian or Other Pacific Islander: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</si>
  <si>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Two or More Races: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</si>
  <si>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White: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</si>
  <si>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American Indian and Alaskan Native: 2011-12: Growth in New Mexico's graduation rate from the 2010-11 to 2011-12 school year is the result of a policy issue that was resolved in 2012.</t>
  </si>
  <si>
    <t>Regulatory Adjusted Cohort Graduation Rate, Asian and Pacific Islander: 2011-12: Growth in New Mexico's graduation rate from the 2010-11 to 2011-12 school year is the result of a policy issue that was resolved in 2012.</t>
  </si>
  <si>
    <t>Regulatory Adjusted Cohort Graduation Rate, Asian: 2011-12: Growth in New Mexico's graduation rate from the 2010-11 to 2011-12 school year is the result of a policy issue that was resolved in 2012.</t>
  </si>
  <si>
    <t>Regulatory Adjusted Cohort Graduation Rate, Black: 2011-12: Growth in New Mexico's graduation rate from the 2010-11 to 2011-12 school year is the result of a policy issue that was resolved in 2012.</t>
  </si>
  <si>
    <t>Regulatory Adjusted Cohort Graduation Rate, Children with Disabilities: 2011-12: Growth in New Mexico's graduation rate from the 2010-11 to 2011-12 school year is the result of a policy issue that was resolved in 2012.</t>
  </si>
  <si>
    <t>Regulatory Adjusted Cohort Graduation Rate, Hispanic: 2011-12: Growth in New Mexico's graduation rate from the 2010-11 to 2011-12 school year is the result of a policy issue that was resolved in 2012.</t>
  </si>
  <si>
    <t>Regulatory Adjusted Cohort Graduation Rate, Limited English Proficient: 2011-12: Growth in New Mexico's graduation rate from the 2010-11 to 2011-12 school year is the result of a policy issue that was resolved in 2012.</t>
  </si>
  <si>
    <t>Regulatory Adjusted Cohort Graduation Rate, Low Income: 2011-12: Growth in New Mexico's graduation rate from the 2010-11 to 2011-12 school year is the result of a policy issue that was resolved in 2012.</t>
  </si>
  <si>
    <t>Regulatory Adjusted Cohort Graduation Rate, Native Hawaiian or Other Pacific Islander: 2011-12: Growth in New Mexico's graduation rate from the 2010-11 to 2011-12 school year is the result of a policy issue that was resolved in 2012.</t>
  </si>
  <si>
    <t>Regulatory Adjusted Cohort Graduation Rate, Two or More Races: 2011-12: Growth in New Mexico's graduation rate from the 2010-11 to 2011-12 school year is the result of a policy issue that was resolved in 2012.</t>
  </si>
  <si>
    <t>Regulatory Adjusted Cohort Graduation Rate, White: 2011-12: Growth in New Mexico's graduation rate from the 2010-11 to 2011-12 school year is the result of a policy issue that was resolved in 2012.</t>
  </si>
  <si>
    <t>Regulatory Adjusted Cohort Graduation Rate, All Students: 2011-12: Puerto Rico calculates a three-year adjusted cohort graduation rate instead of a four year adjusted cohort graduation rate.</t>
  </si>
  <si>
    <t>Regulatory Adjusted Cohort Graduation Rate, American Indian and Alaskan Native: 2011-12: Puerto Rico calculates a three-year adjusted cohort graduation rate instead of a four year adjusted cohort graduation rate.</t>
  </si>
  <si>
    <t>Regulatory Adjusted Cohort Graduation Rate, Asian and Pacific Islander: 2011-12: Puerto Rico calculates a three-year adjusted cohort graduation rate instead of a four year adjusted cohort graduation rate.</t>
  </si>
  <si>
    <t>Regulatory Adjusted Cohort Graduation Rate, Asian: 2011-12: Puerto Rico calculates a three-year adjusted cohort graduation rate instead of a four year adjusted cohort graduation rate.</t>
  </si>
  <si>
    <t>Regulatory Adjusted Cohort Graduation Rate, Black: 2011-12: Puerto Rico calculates a three-year adjusted cohort graduation rate instead of a four year adjusted cohort graduation rate.</t>
  </si>
  <si>
    <t>Regulatory Adjusted Cohort Graduation Rate, Children with Disabilities: 2011-12: Puerto Rico calculates a three-year adjusted cohort graduation rate instead of a four year adjusted cohort graduation rate.</t>
  </si>
  <si>
    <t>Regulatory Adjusted Cohort Graduation Rate, Hispanic: 2011-12: Puerto Rico calculates a three-year adjusted cohort graduation rate instead of a four year adjusted cohort graduation rate.</t>
  </si>
  <si>
    <t>Regulatory Adjusted Cohort Graduation Rate, Limited English Proficient: 2011-12: Puerto Rico calculates a three-year adjusted cohort graduation rate instead of a four year adjusted cohort graduation rate.</t>
  </si>
  <si>
    <t>Regulatory Adjusted Cohort Graduation Rate, Low Income: 2011-12: Puerto Rico calculates a three-year adjusted cohort graduation rate instead of a four year adjusted cohort graduation rate.</t>
  </si>
  <si>
    <t>Regulatory Adjusted Cohort Graduation Rate, Native Hawaiian or Other Pacific Islander: 2011-12: Puerto Rico calculates a three-year adjusted cohort graduation rate instead of a four year adjusted cohort graduation rate.</t>
  </si>
  <si>
    <t>Regulatory Adjusted Cohort Graduation Rate, Two or More Races: 2011-12: Puerto Rico calculates a three-year adjusted cohort graduation rate instead of a four year adjusted cohort graduation rate.</t>
  </si>
  <si>
    <t>Regulatory Adjusted Cohort Graduation Rate, White: 2011-12: Puerto Rico calculates a three-year adjusted cohort graduation rate instead of a four year adjusted cohort graduation rate.</t>
  </si>
  <si>
    <t>The percentage of American Indian and Alaskan Native students from the original cohort who graduated in four years with a regular high school diploma.</t>
  </si>
  <si>
    <t>The percentage of Asian and Pacific Islander students from the original cohort who graduated in four years with a regular high school diploma.</t>
  </si>
  <si>
    <t>The percentage of Asian students from the original cohort who graduated in four years with a regular high school diploma.</t>
  </si>
  <si>
    <t>The percentage of black students from the original cohort who graduated in four years with a regular high school diploma.</t>
  </si>
  <si>
    <t>The percentage of children with disabilities from the original cohort who graduated in four years with a regular high school diploma.</t>
  </si>
  <si>
    <t>The percentage of Hispanic students from the original cohort who graduated in four years with a regular high school diploma.</t>
  </si>
  <si>
    <t>The percentage of limited English proficient students from the original cohort who graduated in four years with a regular high school diploma.</t>
  </si>
  <si>
    <t>The percentage of low income students from the original cohort who graduated in four years with a regular high school diploma.</t>
  </si>
  <si>
    <t>The percentage of Native Hawaiian or other Pacific Islander students from the original cohort who graduated in four years with a regular high school diploma.</t>
  </si>
  <si>
    <t>The percentage of students of two or more races from the original cohort who graduated in four years with a regular high school diploma.</t>
  </si>
  <si>
    <t>The percentage of white students from the original cohort who graduated in four years with a regular high school diploma.</t>
  </si>
  <si>
    <t>The four-year adjusted cohort graduation rate is the number of students who graduate in four years with a regular high school diploma divided by the number of students who form the adjusted cohort for the graduating class. From the beginning of 9th grade (or the earliest high school grade), students who are entering that grade for the first time form a cohort that is "adjusted" by adding any students who subsequently transfer into the cohort and subtracting any students who subsequently transfer out, emigrate to another country, or die. 2010-11 was the first year that states were required to use the regulatory cohort rate, so data prior to that year are not necessarily comparable to the regulatory rates. A dash (-) indicates that the data are not available. Cells with a "&gt;" or "&lt;" next to the value indicate that the value has been blurred, and is greater than or less than the value listed. An "n&lt;" means that the value has been suppressed. A "†" symbol means not applicable.</t>
  </si>
  <si>
    <t>The four-year adjusted cohort graduation rate is the number of students who graduate in four years with a regular high school diploma divided by the number of students who form the adjusted cohort for the graduating class. From the beginning of 9th grade (or the earliest high school grade), students who are entering that grade for the first time form a cohort that is "adjusted" by adding any students who subsequently transfer into the cohort and subtracting any students who subsequently transfer out, emigrate to another country, or die. 2010-11 was the first year that states were required to use the regulatory cohort rate, so data prior to that year are not necessarily comparable to the regulatory rates. The Asian/Pacific Islander value represents either the value reported by the state to the Department of Education for the major racial and ethnic group "Asian/Pacific Islander" or an aggregation of values reported by the state for the major racial and ethnic groups "Asian," "Native Hawaiian/Other Pacific Islander or Pacific Islander," and "Filipino." Note that if the state only reported one of the three aforementioned major racial and ethnic groups, the calculated Asian/Pacific Islander value will equal the one reported value. A dash (-) indicates that the data are not available. Cells with a "&gt;" or "&lt;" next to the value indicate that the value has been blurred, and is greater than or less than the value listed. An "n&lt;" means that the value has been suppressed. A "†" symbol means not applicable.</t>
  </si>
  <si>
    <t>The main enrollment driver for postsecondary education is the number of public high school graduates.</t>
  </si>
  <si>
    <t>Years when numbers of public high school graduates reach all-time highs</t>
  </si>
  <si>
    <t>|</t>
  </si>
  <si>
    <t>é</t>
  </si>
  <si>
    <r>
      <rPr>
        <sz val="8"/>
        <rFont val="Wingdings"/>
        <charset val="2"/>
      </rPr>
      <t>é</t>
    </r>
  </si>
  <si>
    <t>SREB</t>
  </si>
  <si>
    <t>Men</t>
  </si>
  <si>
    <t>Women</t>
  </si>
  <si>
    <t>AmInd/AlaskNatv</t>
  </si>
  <si>
    <t>Asian</t>
  </si>
  <si>
    <t>Pacific Isl</t>
  </si>
  <si>
    <t>50 states and D.C. (reporting states)</t>
  </si>
  <si>
    <t>SREB states (reporting states)</t>
  </si>
  <si>
    <t xml:space="preserve"> —  </t>
  </si>
  <si>
    <t>≤3</t>
  </si>
  <si>
    <t>NCES Averaged Freshman Graduation Rates</t>
  </si>
  <si>
    <t>Robert Stillwell, Public School Graduates and Dropouts From the Common Core of Data: School Year
2006–07
First Look: 
(NCES2010-313) Oct. 2009</t>
  </si>
  <si>
    <t>Robert Stillwell, Jennifer Sable and Chris Plotts, Public School Graduates and Dropouts From the Common Core of Data: School Year
2008–09
First Look: 
(NCES2011-312) May 2011.</t>
  </si>
  <si>
    <t>NCES, Public School Graduates and Dropouts from the Common Core of Data: School Year 2009-10, Tables 2 &amp; 8 (Jan. 13)</t>
  </si>
  <si>
    <t>All Race/Ethnic Groups</t>
  </si>
  <si>
    <t>All</t>
  </si>
  <si>
    <t xml:space="preserve"> — </t>
  </si>
  <si>
    <t xml:space="preserve"> ‡ </t>
  </si>
  <si>
    <t>NCES Digest 2007, Table 102</t>
  </si>
  <si>
    <t>NCES, Public School Graduates and Dropouts From the common Core of Data: School Year 2005-06, (NCES 2008-353).</t>
  </si>
  <si>
    <t>Robert Stillwell, Public School Graduates and Dropouts From the Common Core of Data: School Year
2007–08
First Look: 
(NCES2010-341) June 2010.</t>
  </si>
  <si>
    <t>NCES, Public School Graduates and Dropouts from the Common Core of Data: School Year 2009-10, Tables 1 &amp; 2 (Jan. 13); Also found in Table 125 of the NCES Advance Release 2013 Digest Tables.</t>
  </si>
  <si>
    <t>Stetser, M. and Stillwell, R. (April 2014) Public High School Four-Year On-Time Graduation Rates and Event Dropout Rates: School Years 2010-11 and 2011-12. First Look (NCES 2014-391). U.S. Department of Education. Washington, DC: NCES. Retrieved 9/30/14 from http://nces.ed.gov/pubsearch.</t>
  </si>
  <si>
    <t>Source: U.S. Department of Education, NCES, Common Core of Data (CCD), "State Dropout and Completion Data Files," 2012-13. (This table was prepared January 2016.)</t>
  </si>
  <si>
    <t>Table 205.80. Private elementary and secondary schools, enrollment, teachers, and high school graduates, by state: Selected years, 2001 through 2011</t>
  </si>
  <si>
    <t>[Standard errors appear in parentheses]</t>
  </si>
  <si>
    <t>Schools, Fall 2011</t>
  </si>
  <si>
    <t>Enrollment in prekindergarten through grade 12</t>
  </si>
  <si>
    <t>Teachers,\1\ Fall 2011</t>
  </si>
  <si>
    <t>High school graduates, 2010–11</t>
  </si>
  <si>
    <t>Fall 2001</t>
  </si>
  <si>
    <t>Fall 2003</t>
  </si>
  <si>
    <t>Fall 2005</t>
  </si>
  <si>
    <t>Fall 2007</t>
  </si>
  <si>
    <t>Fall 2009</t>
  </si>
  <si>
    <t>Fall 2011</t>
  </si>
  <si>
    <t xml:space="preserve">   United States .........</t>
  </si>
  <si>
    <t/>
  </si>
  <si>
    <t>Alabama ..........................</t>
  </si>
  <si>
    <t>(†)</t>
  </si>
  <si>
    <t>Alaska .....................</t>
  </si>
  <si>
    <t>!</t>
  </si>
  <si>
    <t>Arizona .....................</t>
  </si>
  <si>
    <t>Arkansas .....................</t>
  </si>
  <si>
    <t>California .....................</t>
  </si>
  <si>
    <t>Colorado .....................</t>
  </si>
  <si>
    <t>Connecticut .....................</t>
  </si>
  <si>
    <t>Delaware .....................</t>
  </si>
  <si>
    <t>District of Columbia .....................</t>
  </si>
  <si>
    <t>Florida .....................</t>
  </si>
  <si>
    <t>Georgia .....................</t>
  </si>
  <si>
    <t>Hawaii .....................</t>
  </si>
  <si>
    <t>Idaho .....................</t>
  </si>
  <si>
    <t>Illinois .....................</t>
  </si>
  <si>
    <t>Indiana .....................</t>
  </si>
  <si>
    <t>Iowa .....................</t>
  </si>
  <si>
    <t>(†)</t>
  </si>
  <si>
    <t>Kansas .....................</t>
  </si>
  <si>
    <t>Kentucky .....................</t>
  </si>
  <si>
    <t>Louisiana .....................</t>
  </si>
  <si>
    <t>Maine .....................</t>
  </si>
  <si>
    <t>Maryland .....................</t>
  </si>
  <si>
    <t>Massachusetts .....................</t>
  </si>
  <si>
    <t>Michigan .....................</t>
  </si>
  <si>
    <t>Minnesota .....................</t>
  </si>
  <si>
    <t>Mississippi .....................</t>
  </si>
  <si>
    <t>Missouri .....................</t>
  </si>
  <si>
    <t>Montana .....................</t>
  </si>
  <si>
    <t>Nebraska .....................</t>
  </si>
  <si>
    <t>Nevada .....................</t>
  </si>
  <si>
    <t>New Hampshire .....................</t>
  </si>
  <si>
    <t>New Jersey .....................</t>
  </si>
  <si>
    <t>New Mexico .....................</t>
  </si>
  <si>
    <t>New York .....................</t>
  </si>
  <si>
    <t>North Carolina .....................</t>
  </si>
  <si>
    <t>North Dakota .....................</t>
  </si>
  <si>
    <t>Ohio .....................</t>
  </si>
  <si>
    <t>Oklahoma .....................</t>
  </si>
  <si>
    <t>Oregon .....................</t>
  </si>
  <si>
    <t>Pennsylvania .....................</t>
  </si>
  <si>
    <t>Rhode Island .....................</t>
  </si>
  <si>
    <t>South Carolina .....................</t>
  </si>
  <si>
    <t>South Dakota .....................</t>
  </si>
  <si>
    <t>Tennessee .....................</t>
  </si>
  <si>
    <t>Texas .....................</t>
  </si>
  <si>
    <t>Utah .....................</t>
  </si>
  <si>
    <t>Vermont .....................</t>
  </si>
  <si>
    <t>Virginia .....................</t>
  </si>
  <si>
    <t>Washington .....................</t>
  </si>
  <si>
    <t>West Virginia .....................</t>
  </si>
  <si>
    <t>Wisconsin .....................</t>
  </si>
  <si>
    <t>Wyoming .....................</t>
  </si>
  <si>
    <t>†Not applicable.</t>
  </si>
  <si>
    <t>!Interpret data with caution. The coefficient of variation (CV) for this estimate is between 30 and 50 percent.</t>
  </si>
  <si>
    <t>‡Reporting standards not met. The coefficient of variation (CV) for this estimate is 50 percent or greater.</t>
  </si>
  <si>
    <t>\1\Reported in full-time equivalents (FTE). Excludes teachers who teach only prekindergarten students.</t>
  </si>
  <si>
    <t>NOTE: Includes special education, vocational/technical education, and alternative schools. Tabulation includes schools that offer kindergarten or higher grade. Includes enrollment of students in prekindergarten through grade 12 in schools that offer kindergarten or higher grade. Detail may not sum to totals because of rounding.</t>
  </si>
  <si>
    <t>SOURCE: U.S. Department of Education, National Center for Education Statistics, Private School Universe Survey (PSS), 2001–02 through 2011–12. (This table was prepared May 2013.)</t>
  </si>
  <si>
    <t>Downloded 4/4/14 from Digest of Education Statistics Early Release tables.</t>
  </si>
  <si>
    <t>Table 14.Actual and projected numbers for public high school graduates, by region and state: School years 2004–05 through 2022–23—Continued</t>
  </si>
  <si>
    <t>Region and state</t>
  </si>
  <si>
    <t>2017–18</t>
  </si>
  <si>
    <t>2019–20</t>
  </si>
  <si>
    <t>2021–22</t>
  </si>
  <si>
    <t>2022–23</t>
  </si>
  <si>
    <t>United States</t>
  </si>
  <si>
    <t>South</t>
  </si>
  <si>
    <t>Ohio.</t>
  </si>
  <si>
    <t>NOTE: Some data have been revised from previously published figures. Detail may not sum to totals because of rounding. Mean absolute percentage errors of public high schoolgraduates by state and region can be found in table A-10, appendix A.SOURCE: U.S. Department of Education, National Center for Education Statistics, Com-mon Core of Data (CCD), “State Nonfiscal Survey of Public Elementary/Secondary Educa-tion,” 2005–06 through 2010–11; and State Public High School Graduates Model, 1980–81through 2009–10. (This table was prepared February 2013.)</t>
  </si>
  <si>
    <t>Downloaded 4/14/14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</si>
</sst>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_)"/>
    <numFmt numFmtId="165" formatCode="0.0"/>
    <numFmt numFmtId="166" formatCode="#,##0.0_);\(#,##0.0\)"/>
    <numFmt numFmtId="167" formatCode="_(* #,##0_);_(* \(#,##0\);_(* &quot;-&quot;??_);_(@_)"/>
    <numFmt numFmtId="168" formatCode="#,##0.0"/>
    <numFmt numFmtId="169" formatCode="#,##0.000_);\(#,##0.000\)"/>
    <numFmt numFmtId="170" formatCode="0.0%"/>
    <numFmt numFmtId="171" formatCode="\(#,###\)"/>
    <numFmt numFmtId="172" formatCode="\(#,#00\)"/>
    <numFmt numFmtId="173" formatCode="\(#,##0\)"/>
    <numFmt numFmtId="174" formatCode="0.0_);[Red]\(0.0\)"/>
    <numFmt numFmtId="175" formatCode="0.00_)"/>
  </numFmts>
  <fonts count="47">
    <font>
      <sz val="10"/>
      <name val="Helv"/>
    </font>
    <font>
      <sz val="11"/>
      <color theme="1"/>
      <name val="Calibri"/>
      <family val="2"/>
      <scheme val="minor"/>
    </font>
    <font>
      <sz val="10"/>
      <name val="AGaramond"/>
      <family val="3"/>
    </font>
    <font>
      <sz val="10"/>
      <name val="Arial"/>
      <family val="2"/>
    </font>
    <font>
      <b/>
      <sz val="10"/>
      <name val="Arial"/>
      <family val="2"/>
    </font>
    <font>
      <i/>
      <sz val="10"/>
      <name val="Arial"/>
      <family val="2"/>
    </font>
    <font>
      <sz val="10"/>
      <color indexed="12"/>
      <name val="Arial"/>
      <family val="2"/>
    </font>
    <font>
      <sz val="10"/>
      <color indexed="8"/>
      <name val="Arial"/>
      <family val="2"/>
    </font>
    <font>
      <sz val="8"/>
      <color indexed="81"/>
      <name val="Tahoma"/>
      <family val="2"/>
    </font>
    <font>
      <sz val="10"/>
      <name val="Helv"/>
    </font>
    <font>
      <sz val="8"/>
      <name val="Helv"/>
    </font>
    <font>
      <sz val="10"/>
      <name val="Courier"/>
      <family val="3"/>
    </font>
    <font>
      <sz val="10"/>
      <color indexed="81"/>
      <name val="Tahoma"/>
      <family val="2"/>
    </font>
    <font>
      <b/>
      <sz val="10"/>
      <color indexed="81"/>
      <name val="Tahoma"/>
      <family val="2"/>
    </font>
    <font>
      <sz val="12"/>
      <name val="Arial"/>
      <family val="2"/>
    </font>
    <font>
      <sz val="8"/>
      <name val="Arial"/>
      <family val="2"/>
    </font>
    <font>
      <sz val="16"/>
      <name val="Wingdings"/>
      <charset val="2"/>
    </font>
    <font>
      <sz val="10"/>
      <color rgb="FF0000FF"/>
      <name val="Arial"/>
      <family val="2"/>
    </font>
    <font>
      <sz val="8"/>
      <name val="Wingdings"/>
      <charset val="2"/>
    </font>
    <font>
      <b/>
      <sz val="8"/>
      <name val="Arial"/>
      <family val="2"/>
    </font>
    <font>
      <sz val="8"/>
      <color indexed="10"/>
      <name val="Arial"/>
      <family val="2"/>
    </font>
    <font>
      <b/>
      <sz val="12"/>
      <name val="Arial"/>
      <family val="2"/>
    </font>
    <font>
      <sz val="8"/>
      <color rgb="FF000000"/>
      <name val="Arial"/>
      <family val="2"/>
    </font>
    <font>
      <sz val="9"/>
      <color indexed="81"/>
      <name val="Tahoma"/>
      <family val="2"/>
    </font>
    <font>
      <b/>
      <sz val="9"/>
      <color indexed="81"/>
      <name val="Tahoma"/>
      <family val="2"/>
    </font>
    <font>
      <b/>
      <sz val="10"/>
      <color rgb="FF0000FF"/>
      <name val="Arial"/>
      <family val="2"/>
    </font>
    <font>
      <b/>
      <sz val="11"/>
      <color theme="1"/>
      <name val="Calibri"/>
      <family val="2"/>
      <scheme val="minor"/>
    </font>
    <font>
      <sz val="10"/>
      <name val="Calibri"/>
      <family val="2"/>
      <scheme val="minor"/>
    </font>
    <font>
      <b/>
      <sz val="10"/>
      <name val="Helv"/>
    </font>
    <font>
      <b/>
      <sz val="10"/>
      <name val="Courier New"/>
      <family val="3"/>
    </font>
    <font>
      <sz val="10"/>
      <name val="Courier New"/>
      <family val="3"/>
    </font>
    <font>
      <vertAlign val="superscript"/>
      <sz val="10"/>
      <name val="Arial"/>
      <family val="2"/>
    </font>
    <font>
      <sz val="10"/>
      <color rgb="FF2E2E2E"/>
      <name val="Arial"/>
      <family val="2"/>
    </font>
    <font>
      <u/>
      <sz val="10"/>
      <name val="Arial"/>
      <family val="2"/>
    </font>
    <font>
      <b/>
      <sz val="8"/>
      <color rgb="FF000000"/>
      <name val="Verdana"/>
      <family val="2"/>
    </font>
    <font>
      <sz val="8"/>
      <color rgb="FF000000"/>
      <name val="Verdana"/>
      <family val="2"/>
    </font>
    <font>
      <sz val="8"/>
      <color rgb="FF2E2E2E"/>
      <name val="Arial"/>
      <family val="2"/>
    </font>
    <font>
      <u/>
      <sz val="11"/>
      <color theme="10"/>
      <name val="Calibri"/>
      <family val="2"/>
      <scheme val="minor"/>
    </font>
    <font>
      <b/>
      <sz val="12"/>
      <color rgb="FFC00000"/>
      <name val="Arial"/>
      <family val="2"/>
    </font>
    <font>
      <sz val="12"/>
      <name val="Helv"/>
    </font>
    <font>
      <sz val="7"/>
      <color rgb="FF2E2E2E"/>
      <name val="Arial"/>
      <family val="2"/>
    </font>
    <font>
      <sz val="10"/>
      <name val="Calibri"/>
      <family val="2"/>
    </font>
    <font>
      <b/>
      <sz val="12"/>
      <name val="Helv"/>
    </font>
    <font>
      <sz val="10"/>
      <color rgb="FFFF0000"/>
      <name val="Arial"/>
      <family val="2"/>
    </font>
    <font>
      <sz val="10"/>
      <color rgb="FF0000FF"/>
      <name val="Helv"/>
    </font>
    <font>
      <sz val="10"/>
      <color rgb="FF212529"/>
      <name val="Arial"/>
      <family val="2"/>
    </font>
    <font>
      <i/>
      <sz val="10"/>
      <color rgb="FF212529"/>
      <name val="Arial"/>
      <family val="2"/>
    </font>
  </fonts>
  <fills count="13">
    <fill>
      <patternFill patternType="none"/>
    </fill>
    <fill>
      <patternFill patternType="gray125"/>
    </fill>
    <fill>
      <patternFill patternType="solid">
        <fgColor theme="9" tint="0.79998168889431442"/>
        <bgColor indexed="64"/>
      </patternFill>
    </fill>
    <fill>
      <patternFill patternType="solid">
        <fgColor rgb="FFFFFFCC"/>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FFFF"/>
        <bgColor indexed="64"/>
      </patternFill>
    </fill>
    <fill>
      <patternFill patternType="solid">
        <fgColor theme="0"/>
        <bgColor indexed="64"/>
      </patternFill>
    </fill>
    <fill>
      <patternFill patternType="solid">
        <fgColor theme="9"/>
        <bgColor indexed="64"/>
      </patternFill>
    </fill>
    <fill>
      <patternFill patternType="solid">
        <fgColor rgb="FFFFFF00"/>
        <bgColor indexed="64"/>
      </patternFill>
    </fill>
    <fill>
      <patternFill patternType="solid">
        <fgColor theme="3" tint="0.79998168889431442"/>
        <bgColor indexed="64"/>
      </patternFill>
    </fill>
  </fills>
  <borders count="44">
    <border>
      <left/>
      <right/>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8"/>
      </right>
      <top/>
      <bottom/>
      <diagonal/>
    </border>
    <border>
      <left/>
      <right/>
      <top style="thin">
        <color indexed="64"/>
      </top>
      <bottom/>
      <diagonal/>
    </border>
    <border>
      <left style="thin">
        <color indexed="64"/>
      </left>
      <right/>
      <top/>
      <bottom style="thin">
        <color indexed="64"/>
      </bottom>
      <diagonal/>
    </border>
    <border>
      <left/>
      <right/>
      <top/>
      <bottom style="thin">
        <color indexed="8"/>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8"/>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8"/>
      </bottom>
      <diagonal/>
    </border>
    <border>
      <left/>
      <right style="thin">
        <color indexed="8"/>
      </right>
      <top/>
      <bottom style="thin">
        <color indexed="64"/>
      </bottom>
      <diagonal/>
    </border>
    <border>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top style="thin">
        <color theme="0" tint="-0.24994659260841701"/>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medium">
        <color rgb="FF282828"/>
      </bottom>
      <diagonal/>
    </border>
    <border>
      <left/>
      <right/>
      <top style="medium">
        <color rgb="FF282828"/>
      </top>
      <bottom/>
      <diagonal/>
    </border>
    <border>
      <left/>
      <right style="thin">
        <color indexed="64"/>
      </right>
      <top/>
      <bottom style="medium">
        <color rgb="FF282828"/>
      </bottom>
      <diagonal/>
    </border>
    <border>
      <left/>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64"/>
      </top>
      <bottom/>
      <diagonal/>
    </border>
    <border>
      <left/>
      <right style="thin">
        <color indexed="64"/>
      </right>
      <top/>
      <bottom style="thin">
        <color rgb="FF000000"/>
      </bottom>
      <diagonal/>
    </border>
  </borders>
  <cellStyleXfs count="15">
    <xf numFmtId="37" fontId="0" fillId="0" borderId="0"/>
    <xf numFmtId="43" fontId="2" fillId="0" borderId="0" applyFont="0" applyFill="0" applyBorder="0" applyAlignment="0" applyProtection="0"/>
    <xf numFmtId="0" fontId="14" fillId="0" borderId="0"/>
    <xf numFmtId="164" fontId="11" fillId="0" borderId="0"/>
    <xf numFmtId="9" fontId="2" fillId="0" borderId="0" applyFont="0" applyFill="0" applyBorder="0" applyAlignment="0" applyProtection="0"/>
    <xf numFmtId="0" fontId="22" fillId="0" borderId="0"/>
    <xf numFmtId="43" fontId="22" fillId="0" borderId="0" applyFont="0" applyFill="0" applyBorder="0" applyAlignment="0" applyProtection="0"/>
    <xf numFmtId="0" fontId="1" fillId="0" borderId="0"/>
    <xf numFmtId="0" fontId="37" fillId="0" borderId="0" applyNumberFormat="0" applyFill="0" applyBorder="0" applyAlignment="0" applyProtection="0"/>
    <xf numFmtId="37" fontId="9" fillId="0" borderId="0"/>
    <xf numFmtId="43" fontId="2" fillId="0" borderId="0" applyFont="0" applyFill="0" applyBorder="0" applyAlignment="0" applyProtection="0"/>
    <xf numFmtId="9" fontId="2" fillId="0" borderId="0" applyFont="0" applyFill="0" applyBorder="0" applyAlignment="0" applyProtection="0"/>
    <xf numFmtId="37" fontId="9" fillId="0" borderId="0"/>
    <xf numFmtId="43" fontId="2" fillId="0" borderId="0" applyFont="0" applyFill="0" applyBorder="0" applyAlignment="0" applyProtection="0"/>
    <xf numFmtId="9" fontId="2" fillId="0" borderId="0" applyFont="0" applyFill="0" applyBorder="0" applyAlignment="0" applyProtection="0"/>
  </cellStyleXfs>
  <cellXfs count="661">
    <xf numFmtId="37" fontId="0" fillId="0" borderId="0" xfId="0"/>
    <xf numFmtId="37" fontId="3" fillId="0" borderId="0" xfId="0" applyFont="1" applyAlignment="1">
      <alignment horizontal="centerContinuous"/>
    </xf>
    <xf numFmtId="37" fontId="3" fillId="0" borderId="0" xfId="0" applyFont="1"/>
    <xf numFmtId="37" fontId="3" fillId="0" borderId="0" xfId="0" applyFont="1" applyAlignment="1">
      <alignment horizontal="left"/>
    </xf>
    <xf numFmtId="37" fontId="4" fillId="0" borderId="0" xfId="0" applyFont="1"/>
    <xf numFmtId="37" fontId="6" fillId="0" borderId="0" xfId="0" applyFont="1" applyProtection="1">
      <protection locked="0"/>
    </xf>
    <xf numFmtId="37" fontId="3" fillId="0" borderId="1" xfId="0" applyFont="1" applyBorder="1"/>
    <xf numFmtId="3" fontId="3" fillId="0" borderId="0" xfId="0" applyNumberFormat="1" applyFont="1"/>
    <xf numFmtId="37" fontId="3" fillId="0" borderId="0" xfId="0" applyFont="1" applyAlignment="1">
      <alignment horizontal="right"/>
    </xf>
    <xf numFmtId="37" fontId="3" fillId="0" borderId="0" xfId="0" applyFont="1" applyAlignment="1">
      <alignment horizontal="fill"/>
    </xf>
    <xf numFmtId="3" fontId="3" fillId="0" borderId="0" xfId="0" applyNumberFormat="1" applyFont="1" applyProtection="1">
      <protection locked="0"/>
    </xf>
    <xf numFmtId="3" fontId="7" fillId="0" borderId="0" xfId="0" applyNumberFormat="1" applyFont="1" applyProtection="1">
      <protection locked="0"/>
    </xf>
    <xf numFmtId="3" fontId="3" fillId="0" borderId="0" xfId="0" applyNumberFormat="1" applyFont="1" applyAlignment="1">
      <alignment horizontal="right"/>
    </xf>
    <xf numFmtId="37" fontId="3" fillId="0" borderId="0" xfId="0" quotePrefix="1" applyFont="1"/>
    <xf numFmtId="3" fontId="6" fillId="0" borderId="0" xfId="0" applyNumberFormat="1" applyFont="1" applyProtection="1">
      <protection locked="0"/>
    </xf>
    <xf numFmtId="37" fontId="6" fillId="0" borderId="0" xfId="0" applyFont="1"/>
    <xf numFmtId="3" fontId="6" fillId="0" borderId="0" xfId="0" applyNumberFormat="1" applyFont="1"/>
    <xf numFmtId="37" fontId="3" fillId="0" borderId="0" xfId="0" applyFont="1" applyAlignment="1">
      <alignment vertical="top"/>
    </xf>
    <xf numFmtId="37" fontId="3" fillId="0" borderId="1" xfId="0" applyFont="1" applyBorder="1" applyAlignment="1">
      <alignment horizontal="centerContinuous"/>
    </xf>
    <xf numFmtId="37" fontId="6" fillId="0" borderId="0" xfId="0" applyFont="1" applyAlignment="1">
      <alignment horizontal="left"/>
    </xf>
    <xf numFmtId="37" fontId="5" fillId="0" borderId="0" xfId="0" applyFont="1"/>
    <xf numFmtId="37" fontId="6" fillId="0" borderId="0" xfId="0" quotePrefix="1" applyFont="1"/>
    <xf numFmtId="0" fontId="3" fillId="0" borderId="0" xfId="0" applyNumberFormat="1" applyFont="1" applyAlignment="1">
      <alignment horizontal="left"/>
    </xf>
    <xf numFmtId="37" fontId="3" fillId="0" borderId="0" xfId="0" applyFont="1" applyProtection="1">
      <protection locked="0"/>
    </xf>
    <xf numFmtId="37" fontId="3" fillId="0" borderId="1" xfId="0" applyFont="1" applyBorder="1" applyAlignment="1">
      <alignment horizontal="right"/>
    </xf>
    <xf numFmtId="37" fontId="3" fillId="0" borderId="1" xfId="0" applyFont="1" applyBorder="1" applyAlignment="1">
      <alignment horizontal="left"/>
    </xf>
    <xf numFmtId="37" fontId="3" fillId="0" borderId="0" xfId="0" applyFont="1" applyAlignment="1">
      <alignment vertical="top" wrapText="1"/>
    </xf>
    <xf numFmtId="37" fontId="3" fillId="0" borderId="0" xfId="0" applyFont="1" applyAlignment="1">
      <alignment horizontal="center"/>
    </xf>
    <xf numFmtId="37" fontId="3" fillId="0" borderId="10" xfId="0" applyFont="1" applyBorder="1" applyAlignment="1">
      <alignment horizontal="centerContinuous"/>
    </xf>
    <xf numFmtId="0" fontId="3" fillId="0" borderId="0" xfId="2" applyFont="1"/>
    <xf numFmtId="165" fontId="3" fillId="0" borderId="1" xfId="0" applyNumberFormat="1" applyFont="1" applyBorder="1" applyAlignment="1">
      <alignment horizontal="right"/>
    </xf>
    <xf numFmtId="0" fontId="3" fillId="0" borderId="1" xfId="2" applyFont="1" applyBorder="1"/>
    <xf numFmtId="0" fontId="3" fillId="0" borderId="0" xfId="2" applyFont="1" applyAlignment="1">
      <alignment horizontal="right"/>
    </xf>
    <xf numFmtId="165" fontId="3" fillId="0" borderId="0" xfId="0" applyNumberFormat="1" applyFont="1" applyAlignment="1">
      <alignment horizontal="right"/>
    </xf>
    <xf numFmtId="165" fontId="3" fillId="0" borderId="0" xfId="2" applyNumberFormat="1" applyFont="1"/>
    <xf numFmtId="165" fontId="3" fillId="0" borderId="0" xfId="0" applyNumberFormat="1" applyFont="1" applyAlignment="1">
      <alignment vertical="top" wrapText="1"/>
    </xf>
    <xf numFmtId="165" fontId="3" fillId="0" borderId="0" xfId="0" applyNumberFormat="1" applyFont="1"/>
    <xf numFmtId="165" fontId="3" fillId="0" borderId="1" xfId="0" applyNumberFormat="1" applyFont="1" applyBorder="1"/>
    <xf numFmtId="165" fontId="3" fillId="0" borderId="1" xfId="2" applyNumberFormat="1" applyFont="1" applyBorder="1"/>
    <xf numFmtId="37" fontId="3" fillId="0" borderId="4" xfId="0" applyFont="1" applyBorder="1"/>
    <xf numFmtId="37" fontId="4" fillId="0" borderId="0" xfId="0" applyFont="1" applyAlignment="1">
      <alignment vertical="top"/>
    </xf>
    <xf numFmtId="3" fontId="3" fillId="0" borderId="0" xfId="0" applyNumberFormat="1" applyFont="1" applyAlignment="1">
      <alignment vertical="top"/>
    </xf>
    <xf numFmtId="37" fontId="3" fillId="0" borderId="8" xfId="0" applyFont="1" applyBorder="1" applyAlignment="1">
      <alignment horizontal="centerContinuous"/>
    </xf>
    <xf numFmtId="37" fontId="3" fillId="0" borderId="16" xfId="0" applyFont="1" applyBorder="1" applyAlignment="1">
      <alignment horizontal="centerContinuous"/>
    </xf>
    <xf numFmtId="37" fontId="4" fillId="0" borderId="0" xfId="0" applyFont="1" applyAlignment="1">
      <alignment horizontal="left"/>
    </xf>
    <xf numFmtId="37" fontId="3" fillId="0" borderId="0" xfId="0" applyFont="1" applyAlignment="1">
      <alignment horizontal="left" vertical="top"/>
    </xf>
    <xf numFmtId="9" fontId="3" fillId="0" borderId="0" xfId="4" applyFont="1" applyFill="1" applyBorder="1" applyAlignment="1">
      <alignment horizontal="right"/>
    </xf>
    <xf numFmtId="37" fontId="16" fillId="0" borderId="0" xfId="0" applyFont="1" applyAlignment="1">
      <alignment horizontal="center"/>
    </xf>
    <xf numFmtId="165" fontId="3" fillId="0" borderId="0" xfId="2" applyNumberFormat="1" applyFont="1" applyAlignment="1">
      <alignment horizontal="right"/>
    </xf>
    <xf numFmtId="0" fontId="3" fillId="0" borderId="4" xfId="2" applyFont="1" applyBorder="1" applyAlignment="1">
      <alignment horizontal="centerContinuous"/>
    </xf>
    <xf numFmtId="0" fontId="3" fillId="0" borderId="4" xfId="2" applyFont="1" applyBorder="1"/>
    <xf numFmtId="37" fontId="3" fillId="0" borderId="2" xfId="0" applyFont="1" applyBorder="1" applyAlignment="1">
      <alignment horizontal="right"/>
    </xf>
    <xf numFmtId="3" fontId="3" fillId="0" borderId="2" xfId="0" applyNumberFormat="1" applyFont="1" applyBorder="1"/>
    <xf numFmtId="0" fontId="3" fillId="0" borderId="2" xfId="0" applyNumberFormat="1" applyFont="1" applyBorder="1"/>
    <xf numFmtId="0" fontId="3" fillId="0" borderId="1" xfId="2" applyFont="1" applyBorder="1" applyAlignment="1">
      <alignment horizontal="right"/>
    </xf>
    <xf numFmtId="3" fontId="3" fillId="0" borderId="3" xfId="0" applyNumberFormat="1" applyFont="1" applyBorder="1"/>
    <xf numFmtId="0" fontId="3" fillId="0" borderId="0" xfId="0" applyNumberFormat="1" applyFont="1"/>
    <xf numFmtId="0" fontId="3" fillId="0" borderId="11" xfId="2" applyFont="1" applyBorder="1" applyAlignment="1">
      <alignment horizontal="right"/>
    </xf>
    <xf numFmtId="37" fontId="3" fillId="0" borderId="11" xfId="0" applyFont="1" applyBorder="1" applyAlignment="1">
      <alignment horizontal="centerContinuous" vertical="center" wrapText="1"/>
    </xf>
    <xf numFmtId="37" fontId="3" fillId="0" borderId="5" xfId="0" applyFont="1" applyBorder="1" applyAlignment="1">
      <alignment horizontal="right" vertical="center" wrapText="1"/>
    </xf>
    <xf numFmtId="165" fontId="3" fillId="0" borderId="5" xfId="2" applyNumberFormat="1" applyFont="1" applyBorder="1"/>
    <xf numFmtId="165" fontId="3" fillId="0" borderId="8" xfId="2" applyNumberFormat="1" applyFont="1" applyBorder="1"/>
    <xf numFmtId="0" fontId="3" fillId="0" borderId="5" xfId="2" applyFont="1" applyBorder="1"/>
    <xf numFmtId="167" fontId="7" fillId="0" borderId="5" xfId="1" applyNumberFormat="1" applyFont="1" applyBorder="1" applyAlignment="1">
      <alignment horizontal="right"/>
    </xf>
    <xf numFmtId="37" fontId="3" fillId="0" borderId="5" xfId="0" applyFont="1" applyBorder="1"/>
    <xf numFmtId="167" fontId="7" fillId="0" borderId="1" xfId="1" applyNumberFormat="1" applyFont="1" applyBorder="1" applyAlignment="1">
      <alignment horizontal="right"/>
    </xf>
    <xf numFmtId="167" fontId="7" fillId="0" borderId="0" xfId="1" applyNumberFormat="1" applyFont="1" applyBorder="1" applyAlignment="1">
      <alignment horizontal="right"/>
    </xf>
    <xf numFmtId="37" fontId="3" fillId="0" borderId="8" xfId="0" applyFont="1" applyBorder="1"/>
    <xf numFmtId="167" fontId="7" fillId="0" borderId="2" xfId="1" applyNumberFormat="1" applyFont="1" applyBorder="1" applyAlignment="1">
      <alignment horizontal="right"/>
    </xf>
    <xf numFmtId="37" fontId="3" fillId="0" borderId="11" xfId="0" applyFont="1" applyBorder="1" applyAlignment="1">
      <alignment horizontal="right"/>
    </xf>
    <xf numFmtId="37" fontId="3" fillId="0" borderId="13" xfId="0" applyFont="1" applyBorder="1" applyAlignment="1">
      <alignment horizontal="right"/>
    </xf>
    <xf numFmtId="167" fontId="7" fillId="0" borderId="8" xfId="1" applyNumberFormat="1" applyFont="1" applyBorder="1" applyAlignment="1">
      <alignment horizontal="right"/>
    </xf>
    <xf numFmtId="167" fontId="7" fillId="0" borderId="3" xfId="1" applyNumberFormat="1" applyFont="1" applyBorder="1" applyAlignment="1">
      <alignment horizontal="right"/>
    </xf>
    <xf numFmtId="0" fontId="3" fillId="0" borderId="4" xfId="0" applyNumberFormat="1" applyFont="1" applyBorder="1"/>
    <xf numFmtId="37" fontId="3" fillId="0" borderId="6" xfId="0" applyFont="1" applyBorder="1"/>
    <xf numFmtId="37" fontId="3" fillId="0" borderId="18" xfId="0" applyFont="1" applyBorder="1"/>
    <xf numFmtId="0" fontId="0" fillId="0" borderId="0" xfId="0" applyNumberFormat="1"/>
    <xf numFmtId="37" fontId="3" fillId="0" borderId="6" xfId="0" applyFont="1" applyBorder="1" applyAlignment="1">
      <alignment horizontal="left"/>
    </xf>
    <xf numFmtId="37" fontId="3" fillId="0" borderId="4" xfId="0" applyFont="1" applyBorder="1" applyAlignment="1">
      <alignment horizontal="right"/>
    </xf>
    <xf numFmtId="0" fontId="0" fillId="0" borderId="0" xfId="0" applyNumberFormat="1" applyAlignment="1">
      <alignment vertical="top"/>
    </xf>
    <xf numFmtId="165" fontId="3" fillId="0" borderId="1" xfId="2" applyNumberFormat="1" applyFont="1" applyBorder="1" applyAlignment="1">
      <alignment horizontal="right"/>
    </xf>
    <xf numFmtId="166" fontId="3" fillId="0" borderId="0" xfId="0" applyNumberFormat="1" applyFont="1" applyAlignment="1">
      <alignment horizontal="right"/>
    </xf>
    <xf numFmtId="0" fontId="0" fillId="0" borderId="1" xfId="0" applyNumberFormat="1" applyBorder="1"/>
    <xf numFmtId="37" fontId="3" fillId="0" borderId="7" xfId="0" applyFont="1" applyBorder="1" applyAlignment="1">
      <alignment horizontal="right" wrapText="1"/>
    </xf>
    <xf numFmtId="37" fontId="3" fillId="0" borderId="0" xfId="0" applyFont="1" applyAlignment="1">
      <alignment horizontal="right" wrapText="1"/>
    </xf>
    <xf numFmtId="165" fontId="3" fillId="0" borderId="4" xfId="0" applyNumberFormat="1" applyFont="1" applyBorder="1" applyAlignment="1">
      <alignment vertical="center"/>
    </xf>
    <xf numFmtId="165" fontId="3" fillId="0" borderId="11" xfId="0" applyNumberFormat="1" applyFont="1" applyBorder="1" applyAlignment="1">
      <alignment vertical="center"/>
    </xf>
    <xf numFmtId="165" fontId="3" fillId="0" borderId="4" xfId="0" applyNumberFormat="1" applyFont="1" applyBorder="1" applyAlignment="1">
      <alignment horizontal="right"/>
    </xf>
    <xf numFmtId="165" fontId="3" fillId="0" borderId="4" xfId="0" applyNumberFormat="1" applyFont="1" applyBorder="1"/>
    <xf numFmtId="165" fontId="3" fillId="0" borderId="4" xfId="2" applyNumberFormat="1" applyFont="1" applyBorder="1"/>
    <xf numFmtId="165" fontId="3" fillId="0" borderId="4" xfId="2" applyNumberFormat="1" applyFont="1" applyBorder="1" applyAlignment="1">
      <alignment horizontal="right"/>
    </xf>
    <xf numFmtId="0" fontId="3" fillId="0" borderId="4" xfId="2" applyFont="1" applyBorder="1" applyAlignment="1">
      <alignment horizontal="right"/>
    </xf>
    <xf numFmtId="165" fontId="17" fillId="0" borderId="0" xfId="0" applyNumberFormat="1" applyFont="1" applyAlignment="1">
      <alignment horizontal="right"/>
    </xf>
    <xf numFmtId="165" fontId="17" fillId="0" borderId="5" xfId="0" applyNumberFormat="1" applyFont="1" applyBorder="1" applyAlignment="1">
      <alignment horizontal="right"/>
    </xf>
    <xf numFmtId="165" fontId="3" fillId="0" borderId="11" xfId="2" applyNumberFormat="1" applyFont="1" applyBorder="1"/>
    <xf numFmtId="167" fontId="17" fillId="0" borderId="0" xfId="1" applyNumberFormat="1" applyFont="1" applyBorder="1" applyAlignment="1">
      <alignment horizontal="right"/>
    </xf>
    <xf numFmtId="167" fontId="17" fillId="0" borderId="5" xfId="1" applyNumberFormat="1" applyFont="1" applyBorder="1" applyAlignment="1">
      <alignment horizontal="right"/>
    </xf>
    <xf numFmtId="167" fontId="3" fillId="0" borderId="0" xfId="1" applyNumberFormat="1" applyFont="1" applyBorder="1"/>
    <xf numFmtId="167" fontId="3" fillId="0" borderId="0" xfId="1" applyNumberFormat="1" applyFont="1" applyBorder="1" applyAlignment="1">
      <alignment horizontal="right"/>
    </xf>
    <xf numFmtId="167" fontId="3" fillId="0" borderId="0" xfId="1" applyNumberFormat="1" applyFont="1" applyFill="1" applyBorder="1"/>
    <xf numFmtId="167" fontId="3" fillId="0" borderId="0" xfId="1" applyNumberFormat="1" applyFont="1" applyFill="1" applyBorder="1" applyAlignment="1">
      <alignment horizontal="right"/>
    </xf>
    <xf numFmtId="167" fontId="3" fillId="0" borderId="1" xfId="1" applyNumberFormat="1" applyFont="1" applyFill="1" applyBorder="1"/>
    <xf numFmtId="167" fontId="3" fillId="0" borderId="1" xfId="1" applyNumberFormat="1" applyFont="1" applyFill="1" applyBorder="1" applyAlignment="1">
      <alignment horizontal="right"/>
    </xf>
    <xf numFmtId="167" fontId="3" fillId="0" borderId="4" xfId="1" applyNumberFormat="1" applyFont="1" applyBorder="1" applyAlignment="1">
      <alignment horizontal="right"/>
    </xf>
    <xf numFmtId="167" fontId="3" fillId="0" borderId="4" xfId="1" applyNumberFormat="1" applyFont="1" applyBorder="1"/>
    <xf numFmtId="167" fontId="3" fillId="0" borderId="4" xfId="1" applyNumberFormat="1" applyFont="1" applyFill="1" applyBorder="1"/>
    <xf numFmtId="167" fontId="3" fillId="0" borderId="4" xfId="1" applyNumberFormat="1" applyFont="1" applyFill="1" applyBorder="1" applyAlignment="1">
      <alignment horizontal="right"/>
    </xf>
    <xf numFmtId="167" fontId="3" fillId="0" borderId="0" xfId="1" applyNumberFormat="1" applyFont="1"/>
    <xf numFmtId="167" fontId="3" fillId="0" borderId="0" xfId="1" applyNumberFormat="1" applyFont="1" applyBorder="1" applyAlignment="1">
      <alignment horizontal="left" vertical="top"/>
    </xf>
    <xf numFmtId="167" fontId="3" fillId="0" borderId="0" xfId="1" applyNumberFormat="1" applyFont="1" applyFill="1" applyBorder="1" applyAlignment="1" applyProtection="1">
      <alignment horizontal="left" vertical="top" wrapText="1"/>
    </xf>
    <xf numFmtId="167" fontId="3" fillId="0" borderId="0" xfId="1" applyNumberFormat="1" applyFont="1" applyBorder="1" applyAlignment="1">
      <alignment vertical="top" wrapText="1"/>
    </xf>
    <xf numFmtId="167" fontId="3" fillId="0" borderId="4" xfId="1" applyNumberFormat="1" applyFont="1" applyFill="1" applyBorder="1" applyAlignment="1"/>
    <xf numFmtId="167" fontId="3" fillId="0" borderId="0" xfId="1" applyNumberFormat="1" applyFont="1" applyBorder="1" applyAlignment="1" applyProtection="1"/>
    <xf numFmtId="167" fontId="3" fillId="0" borderId="0" xfId="1" applyNumberFormat="1" applyFont="1" applyFill="1" applyBorder="1" applyAlignment="1" applyProtection="1">
      <alignment horizontal="left"/>
    </xf>
    <xf numFmtId="167" fontId="3" fillId="0" borderId="0" xfId="1" applyNumberFormat="1" applyFont="1" applyBorder="1" applyAlignment="1"/>
    <xf numFmtId="37" fontId="17" fillId="0" borderId="0" xfId="0" applyFont="1" applyAlignment="1">
      <alignment horizontal="right" wrapText="1"/>
    </xf>
    <xf numFmtId="167" fontId="17" fillId="0" borderId="1" xfId="1" applyNumberFormat="1" applyFont="1" applyBorder="1" applyAlignment="1">
      <alignment horizontal="right"/>
    </xf>
    <xf numFmtId="37" fontId="3" fillId="0" borderId="8" xfId="0" applyFont="1" applyBorder="1" applyAlignment="1">
      <alignment horizontal="right" vertical="center" wrapText="1"/>
    </xf>
    <xf numFmtId="37" fontId="3" fillId="0" borderId="1" xfId="0" applyFont="1" applyBorder="1" applyAlignment="1">
      <alignment horizontal="right" vertical="center" wrapText="1"/>
    </xf>
    <xf numFmtId="167" fontId="17" fillId="0" borderId="4" xfId="1" applyNumberFormat="1" applyFont="1" applyBorder="1" applyAlignment="1">
      <alignment horizontal="right"/>
    </xf>
    <xf numFmtId="167" fontId="3" fillId="0" borderId="0" xfId="1" applyNumberFormat="1" applyFont="1" applyBorder="1" applyAlignment="1">
      <alignment horizontal="right" vertical="top" wrapText="1"/>
    </xf>
    <xf numFmtId="167" fontId="3" fillId="0" borderId="0" xfId="1" applyNumberFormat="1" applyFont="1" applyFill="1" applyBorder="1" applyAlignment="1">
      <alignment vertical="top" wrapText="1"/>
    </xf>
    <xf numFmtId="167" fontId="3" fillId="0" borderId="0" xfId="1" applyNumberFormat="1" applyFont="1" applyAlignment="1">
      <alignment vertical="top" wrapText="1"/>
    </xf>
    <xf numFmtId="167" fontId="3" fillId="0" borderId="0" xfId="1" applyNumberFormat="1" applyFont="1" applyAlignment="1">
      <alignment vertical="top"/>
    </xf>
    <xf numFmtId="0" fontId="3" fillId="0" borderId="0" xfId="2" applyFont="1" applyAlignment="1">
      <alignment vertical="top"/>
    </xf>
    <xf numFmtId="165" fontId="3" fillId="0" borderId="1" xfId="0" applyNumberFormat="1" applyFont="1" applyBorder="1" applyAlignment="1">
      <alignment horizontal="right" vertical="center"/>
    </xf>
    <xf numFmtId="3" fontId="3" fillId="0" borderId="1" xfId="0" applyNumberFormat="1" applyFont="1" applyBorder="1"/>
    <xf numFmtId="167" fontId="7" fillId="0" borderId="0" xfId="1" applyNumberFormat="1" applyFont="1" applyBorder="1"/>
    <xf numFmtId="3" fontId="3" fillId="0" borderId="5" xfId="0" applyNumberFormat="1" applyFont="1" applyBorder="1"/>
    <xf numFmtId="167" fontId="7" fillId="0" borderId="4" xfId="1" applyNumberFormat="1" applyFont="1" applyBorder="1" applyAlignment="1">
      <alignment horizontal="right"/>
    </xf>
    <xf numFmtId="3" fontId="17" fillId="0" borderId="0" xfId="0" applyNumberFormat="1" applyFont="1"/>
    <xf numFmtId="0" fontId="17" fillId="0" borderId="2" xfId="0" applyNumberFormat="1" applyFont="1" applyBorder="1"/>
    <xf numFmtId="167" fontId="17" fillId="0" borderId="0" xfId="1" applyNumberFormat="1" applyFont="1" applyBorder="1"/>
    <xf numFmtId="167" fontId="17" fillId="0" borderId="2" xfId="1" applyNumberFormat="1" applyFont="1" applyBorder="1" applyAlignment="1">
      <alignment horizontal="right"/>
    </xf>
    <xf numFmtId="37" fontId="17" fillId="0" borderId="5" xfId="0" applyFont="1" applyBorder="1"/>
    <xf numFmtId="37" fontId="17" fillId="0" borderId="0" xfId="0" applyFont="1" applyAlignment="1">
      <alignment horizontal="right"/>
    </xf>
    <xf numFmtId="37" fontId="17" fillId="0" borderId="0" xfId="0" applyFont="1"/>
    <xf numFmtId="3" fontId="17" fillId="0" borderId="1" xfId="0" applyNumberFormat="1" applyFont="1" applyBorder="1"/>
    <xf numFmtId="167" fontId="17" fillId="0" borderId="8" xfId="1" applyNumberFormat="1" applyFont="1" applyBorder="1" applyAlignment="1">
      <alignment horizontal="right"/>
    </xf>
    <xf numFmtId="167" fontId="17" fillId="0" borderId="3" xfId="1" applyNumberFormat="1" applyFont="1" applyBorder="1" applyAlignment="1">
      <alignment horizontal="right"/>
    </xf>
    <xf numFmtId="167" fontId="17" fillId="2" borderId="1" xfId="1" applyNumberFormat="1" applyFont="1" applyFill="1" applyBorder="1"/>
    <xf numFmtId="167" fontId="17" fillId="2" borderId="0" xfId="1" applyNumberFormat="1" applyFont="1" applyFill="1" applyBorder="1" applyAlignment="1">
      <alignment horizontal="right"/>
    </xf>
    <xf numFmtId="167" fontId="3" fillId="2" borderId="5" xfId="1" applyNumberFormat="1" applyFont="1" applyFill="1" applyBorder="1"/>
    <xf numFmtId="167" fontId="3" fillId="2" borderId="0" xfId="1" applyNumberFormat="1" applyFont="1" applyFill="1" applyBorder="1"/>
    <xf numFmtId="167" fontId="3" fillId="2" borderId="11" xfId="1" applyNumberFormat="1" applyFont="1" applyFill="1" applyBorder="1"/>
    <xf numFmtId="167" fontId="3" fillId="2" borderId="4" xfId="1" applyNumberFormat="1" applyFont="1" applyFill="1" applyBorder="1"/>
    <xf numFmtId="0" fontId="3" fillId="0" borderId="1" xfId="0" applyNumberFormat="1" applyFont="1" applyBorder="1"/>
    <xf numFmtId="3" fontId="6" fillId="0" borderId="1" xfId="0" applyNumberFormat="1" applyFont="1" applyBorder="1"/>
    <xf numFmtId="3" fontId="6" fillId="0" borderId="1" xfId="0" applyNumberFormat="1" applyFont="1" applyBorder="1" applyProtection="1">
      <protection locked="0"/>
    </xf>
    <xf numFmtId="3" fontId="3" fillId="0" borderId="1" xfId="0" applyNumberFormat="1" applyFont="1" applyBorder="1" applyProtection="1">
      <protection locked="0"/>
    </xf>
    <xf numFmtId="3" fontId="3" fillId="0" borderId="1" xfId="0" applyNumberFormat="1" applyFont="1" applyBorder="1" applyAlignment="1">
      <alignment horizontal="right"/>
    </xf>
    <xf numFmtId="3" fontId="7" fillId="0" borderId="1" xfId="0" applyNumberFormat="1" applyFont="1" applyBorder="1" applyProtection="1">
      <protection locked="0"/>
    </xf>
    <xf numFmtId="3" fontId="17" fillId="0" borderId="4" xfId="0" applyNumberFormat="1" applyFont="1" applyBorder="1"/>
    <xf numFmtId="37" fontId="3" fillId="2" borderId="1" xfId="0" applyFont="1" applyFill="1" applyBorder="1" applyAlignment="1">
      <alignment horizontal="right"/>
    </xf>
    <xf numFmtId="165" fontId="3" fillId="2" borderId="1" xfId="0" applyNumberFormat="1" applyFont="1" applyFill="1" applyBorder="1" applyAlignment="1">
      <alignment horizontal="right" vertical="center"/>
    </xf>
    <xf numFmtId="165" fontId="17" fillId="2" borderId="4" xfId="0" applyNumberFormat="1" applyFont="1" applyFill="1" applyBorder="1" applyAlignment="1">
      <alignment horizontal="right" vertical="center"/>
    </xf>
    <xf numFmtId="165" fontId="3" fillId="2" borderId="4" xfId="0" applyNumberFormat="1" applyFont="1" applyFill="1" applyBorder="1" applyAlignment="1">
      <alignment horizontal="right" vertical="center"/>
    </xf>
    <xf numFmtId="165" fontId="3" fillId="2" borderId="11" xfId="0" applyNumberFormat="1" applyFont="1" applyFill="1" applyBorder="1" applyAlignment="1">
      <alignment horizontal="right" vertical="center"/>
    </xf>
    <xf numFmtId="0" fontId="3" fillId="2" borderId="4" xfId="2" applyFont="1" applyFill="1" applyBorder="1" applyAlignment="1">
      <alignment horizontal="right"/>
    </xf>
    <xf numFmtId="167" fontId="3" fillId="2" borderId="4" xfId="1" applyNumberFormat="1" applyFont="1" applyFill="1" applyBorder="1" applyAlignment="1"/>
    <xf numFmtId="167" fontId="3" fillId="2" borderId="0" xfId="1" applyNumberFormat="1" applyFont="1" applyFill="1" applyBorder="1" applyAlignment="1" applyProtection="1"/>
    <xf numFmtId="167" fontId="3" fillId="2" borderId="0" xfId="1" applyNumberFormat="1" applyFont="1" applyFill="1" applyBorder="1" applyAlignment="1" applyProtection="1">
      <alignment horizontal="left"/>
    </xf>
    <xf numFmtId="167" fontId="3" fillId="2" borderId="1" xfId="1" applyNumberFormat="1" applyFont="1" applyFill="1" applyBorder="1" applyAlignment="1" applyProtection="1"/>
    <xf numFmtId="167" fontId="17" fillId="2" borderId="1" xfId="1" applyNumberFormat="1" applyFont="1" applyFill="1" applyBorder="1" applyAlignment="1">
      <alignment horizontal="right"/>
    </xf>
    <xf numFmtId="167" fontId="3" fillId="2" borderId="0" xfId="1" applyNumberFormat="1" applyFont="1" applyFill="1" applyBorder="1" applyAlignment="1"/>
    <xf numFmtId="167" fontId="3" fillId="2" borderId="1" xfId="1" applyNumberFormat="1" applyFont="1" applyFill="1" applyBorder="1" applyAlignment="1"/>
    <xf numFmtId="167" fontId="17" fillId="2" borderId="4" xfId="1" applyNumberFormat="1" applyFont="1" applyFill="1" applyBorder="1" applyAlignment="1">
      <alignment horizontal="right"/>
    </xf>
    <xf numFmtId="37" fontId="3" fillId="0" borderId="1" xfId="0" applyFont="1" applyBorder="1" applyAlignment="1">
      <alignment horizontal="right" wrapText="1"/>
    </xf>
    <xf numFmtId="37" fontId="6" fillId="0" borderId="1" xfId="0" applyFont="1" applyBorder="1" applyAlignment="1">
      <alignment horizontal="right"/>
    </xf>
    <xf numFmtId="37" fontId="7" fillId="0" borderId="1" xfId="0" applyFont="1" applyBorder="1" applyAlignment="1" applyProtection="1">
      <alignment horizontal="right"/>
      <protection locked="0"/>
    </xf>
    <xf numFmtId="37" fontId="3" fillId="0" borderId="1" xfId="0" applyFont="1" applyBorder="1" applyAlignment="1" applyProtection="1">
      <alignment horizontal="right"/>
      <protection locked="0"/>
    </xf>
    <xf numFmtId="37" fontId="6" fillId="0" borderId="1" xfId="0" applyFont="1" applyBorder="1" applyAlignment="1" applyProtection="1">
      <alignment horizontal="right"/>
      <protection locked="0"/>
    </xf>
    <xf numFmtId="37" fontId="3" fillId="0" borderId="1" xfId="0" applyFont="1" applyBorder="1" applyAlignment="1">
      <alignment vertical="top"/>
    </xf>
    <xf numFmtId="167" fontId="3" fillId="0" borderId="0" xfId="1" applyNumberFormat="1" applyFont="1" applyFill="1" applyBorder="1" applyAlignment="1" applyProtection="1"/>
    <xf numFmtId="167" fontId="3" fillId="0" borderId="1" xfId="1" applyNumberFormat="1" applyFont="1" applyFill="1" applyBorder="1" applyAlignment="1" applyProtection="1"/>
    <xf numFmtId="167" fontId="3" fillId="0" borderId="0" xfId="1" applyNumberFormat="1" applyFont="1" applyFill="1" applyBorder="1" applyAlignment="1"/>
    <xf numFmtId="167" fontId="3" fillId="0" borderId="1" xfId="1" applyNumberFormat="1" applyFont="1" applyFill="1" applyBorder="1" applyAlignment="1"/>
    <xf numFmtId="37" fontId="0" fillId="3" borderId="0" xfId="0" applyFill="1"/>
    <xf numFmtId="37" fontId="3" fillId="3" borderId="1" xfId="0" applyFont="1" applyFill="1" applyBorder="1" applyAlignment="1">
      <alignment vertical="top"/>
    </xf>
    <xf numFmtId="167" fontId="3" fillId="3" borderId="1" xfId="1" applyNumberFormat="1" applyFont="1" applyFill="1" applyBorder="1"/>
    <xf numFmtId="167" fontId="3" fillId="3" borderId="0" xfId="1" applyNumberFormat="1" applyFont="1" applyFill="1" applyBorder="1" applyAlignment="1">
      <alignment horizontal="right"/>
    </xf>
    <xf numFmtId="167" fontId="3" fillId="3" borderId="0" xfId="1" applyNumberFormat="1" applyFont="1" applyFill="1" applyBorder="1"/>
    <xf numFmtId="167" fontId="3" fillId="3" borderId="1" xfId="1" applyNumberFormat="1" applyFont="1" applyFill="1" applyBorder="1" applyAlignment="1">
      <alignment horizontal="right"/>
    </xf>
    <xf numFmtId="167" fontId="3" fillId="3" borderId="4" xfId="1" applyNumberFormat="1" applyFont="1" applyFill="1" applyBorder="1" applyAlignment="1">
      <alignment horizontal="right"/>
    </xf>
    <xf numFmtId="167" fontId="3" fillId="3" borderId="4" xfId="1" applyNumberFormat="1" applyFont="1" applyFill="1" applyBorder="1"/>
    <xf numFmtId="167" fontId="17" fillId="0" borderId="0" xfId="1" applyNumberFormat="1" applyFont="1" applyFill="1" applyBorder="1" applyAlignment="1">
      <alignment horizontal="right"/>
    </xf>
    <xf numFmtId="167" fontId="17" fillId="3" borderId="0" xfId="1" applyNumberFormat="1" applyFont="1" applyFill="1" applyBorder="1" applyAlignment="1">
      <alignment horizontal="right"/>
    </xf>
    <xf numFmtId="37" fontId="4" fillId="0" borderId="5" xfId="0" applyFont="1" applyBorder="1" applyAlignment="1">
      <alignment vertical="top"/>
    </xf>
    <xf numFmtId="37" fontId="3" fillId="0" borderId="8" xfId="0" applyFont="1" applyBorder="1" applyAlignment="1">
      <alignment vertical="top"/>
    </xf>
    <xf numFmtId="3" fontId="3" fillId="4" borderId="0" xfId="0" applyNumberFormat="1" applyFont="1" applyFill="1"/>
    <xf numFmtId="3" fontId="3" fillId="0" borderId="7" xfId="0" applyNumberFormat="1" applyFont="1" applyBorder="1"/>
    <xf numFmtId="3" fontId="3" fillId="4" borderId="4" xfId="0" applyNumberFormat="1" applyFont="1" applyFill="1" applyBorder="1"/>
    <xf numFmtId="0" fontId="3" fillId="2" borderId="8" xfId="2" applyFont="1" applyFill="1" applyBorder="1" applyAlignment="1">
      <alignment horizontal="right"/>
    </xf>
    <xf numFmtId="0" fontId="3" fillId="2" borderId="1" xfId="2" applyFont="1" applyFill="1" applyBorder="1" applyAlignment="1">
      <alignment horizontal="right"/>
    </xf>
    <xf numFmtId="168" fontId="3" fillId="0" borderId="8" xfId="0" applyNumberFormat="1" applyFont="1" applyBorder="1"/>
    <xf numFmtId="168" fontId="3" fillId="0" borderId="5" xfId="0" applyNumberFormat="1" applyFont="1" applyBorder="1"/>
    <xf numFmtId="168" fontId="3" fillId="4" borderId="5" xfId="0" applyNumberFormat="1" applyFont="1" applyFill="1" applyBorder="1"/>
    <xf numFmtId="3" fontId="3" fillId="4" borderId="0" xfId="0" applyNumberFormat="1" applyFont="1" applyFill="1" applyAlignment="1">
      <alignment horizontal="right"/>
    </xf>
    <xf numFmtId="3" fontId="3" fillId="0" borderId="7" xfId="0" applyNumberFormat="1" applyFont="1" applyBorder="1" applyAlignment="1">
      <alignment horizontal="right"/>
    </xf>
    <xf numFmtId="3" fontId="3" fillId="4" borderId="4" xfId="0" applyNumberFormat="1" applyFont="1" applyFill="1" applyBorder="1" applyAlignment="1">
      <alignment horizontal="right"/>
    </xf>
    <xf numFmtId="168" fontId="3" fillId="0" borderId="0" xfId="0" applyNumberFormat="1" applyFont="1"/>
    <xf numFmtId="0" fontId="3" fillId="0" borderId="4" xfId="0" applyNumberFormat="1" applyFont="1" applyBorder="1" applyAlignment="1">
      <alignment horizontal="right" wrapText="1"/>
    </xf>
    <xf numFmtId="0" fontId="17" fillId="0" borderId="4" xfId="0" applyNumberFormat="1" applyFont="1" applyBorder="1" applyAlignment="1">
      <alignment horizontal="right" wrapText="1"/>
    </xf>
    <xf numFmtId="169" fontId="3" fillId="0" borderId="0" xfId="0" applyNumberFormat="1" applyFont="1"/>
    <xf numFmtId="165" fontId="17" fillId="0" borderId="1" xfId="0" applyNumberFormat="1" applyFont="1" applyBorder="1" applyAlignment="1">
      <alignment horizontal="right" vertical="center"/>
    </xf>
    <xf numFmtId="0" fontId="0" fillId="0" borderId="4" xfId="0" applyNumberFormat="1" applyBorder="1"/>
    <xf numFmtId="1" fontId="3" fillId="4" borderId="4" xfId="0" quotePrefix="1" applyNumberFormat="1" applyFont="1" applyFill="1" applyBorder="1" applyAlignment="1">
      <alignment horizontal="center"/>
    </xf>
    <xf numFmtId="1" fontId="3" fillId="0" borderId="4" xfId="0" applyNumberFormat="1" applyFont="1" applyBorder="1" applyAlignment="1">
      <alignment horizontal="center"/>
    </xf>
    <xf numFmtId="1" fontId="3" fillId="5" borderId="4" xfId="0" quotePrefix="1" applyNumberFormat="1" applyFont="1" applyFill="1" applyBorder="1" applyAlignment="1">
      <alignment horizontal="center"/>
    </xf>
    <xf numFmtId="37" fontId="15" fillId="0" borderId="19" xfId="0" applyFont="1" applyBorder="1" applyAlignment="1">
      <alignment horizontal="left"/>
    </xf>
    <xf numFmtId="37" fontId="3" fillId="5" borderId="20" xfId="0" applyFont="1" applyFill="1" applyBorder="1" applyAlignment="1">
      <alignment horizontal="right"/>
    </xf>
    <xf numFmtId="37" fontId="3" fillId="0" borderId="20" xfId="0" applyFont="1" applyBorder="1" applyAlignment="1">
      <alignment horizontal="right"/>
    </xf>
    <xf numFmtId="37" fontId="15" fillId="0" borderId="20" xfId="0" applyFont="1" applyBorder="1" applyAlignment="1">
      <alignment horizontal="right"/>
    </xf>
    <xf numFmtId="37" fontId="15" fillId="5" borderId="20" xfId="0" applyFont="1" applyFill="1" applyBorder="1" applyAlignment="1">
      <alignment horizontal="center" vertical="center"/>
    </xf>
    <xf numFmtId="37" fontId="15" fillId="0" borderId="20" xfId="0" applyFont="1" applyBorder="1" applyAlignment="1">
      <alignment horizontal="center" vertical="center"/>
    </xf>
    <xf numFmtId="37" fontId="15" fillId="0" borderId="20" xfId="0" quotePrefix="1" applyFont="1" applyBorder="1" applyAlignment="1">
      <alignment horizontal="center" vertical="center"/>
    </xf>
    <xf numFmtId="37" fontId="18" fillId="0" borderId="20" xfId="0" quotePrefix="1" applyFont="1" applyBorder="1" applyAlignment="1">
      <alignment horizontal="center" vertical="center"/>
    </xf>
    <xf numFmtId="37" fontId="15" fillId="5" borderId="20" xfId="0" quotePrefix="1" applyFont="1" applyFill="1" applyBorder="1" applyAlignment="1">
      <alignment horizontal="center" vertical="center"/>
    </xf>
    <xf numFmtId="37" fontId="15" fillId="5" borderId="21" xfId="0" applyFont="1" applyFill="1" applyBorder="1" applyAlignment="1">
      <alignment horizontal="center" vertical="center"/>
    </xf>
    <xf numFmtId="37" fontId="15" fillId="0" borderId="22" xfId="0" applyFont="1" applyBorder="1" applyAlignment="1">
      <alignment horizontal="left"/>
    </xf>
    <xf numFmtId="37" fontId="4" fillId="5" borderId="23" xfId="0" applyFont="1" applyFill="1" applyBorder="1" applyAlignment="1">
      <alignment horizontal="right"/>
    </xf>
    <xf numFmtId="37" fontId="4" fillId="0" borderId="23" xfId="0" applyFont="1" applyBorder="1" applyAlignment="1">
      <alignment horizontal="right"/>
    </xf>
    <xf numFmtId="37" fontId="19" fillId="0" borderId="23" xfId="0" applyFont="1" applyBorder="1" applyAlignment="1">
      <alignment horizontal="right"/>
    </xf>
    <xf numFmtId="37" fontId="19" fillId="5" borderId="23" xfId="0" applyFont="1" applyFill="1" applyBorder="1" applyAlignment="1">
      <alignment horizontal="center" vertical="center"/>
    </xf>
    <xf numFmtId="37" fontId="19" fillId="0" borderId="23" xfId="0" applyFont="1" applyBorder="1" applyAlignment="1">
      <alignment horizontal="center" vertical="center"/>
    </xf>
    <xf numFmtId="37" fontId="15" fillId="0" borderId="23" xfId="0" quotePrefix="1" applyFont="1" applyBorder="1" applyAlignment="1">
      <alignment horizontal="center" vertical="center"/>
    </xf>
    <xf numFmtId="37" fontId="18" fillId="0" borderId="23" xfId="0" quotePrefix="1" applyFont="1" applyBorder="1" applyAlignment="1">
      <alignment horizontal="center" vertical="center"/>
    </xf>
    <xf numFmtId="37" fontId="15" fillId="5" borderId="23" xfId="0" quotePrefix="1" applyFont="1" applyFill="1" applyBorder="1" applyAlignment="1">
      <alignment horizontal="center" vertical="center"/>
    </xf>
    <xf numFmtId="37" fontId="18" fillId="5" borderId="24" xfId="0" quotePrefix="1" applyFont="1" applyFill="1" applyBorder="1" applyAlignment="1">
      <alignment horizontal="center" vertical="center"/>
    </xf>
    <xf numFmtId="37" fontId="20" fillId="5" borderId="24" xfId="0" applyFont="1" applyFill="1" applyBorder="1" applyAlignment="1">
      <alignment horizontal="center" vertical="center"/>
    </xf>
    <xf numFmtId="37" fontId="15" fillId="0" borderId="23" xfId="0" applyFont="1" applyBorder="1" applyAlignment="1">
      <alignment horizontal="center" vertical="center"/>
    </xf>
    <xf numFmtId="37" fontId="15" fillId="5" borderId="24" xfId="0" applyFont="1" applyFill="1" applyBorder="1" applyAlignment="1">
      <alignment horizontal="center" vertical="center"/>
    </xf>
    <xf numFmtId="37" fontId="18" fillId="5" borderId="23" xfId="0" quotePrefix="1" applyFont="1" applyFill="1" applyBorder="1" applyAlignment="1">
      <alignment horizontal="center" vertical="center"/>
    </xf>
    <xf numFmtId="37" fontId="15" fillId="0" borderId="25" xfId="0" applyFont="1" applyBorder="1" applyAlignment="1">
      <alignment horizontal="left"/>
    </xf>
    <xf numFmtId="37" fontId="4" fillId="5" borderId="26" xfId="0" applyFont="1" applyFill="1" applyBorder="1" applyAlignment="1">
      <alignment horizontal="right"/>
    </xf>
    <xf numFmtId="37" fontId="4" fillId="0" borderId="26" xfId="0" applyFont="1" applyBorder="1" applyAlignment="1">
      <alignment horizontal="right"/>
    </xf>
    <xf numFmtId="37" fontId="19" fillId="0" borderId="26" xfId="0" applyFont="1" applyBorder="1" applyAlignment="1">
      <alignment horizontal="right"/>
    </xf>
    <xf numFmtId="37" fontId="19" fillId="5" borderId="26" xfId="0" applyFont="1" applyFill="1" applyBorder="1" applyAlignment="1">
      <alignment horizontal="center" vertical="center"/>
    </xf>
    <xf numFmtId="37" fontId="19" fillId="0" borderId="26" xfId="0" applyFont="1" applyBorder="1" applyAlignment="1">
      <alignment horizontal="center" vertical="center"/>
    </xf>
    <xf numFmtId="37" fontId="15" fillId="0" borderId="26" xfId="0" quotePrefix="1" applyFont="1" applyBorder="1" applyAlignment="1">
      <alignment horizontal="center" vertical="center"/>
    </xf>
    <xf numFmtId="37" fontId="18" fillId="0" borderId="26" xfId="0" quotePrefix="1" applyFont="1" applyBorder="1" applyAlignment="1">
      <alignment horizontal="center" vertical="center"/>
    </xf>
    <xf numFmtId="37" fontId="15" fillId="5" borderId="26" xfId="0" quotePrefix="1" applyFont="1" applyFill="1" applyBorder="1" applyAlignment="1">
      <alignment horizontal="center" vertical="center"/>
    </xf>
    <xf numFmtId="37" fontId="15" fillId="0" borderId="26" xfId="0" applyFont="1" applyBorder="1" applyAlignment="1">
      <alignment horizontal="center" vertical="center"/>
    </xf>
    <xf numFmtId="37" fontId="15" fillId="5" borderId="27" xfId="0" applyFont="1" applyFill="1" applyBorder="1" applyAlignment="1">
      <alignment horizontal="center" vertical="center"/>
    </xf>
    <xf numFmtId="168" fontId="3" fillId="0" borderId="3" xfId="0" applyNumberFormat="1" applyFont="1" applyBorder="1"/>
    <xf numFmtId="168" fontId="3" fillId="0" borderId="2" xfId="0" applyNumberFormat="1" applyFont="1" applyBorder="1"/>
    <xf numFmtId="168" fontId="3" fillId="4" borderId="2" xfId="0" applyNumberFormat="1" applyFont="1" applyFill="1" applyBorder="1"/>
    <xf numFmtId="3" fontId="3" fillId="0" borderId="1" xfId="0" applyNumberFormat="1" applyFont="1" applyBorder="1" applyAlignment="1">
      <alignment vertical="center"/>
    </xf>
    <xf numFmtId="165" fontId="7" fillId="0" borderId="1" xfId="1" applyNumberFormat="1" applyFont="1" applyBorder="1" applyAlignment="1">
      <alignment horizontal="right"/>
    </xf>
    <xf numFmtId="164" fontId="3" fillId="0" borderId="0" xfId="3" applyFont="1" applyAlignment="1">
      <alignment horizontal="left"/>
    </xf>
    <xf numFmtId="1" fontId="17" fillId="0" borderId="0" xfId="1" applyNumberFormat="1" applyFont="1" applyAlignment="1">
      <alignment horizontal="right"/>
    </xf>
    <xf numFmtId="37" fontId="21" fillId="0" borderId="0" xfId="0" applyFont="1" applyAlignment="1">
      <alignment horizontal="centerContinuous"/>
    </xf>
    <xf numFmtId="37" fontId="4" fillId="3" borderId="0" xfId="0" applyFont="1" applyFill="1" applyAlignment="1">
      <alignment vertical="top"/>
    </xf>
    <xf numFmtId="167" fontId="3" fillId="5" borderId="0" xfId="1" applyNumberFormat="1" applyFont="1" applyFill="1" applyBorder="1" applyAlignment="1" applyProtection="1"/>
    <xf numFmtId="167" fontId="3" fillId="5" borderId="0" xfId="1" applyNumberFormat="1" applyFont="1" applyFill="1" applyBorder="1" applyAlignment="1">
      <alignment horizontal="right"/>
    </xf>
    <xf numFmtId="167" fontId="17" fillId="0" borderId="1" xfId="1" applyNumberFormat="1" applyFont="1" applyFill="1" applyBorder="1"/>
    <xf numFmtId="167" fontId="17" fillId="3" borderId="1" xfId="1" applyNumberFormat="1" applyFont="1" applyFill="1" applyBorder="1"/>
    <xf numFmtId="167" fontId="17" fillId="5" borderId="0" xfId="1" applyNumberFormat="1" applyFont="1" applyFill="1" applyBorder="1" applyAlignment="1">
      <alignment horizontal="right"/>
    </xf>
    <xf numFmtId="167" fontId="17" fillId="0" borderId="0" xfId="1" applyNumberFormat="1" applyFont="1" applyFill="1" applyBorder="1"/>
    <xf numFmtId="167" fontId="17" fillId="3" borderId="1" xfId="1" applyNumberFormat="1" applyFont="1" applyFill="1" applyBorder="1" applyAlignment="1">
      <alignment horizontal="right"/>
    </xf>
    <xf numFmtId="167" fontId="17" fillId="3" borderId="0" xfId="1" applyNumberFormat="1" applyFont="1" applyFill="1" applyBorder="1"/>
    <xf numFmtId="167" fontId="17" fillId="3" borderId="4" xfId="1" applyNumberFormat="1" applyFont="1" applyFill="1" applyBorder="1" applyAlignment="1">
      <alignment horizontal="right"/>
    </xf>
    <xf numFmtId="9" fontId="17" fillId="0" borderId="0" xfId="4" applyFont="1" applyFill="1" applyBorder="1" applyAlignment="1">
      <alignment horizontal="right"/>
    </xf>
    <xf numFmtId="9" fontId="17" fillId="0" borderId="1" xfId="4" applyFont="1" applyFill="1" applyBorder="1" applyAlignment="1">
      <alignment horizontal="right"/>
    </xf>
    <xf numFmtId="9" fontId="17" fillId="0" borderId="1" xfId="4" applyFont="1" applyFill="1" applyBorder="1"/>
    <xf numFmtId="9" fontId="17" fillId="3" borderId="1" xfId="4" applyFont="1" applyFill="1" applyBorder="1"/>
    <xf numFmtId="9" fontId="17" fillId="3" borderId="0" xfId="4" applyFont="1" applyFill="1" applyBorder="1" applyAlignment="1">
      <alignment horizontal="right"/>
    </xf>
    <xf numFmtId="9" fontId="17" fillId="0" borderId="0" xfId="4" applyFont="1" applyFill="1" applyBorder="1"/>
    <xf numFmtId="9" fontId="17" fillId="3" borderId="0" xfId="4" applyFont="1" applyFill="1" applyBorder="1"/>
    <xf numFmtId="9" fontId="17" fillId="3" borderId="1" xfId="4" applyFont="1" applyFill="1" applyBorder="1" applyAlignment="1">
      <alignment horizontal="right"/>
    </xf>
    <xf numFmtId="9" fontId="17" fillId="0" borderId="4" xfId="4" applyFont="1" applyFill="1" applyBorder="1" applyAlignment="1">
      <alignment vertical="top"/>
    </xf>
    <xf numFmtId="9" fontId="17" fillId="3" borderId="4" xfId="4" applyFont="1" applyFill="1" applyBorder="1" applyAlignment="1">
      <alignment vertical="top"/>
    </xf>
    <xf numFmtId="37" fontId="4" fillId="6" borderId="5" xfId="0" applyFont="1" applyFill="1" applyBorder="1" applyAlignment="1">
      <alignment vertical="top"/>
    </xf>
    <xf numFmtId="37" fontId="0" fillId="6" borderId="0" xfId="0" applyFill="1"/>
    <xf numFmtId="37" fontId="4" fillId="6" borderId="0" xfId="0" applyFont="1" applyFill="1" applyAlignment="1">
      <alignment vertical="top"/>
    </xf>
    <xf numFmtId="37" fontId="3" fillId="6" borderId="8" xfId="0" applyFont="1" applyFill="1" applyBorder="1" applyAlignment="1">
      <alignment vertical="top"/>
    </xf>
    <xf numFmtId="37" fontId="3" fillId="6" borderId="1" xfId="0" applyFont="1" applyFill="1" applyBorder="1" applyAlignment="1">
      <alignment vertical="top"/>
    </xf>
    <xf numFmtId="9" fontId="3" fillId="6" borderId="7" xfId="4" applyFont="1" applyFill="1" applyBorder="1" applyAlignment="1">
      <alignment vertical="top"/>
    </xf>
    <xf numFmtId="9" fontId="3" fillId="6" borderId="0" xfId="4" applyFont="1" applyFill="1" applyBorder="1" applyAlignment="1">
      <alignment vertical="top"/>
    </xf>
    <xf numFmtId="37" fontId="0" fillId="3" borderId="2" xfId="0" applyFill="1" applyBorder="1"/>
    <xf numFmtId="37" fontId="3" fillId="3" borderId="3" xfId="0" applyFont="1" applyFill="1" applyBorder="1" applyAlignment="1">
      <alignment vertical="top"/>
    </xf>
    <xf numFmtId="9" fontId="17" fillId="3" borderId="3" xfId="4" applyFont="1" applyFill="1" applyBorder="1"/>
    <xf numFmtId="9" fontId="17" fillId="3" borderId="2" xfId="4" applyFont="1" applyFill="1" applyBorder="1" applyAlignment="1">
      <alignment horizontal="right"/>
    </xf>
    <xf numFmtId="9" fontId="17" fillId="3" borderId="3" xfId="4" applyFont="1" applyFill="1" applyBorder="1" applyAlignment="1">
      <alignment horizontal="right"/>
    </xf>
    <xf numFmtId="9" fontId="17" fillId="3" borderId="13" xfId="4" applyFont="1" applyFill="1" applyBorder="1" applyAlignment="1">
      <alignment vertical="top"/>
    </xf>
    <xf numFmtId="167" fontId="4" fillId="0" borderId="0" xfId="1" applyNumberFormat="1" applyFont="1" applyFill="1" applyBorder="1" applyAlignment="1" applyProtection="1">
      <alignment horizontal="left"/>
    </xf>
    <xf numFmtId="167" fontId="25" fillId="0" borderId="0" xfId="1" applyNumberFormat="1" applyFont="1" applyFill="1" applyBorder="1" applyAlignment="1">
      <alignment horizontal="right"/>
    </xf>
    <xf numFmtId="167" fontId="25" fillId="3" borderId="0" xfId="1" applyNumberFormat="1" applyFont="1" applyFill="1" applyBorder="1" applyAlignment="1">
      <alignment horizontal="right"/>
    </xf>
    <xf numFmtId="167" fontId="4" fillId="0" borderId="0" xfId="1" applyNumberFormat="1" applyFont="1" applyFill="1" applyBorder="1" applyAlignment="1">
      <alignment horizontal="right"/>
    </xf>
    <xf numFmtId="167" fontId="4" fillId="3" borderId="0" xfId="1" applyNumberFormat="1" applyFont="1" applyFill="1" applyBorder="1" applyAlignment="1">
      <alignment horizontal="right"/>
    </xf>
    <xf numFmtId="37" fontId="3" fillId="0" borderId="11" xfId="0" applyFont="1" applyBorder="1"/>
    <xf numFmtId="167" fontId="7" fillId="0" borderId="11" xfId="1" applyNumberFormat="1" applyFont="1" applyBorder="1" applyAlignment="1">
      <alignment horizontal="right"/>
    </xf>
    <xf numFmtId="170" fontId="7" fillId="0" borderId="5" xfId="4" applyNumberFormat="1" applyFont="1" applyBorder="1" applyAlignment="1">
      <alignment horizontal="right"/>
    </xf>
    <xf numFmtId="0" fontId="3" fillId="0" borderId="4" xfId="0" applyNumberFormat="1" applyFont="1" applyBorder="1" applyAlignment="1">
      <alignment horizontal="right"/>
    </xf>
    <xf numFmtId="37" fontId="26" fillId="0" borderId="29" xfId="0" applyFont="1" applyBorder="1" applyAlignment="1">
      <alignment horizontal="center" vertical="center" wrapText="1"/>
    </xf>
    <xf numFmtId="37" fontId="0" fillId="0" borderId="29" xfId="0" applyBorder="1" applyAlignment="1">
      <alignment wrapText="1"/>
    </xf>
    <xf numFmtId="9" fontId="0" fillId="0" borderId="29" xfId="0" applyNumberFormat="1" applyBorder="1" applyAlignment="1">
      <alignment wrapText="1"/>
    </xf>
    <xf numFmtId="14" fontId="0" fillId="0" borderId="29" xfId="0" applyNumberFormat="1" applyBorder="1" applyAlignment="1">
      <alignment wrapText="1"/>
    </xf>
    <xf numFmtId="37" fontId="27" fillId="0" borderId="0" xfId="0" applyFont="1" applyAlignment="1">
      <alignment wrapText="1"/>
    </xf>
    <xf numFmtId="37" fontId="30" fillId="0" borderId="0" xfId="0" applyFont="1"/>
    <xf numFmtId="37" fontId="11" fillId="0" borderId="0" xfId="0" applyFont="1"/>
    <xf numFmtId="37" fontId="30" fillId="0" borderId="13" xfId="0" applyFont="1" applyBorder="1" applyAlignment="1">
      <alignment horizontal="left" vertical="center"/>
    </xf>
    <xf numFmtId="37" fontId="30" fillId="0" borderId="0" xfId="0" applyFont="1" applyAlignment="1">
      <alignment vertical="center"/>
    </xf>
    <xf numFmtId="37" fontId="11" fillId="0" borderId="0" xfId="0" applyFont="1" applyAlignment="1">
      <alignment vertical="center"/>
    </xf>
    <xf numFmtId="37" fontId="29" fillId="0" borderId="16" xfId="0" applyFont="1" applyBorder="1" applyAlignment="1">
      <alignment horizontal="left" vertical="center"/>
    </xf>
    <xf numFmtId="3" fontId="29" fillId="0" borderId="11" xfId="0" applyNumberFormat="1" applyFont="1" applyBorder="1" applyAlignment="1">
      <alignment vertical="center"/>
    </xf>
    <xf numFmtId="3" fontId="30" fillId="0" borderId="4" xfId="0" applyNumberFormat="1" applyFont="1" applyBorder="1" applyAlignment="1">
      <alignment horizontal="left" vertical="center"/>
    </xf>
    <xf numFmtId="171" fontId="29" fillId="0" borderId="13" xfId="0" applyNumberFormat="1" applyFont="1" applyBorder="1" applyAlignment="1">
      <alignment vertical="center"/>
    </xf>
    <xf numFmtId="172" fontId="29" fillId="0" borderId="13" xfId="0" applyNumberFormat="1" applyFont="1" applyBorder="1" applyAlignment="1">
      <alignment vertical="center"/>
    </xf>
    <xf numFmtId="173" fontId="29" fillId="0" borderId="13" xfId="0" applyNumberFormat="1" applyFont="1" applyBorder="1" applyAlignment="1">
      <alignment vertical="center"/>
    </xf>
    <xf numFmtId="3" fontId="30" fillId="0" borderId="4" xfId="0" applyNumberFormat="1" applyFont="1" applyBorder="1" applyAlignment="1">
      <alignment horizontal="right" vertical="center"/>
    </xf>
    <xf numFmtId="173" fontId="29" fillId="0" borderId="4" xfId="0" applyNumberFormat="1" applyFont="1" applyBorder="1" applyAlignment="1">
      <alignment vertical="center"/>
    </xf>
    <xf numFmtId="37" fontId="30" fillId="0" borderId="2" xfId="0" applyFont="1" applyBorder="1" applyAlignment="1">
      <alignment horizontal="left" vertical="center"/>
    </xf>
    <xf numFmtId="3" fontId="30" fillId="0" borderId="5" xfId="0" applyNumberFormat="1" applyFont="1" applyBorder="1" applyAlignment="1">
      <alignment vertical="center"/>
    </xf>
    <xf numFmtId="3" fontId="30" fillId="0" borderId="0" xfId="0" applyNumberFormat="1" applyFont="1" applyAlignment="1">
      <alignment horizontal="left" vertical="center"/>
    </xf>
    <xf numFmtId="171" fontId="30" fillId="0" borderId="2" xfId="0" applyNumberFormat="1" applyFont="1" applyBorder="1" applyAlignment="1">
      <alignment horizontal="right" vertical="center"/>
    </xf>
    <xf numFmtId="3" fontId="30" fillId="0" borderId="5" xfId="0" applyNumberFormat="1" applyFont="1" applyBorder="1" applyAlignment="1">
      <alignment horizontal="right" vertical="center"/>
    </xf>
    <xf numFmtId="172" fontId="30" fillId="0" borderId="2" xfId="0" applyNumberFormat="1" applyFont="1" applyBorder="1" applyAlignment="1">
      <alignment vertical="center"/>
    </xf>
    <xf numFmtId="171" fontId="30" fillId="0" borderId="2" xfId="0" applyNumberFormat="1" applyFont="1" applyBorder="1" applyAlignment="1">
      <alignment vertical="center"/>
    </xf>
    <xf numFmtId="3" fontId="30" fillId="0" borderId="0" xfId="0" applyNumberFormat="1" applyFont="1" applyAlignment="1">
      <alignment horizontal="right" vertical="center"/>
    </xf>
    <xf numFmtId="171" fontId="30" fillId="0" borderId="0" xfId="0" applyNumberFormat="1" applyFont="1" applyAlignment="1">
      <alignment horizontal="right" vertical="center"/>
    </xf>
    <xf numFmtId="37" fontId="30" fillId="0" borderId="2" xfId="0" quotePrefix="1" applyFont="1" applyBorder="1" applyAlignment="1">
      <alignment horizontal="right" vertical="center"/>
    </xf>
    <xf numFmtId="171" fontId="30" fillId="0" borderId="2" xfId="0" quotePrefix="1" applyNumberFormat="1" applyFont="1" applyBorder="1" applyAlignment="1">
      <alignment horizontal="right" vertical="center"/>
    </xf>
    <xf numFmtId="174" fontId="30" fillId="0" borderId="0" xfId="0" applyNumberFormat="1" applyFont="1" applyAlignment="1">
      <alignment vertical="center"/>
    </xf>
    <xf numFmtId="37" fontId="30" fillId="0" borderId="2" xfId="0" applyFont="1" applyBorder="1" applyAlignment="1">
      <alignment vertical="center"/>
    </xf>
    <xf numFmtId="37" fontId="30" fillId="0" borderId="0" xfId="0" applyFont="1" applyAlignment="1">
      <alignment horizontal="right" vertical="center"/>
    </xf>
    <xf numFmtId="175" fontId="30" fillId="0" borderId="0" xfId="0" applyNumberFormat="1" applyFont="1" applyAlignment="1">
      <alignment vertical="center"/>
    </xf>
    <xf numFmtId="37" fontId="30" fillId="0" borderId="3" xfId="0" applyFont="1" applyBorder="1" applyAlignment="1">
      <alignment horizontal="left" vertical="center"/>
    </xf>
    <xf numFmtId="171" fontId="30" fillId="0" borderId="3" xfId="0" applyNumberFormat="1" applyFont="1" applyBorder="1" applyAlignment="1">
      <alignment horizontal="right" vertical="center"/>
    </xf>
    <xf numFmtId="3" fontId="30" fillId="0" borderId="8" xfId="0" applyNumberFormat="1" applyFont="1" applyBorder="1" applyAlignment="1">
      <alignment horizontal="right" vertical="center"/>
    </xf>
    <xf numFmtId="37" fontId="30" fillId="0" borderId="3" xfId="0" quotePrefix="1" applyFont="1" applyBorder="1" applyAlignment="1">
      <alignment horizontal="right" vertical="center"/>
    </xf>
    <xf numFmtId="3" fontId="30" fillId="0" borderId="8" xfId="0" applyNumberFormat="1" applyFont="1" applyBorder="1" applyAlignment="1">
      <alignment vertical="center"/>
    </xf>
    <xf numFmtId="171" fontId="30" fillId="0" borderId="3" xfId="0" quotePrefix="1" applyNumberFormat="1" applyFont="1" applyBorder="1" applyAlignment="1">
      <alignment horizontal="right" vertical="center"/>
    </xf>
    <xf numFmtId="3" fontId="30" fillId="0" borderId="1" xfId="0" applyNumberFormat="1" applyFont="1" applyBorder="1" applyAlignment="1">
      <alignment horizontal="left" vertical="center"/>
    </xf>
    <xf numFmtId="37" fontId="30" fillId="0" borderId="0" xfId="0" applyFont="1" applyAlignment="1">
      <alignment vertical="distributed"/>
    </xf>
    <xf numFmtId="37" fontId="11" fillId="0" borderId="0" xfId="0" applyFont="1" applyAlignment="1">
      <alignment vertical="distributed"/>
    </xf>
    <xf numFmtId="37" fontId="17" fillId="0" borderId="1" xfId="0" applyFont="1" applyBorder="1" applyAlignment="1">
      <alignment horizontal="right"/>
    </xf>
    <xf numFmtId="37" fontId="3" fillId="2" borderId="0" xfId="0" applyFont="1" applyFill="1"/>
    <xf numFmtId="0" fontId="3" fillId="2" borderId="0" xfId="2" applyFont="1" applyFill="1"/>
    <xf numFmtId="0" fontId="3" fillId="2" borderId="4" xfId="2" applyFont="1" applyFill="1" applyBorder="1"/>
    <xf numFmtId="0" fontId="3" fillId="0" borderId="13" xfId="2" applyFont="1" applyBorder="1" applyAlignment="1">
      <alignment horizontal="centerContinuous"/>
    </xf>
    <xf numFmtId="0" fontId="3" fillId="0" borderId="13" xfId="2" applyFont="1" applyBorder="1"/>
    <xf numFmtId="165" fontId="3" fillId="0" borderId="13" xfId="2" applyNumberFormat="1" applyFont="1" applyBorder="1"/>
    <xf numFmtId="165" fontId="17" fillId="0" borderId="2" xfId="0" applyNumberFormat="1" applyFont="1" applyBorder="1" applyAlignment="1">
      <alignment horizontal="right"/>
    </xf>
    <xf numFmtId="0" fontId="3" fillId="0" borderId="2" xfId="2" applyFont="1" applyBorder="1"/>
    <xf numFmtId="165" fontId="3" fillId="0" borderId="2" xfId="2" applyNumberFormat="1" applyFont="1" applyBorder="1" applyAlignment="1">
      <alignment horizontal="right"/>
    </xf>
    <xf numFmtId="165" fontId="3" fillId="0" borderId="3" xfId="2" applyNumberFormat="1" applyFont="1" applyBorder="1" applyAlignment="1">
      <alignment horizontal="right"/>
    </xf>
    <xf numFmtId="165" fontId="3" fillId="0" borderId="13" xfId="2" applyNumberFormat="1" applyFont="1" applyBorder="1" applyAlignment="1">
      <alignment horizontal="right"/>
    </xf>
    <xf numFmtId="37" fontId="3" fillId="0" borderId="15" xfId="0" applyFont="1" applyBorder="1" applyAlignment="1">
      <alignment horizontal="right" vertical="center" wrapText="1"/>
    </xf>
    <xf numFmtId="0" fontId="3" fillId="0" borderId="7" xfId="2" applyFont="1" applyBorder="1"/>
    <xf numFmtId="0" fontId="3" fillId="0" borderId="0" xfId="2" applyFont="1" applyAlignment="1">
      <alignment wrapText="1"/>
    </xf>
    <xf numFmtId="165" fontId="17" fillId="0" borderId="15" xfId="0" applyNumberFormat="1" applyFont="1" applyBorder="1" applyAlignment="1">
      <alignment horizontal="right"/>
    </xf>
    <xf numFmtId="165" fontId="17" fillId="0" borderId="7" xfId="0" applyNumberFormat="1" applyFont="1" applyBorder="1" applyAlignment="1">
      <alignment horizontal="right"/>
    </xf>
    <xf numFmtId="165" fontId="17" fillId="0" borderId="16" xfId="0" applyNumberFormat="1" applyFont="1" applyBorder="1" applyAlignment="1">
      <alignment horizontal="right"/>
    </xf>
    <xf numFmtId="165" fontId="3" fillId="0" borderId="0" xfId="0" quotePrefix="1" applyNumberFormat="1" applyFont="1" applyAlignment="1">
      <alignment horizontal="right"/>
    </xf>
    <xf numFmtId="0" fontId="3" fillId="0" borderId="0" xfId="0" quotePrefix="1" applyNumberFormat="1" applyFont="1" applyAlignment="1">
      <alignment horizontal="right"/>
    </xf>
    <xf numFmtId="1" fontId="3" fillId="0" borderId="0" xfId="0" quotePrefix="1" applyNumberFormat="1" applyFont="1" applyAlignment="1">
      <alignment horizontal="right"/>
    </xf>
    <xf numFmtId="0" fontId="3" fillId="0" borderId="1" xfId="0" quotePrefix="1" applyNumberFormat="1" applyFont="1" applyBorder="1" applyAlignment="1">
      <alignment horizontal="right"/>
    </xf>
    <xf numFmtId="0" fontId="3" fillId="0" borderId="4" xfId="0" quotePrefix="1" applyNumberFormat="1" applyFont="1" applyBorder="1" applyAlignment="1">
      <alignment horizontal="right"/>
    </xf>
    <xf numFmtId="37" fontId="3" fillId="0" borderId="4" xfId="0" applyFont="1" applyBorder="1" applyAlignment="1">
      <alignment horizontal="right" wrapText="1"/>
    </xf>
    <xf numFmtId="0" fontId="4" fillId="0" borderId="4" xfId="0" quotePrefix="1" applyNumberFormat="1" applyFont="1" applyBorder="1" applyAlignment="1">
      <alignment horizontal="right"/>
    </xf>
    <xf numFmtId="0" fontId="3" fillId="0" borderId="0" xfId="0" applyNumberFormat="1" applyFont="1" applyAlignment="1">
      <alignment horizontal="right"/>
    </xf>
    <xf numFmtId="165" fontId="3" fillId="0" borderId="1" xfId="0" quotePrefix="1" applyNumberFormat="1" applyFont="1" applyBorder="1" applyAlignment="1">
      <alignment horizontal="right"/>
    </xf>
    <xf numFmtId="0" fontId="3" fillId="0" borderId="1" xfId="0" applyNumberFormat="1" applyFont="1" applyBorder="1" applyAlignment="1">
      <alignment horizontal="right"/>
    </xf>
    <xf numFmtId="1" fontId="3" fillId="0" borderId="1" xfId="0" quotePrefix="1" applyNumberFormat="1" applyFont="1" applyBorder="1" applyAlignment="1">
      <alignment horizontal="right"/>
    </xf>
    <xf numFmtId="37" fontId="31" fillId="0" borderId="0" xfId="0" applyFont="1" applyAlignment="1">
      <alignment horizontal="left"/>
    </xf>
    <xf numFmtId="37" fontId="3" fillId="0" borderId="13" xfId="0" applyFont="1" applyBorder="1" applyAlignment="1">
      <alignment horizontal="right" wrapText="1"/>
    </xf>
    <xf numFmtId="0" fontId="0" fillId="0" borderId="2" xfId="0" applyNumberFormat="1" applyBorder="1"/>
    <xf numFmtId="37" fontId="32" fillId="0" borderId="0" xfId="0" applyFont="1"/>
    <xf numFmtId="37" fontId="32" fillId="0" borderId="4" xfId="0" applyFont="1" applyBorder="1" applyAlignment="1">
      <alignment horizontal="right"/>
    </xf>
    <xf numFmtId="1" fontId="34" fillId="8" borderId="4" xfId="7" applyNumberFormat="1" applyFont="1" applyFill="1" applyBorder="1" applyAlignment="1">
      <alignment horizontal="right" wrapText="1"/>
    </xf>
    <xf numFmtId="1" fontId="34" fillId="8" borderId="13" xfId="7" applyNumberFormat="1" applyFont="1" applyFill="1" applyBorder="1" applyAlignment="1">
      <alignment horizontal="right" wrapText="1"/>
    </xf>
    <xf numFmtId="1" fontId="1" fillId="0" borderId="2" xfId="7" applyNumberFormat="1" applyBorder="1"/>
    <xf numFmtId="166" fontId="0" fillId="0" borderId="0" xfId="0" applyNumberFormat="1"/>
    <xf numFmtId="37" fontId="32" fillId="0" borderId="0" xfId="0" applyFont="1" applyAlignment="1">
      <alignment horizontal="left"/>
    </xf>
    <xf numFmtId="0" fontId="34" fillId="8" borderId="33" xfId="7" applyFont="1" applyFill="1" applyBorder="1" applyAlignment="1">
      <alignment horizontal="left" wrapText="1"/>
    </xf>
    <xf numFmtId="0" fontId="34" fillId="8" borderId="33" xfId="7" applyFont="1" applyFill="1" applyBorder="1" applyAlignment="1">
      <alignment horizontal="right" wrapText="1"/>
    </xf>
    <xf numFmtId="0" fontId="34" fillId="8" borderId="35" xfId="7" applyFont="1" applyFill="1" applyBorder="1" applyAlignment="1">
      <alignment horizontal="right" wrapText="1"/>
    </xf>
    <xf numFmtId="1" fontId="34" fillId="8" borderId="1" xfId="7" applyNumberFormat="1" applyFont="1" applyFill="1" applyBorder="1" applyAlignment="1">
      <alignment horizontal="right" wrapText="1"/>
    </xf>
    <xf numFmtId="1" fontId="34" fillId="8" borderId="3" xfId="7" applyNumberFormat="1" applyFont="1" applyFill="1" applyBorder="1" applyAlignment="1">
      <alignment horizontal="right" wrapText="1"/>
    </xf>
    <xf numFmtId="1" fontId="1" fillId="0" borderId="0" xfId="7" applyNumberFormat="1"/>
    <xf numFmtId="37" fontId="36" fillId="0" borderId="0" xfId="0" applyFont="1"/>
    <xf numFmtId="37" fontId="36" fillId="0" borderId="0" xfId="0" applyFont="1" applyProtection="1">
      <protection locked="0"/>
    </xf>
    <xf numFmtId="37" fontId="0" fillId="0" borderId="0" xfId="0" applyAlignment="1" applyProtection="1">
      <alignment horizontal="left" vertical="center" wrapText="1"/>
      <protection locked="0"/>
    </xf>
    <xf numFmtId="168" fontId="3" fillId="0" borderId="5" xfId="0" applyNumberFormat="1" applyFont="1" applyBorder="1" applyAlignment="1">
      <alignment horizontal="right"/>
    </xf>
    <xf numFmtId="165" fontId="35" fillId="8" borderId="0" xfId="7" applyNumberFormat="1" applyFont="1" applyFill="1" applyAlignment="1">
      <alignment horizontal="right" wrapText="1"/>
    </xf>
    <xf numFmtId="165" fontId="35" fillId="8" borderId="2" xfId="7" applyNumberFormat="1" applyFont="1" applyFill="1" applyBorder="1" applyAlignment="1">
      <alignment horizontal="right" wrapText="1"/>
    </xf>
    <xf numFmtId="165" fontId="35" fillId="8" borderId="1" xfId="7" applyNumberFormat="1" applyFont="1" applyFill="1" applyBorder="1" applyAlignment="1">
      <alignment horizontal="right" wrapText="1"/>
    </xf>
    <xf numFmtId="165" fontId="35" fillId="8" borderId="3" xfId="7" applyNumberFormat="1" applyFont="1" applyFill="1" applyBorder="1" applyAlignment="1">
      <alignment horizontal="right" wrapText="1"/>
    </xf>
    <xf numFmtId="165" fontId="35" fillId="8" borderId="4" xfId="7" applyNumberFormat="1" applyFont="1" applyFill="1" applyBorder="1" applyAlignment="1">
      <alignment horizontal="right" wrapText="1"/>
    </xf>
    <xf numFmtId="165" fontId="35" fillId="8" borderId="13" xfId="7" applyNumberFormat="1" applyFont="1" applyFill="1" applyBorder="1" applyAlignment="1">
      <alignment horizontal="right" wrapText="1"/>
    </xf>
    <xf numFmtId="168" fontId="3" fillId="0" borderId="0" xfId="0" applyNumberFormat="1" applyFont="1" applyAlignment="1">
      <alignment horizontal="right"/>
    </xf>
    <xf numFmtId="37" fontId="3" fillId="0" borderId="2" xfId="0" applyFont="1" applyBorder="1" applyAlignment="1">
      <alignment horizontal="centerContinuous"/>
    </xf>
    <xf numFmtId="168" fontId="3" fillId="0" borderId="10" xfId="0" applyNumberFormat="1" applyFont="1" applyBorder="1"/>
    <xf numFmtId="37" fontId="3" fillId="0" borderId="16" xfId="0" applyFont="1" applyBorder="1" applyAlignment="1">
      <alignment horizontal="center"/>
    </xf>
    <xf numFmtId="168" fontId="3" fillId="0" borderId="10" xfId="0" applyNumberFormat="1" applyFont="1" applyBorder="1" applyAlignment="1">
      <alignment horizontal="right"/>
    </xf>
    <xf numFmtId="37" fontId="3" fillId="0" borderId="10" xfId="0" applyFont="1" applyBorder="1" applyAlignment="1">
      <alignment horizontal="center"/>
    </xf>
    <xf numFmtId="37" fontId="3" fillId="0" borderId="17" xfId="0" applyFont="1" applyBorder="1" applyAlignment="1">
      <alignment horizontal="center"/>
    </xf>
    <xf numFmtId="37" fontId="3" fillId="0" borderId="7" xfId="0" applyFont="1" applyBorder="1" applyAlignment="1">
      <alignment horizontal="centerContinuous"/>
    </xf>
    <xf numFmtId="37" fontId="3" fillId="0" borderId="2" xfId="0" applyFont="1" applyBorder="1"/>
    <xf numFmtId="37" fontId="3" fillId="0" borderId="3" xfId="0" applyFont="1" applyBorder="1"/>
    <xf numFmtId="37" fontId="3" fillId="0" borderId="3" xfId="0" applyFont="1" applyBorder="1" applyAlignment="1">
      <alignment horizontal="centerContinuous"/>
    </xf>
    <xf numFmtId="0" fontId="3" fillId="0" borderId="3" xfId="2" applyFont="1" applyBorder="1" applyAlignment="1">
      <alignment horizontal="right"/>
    </xf>
    <xf numFmtId="37" fontId="17" fillId="0" borderId="2" xfId="0" applyFont="1" applyBorder="1" applyAlignment="1">
      <alignment horizontal="right"/>
    </xf>
    <xf numFmtId="37" fontId="3" fillId="0" borderId="3" xfId="0" applyFont="1" applyBorder="1" applyAlignment="1">
      <alignment horizontal="right"/>
    </xf>
    <xf numFmtId="37" fontId="3" fillId="0" borderId="8" xfId="0" applyFont="1" applyBorder="1" applyAlignment="1">
      <alignment horizontal="right"/>
    </xf>
    <xf numFmtId="0" fontId="3" fillId="0" borderId="8" xfId="2" applyFont="1" applyBorder="1" applyAlignment="1">
      <alignment horizontal="right"/>
    </xf>
    <xf numFmtId="165" fontId="4" fillId="0" borderId="4" xfId="0" quotePrefix="1" applyNumberFormat="1" applyFont="1" applyBorder="1" applyAlignment="1">
      <alignment horizontal="right"/>
    </xf>
    <xf numFmtId="165" fontId="0" fillId="0" borderId="0" xfId="0" applyNumberFormat="1"/>
    <xf numFmtId="0" fontId="30" fillId="9" borderId="0" xfId="0" applyNumberFormat="1" applyFont="1" applyFill="1" applyAlignment="1">
      <alignment horizontal="left" vertical="center" wrapText="1"/>
    </xf>
    <xf numFmtId="168" fontId="3" fillId="0" borderId="13" xfId="0" applyNumberFormat="1" applyFont="1" applyBorder="1" applyAlignment="1">
      <alignment horizontal="right"/>
    </xf>
    <xf numFmtId="168" fontId="3" fillId="0" borderId="8" xfId="0" applyNumberFormat="1" applyFont="1" applyBorder="1" applyAlignment="1">
      <alignment horizontal="right"/>
    </xf>
    <xf numFmtId="37" fontId="3" fillId="0" borderId="12" xfId="0" applyFont="1" applyBorder="1" applyAlignment="1">
      <alignment horizontal="right"/>
    </xf>
    <xf numFmtId="0" fontId="4" fillId="0" borderId="0" xfId="0" applyNumberFormat="1" applyFont="1" applyAlignment="1">
      <alignment horizontal="right"/>
    </xf>
    <xf numFmtId="165" fontId="3" fillId="0" borderId="7" xfId="0" quotePrefix="1" applyNumberFormat="1" applyFont="1" applyBorder="1" applyAlignment="1">
      <alignment horizontal="right"/>
    </xf>
    <xf numFmtId="165" fontId="0" fillId="0" borderId="7" xfId="0" applyNumberFormat="1" applyBorder="1"/>
    <xf numFmtId="0" fontId="4" fillId="0" borderId="4" xfId="0" applyNumberFormat="1" applyFont="1" applyBorder="1" applyAlignment="1">
      <alignment horizontal="right"/>
    </xf>
    <xf numFmtId="168" fontId="3" fillId="0" borderId="16" xfId="0" applyNumberFormat="1" applyFont="1" applyBorder="1"/>
    <xf numFmtId="168" fontId="3" fillId="0" borderId="15" xfId="0" applyNumberFormat="1" applyFont="1" applyBorder="1"/>
    <xf numFmtId="168" fontId="3" fillId="4" borderId="11" xfId="0" applyNumberFormat="1" applyFont="1" applyFill="1" applyBorder="1" applyAlignment="1">
      <alignment horizontal="right"/>
    </xf>
    <xf numFmtId="168" fontId="3" fillId="4" borderId="11" xfId="0" applyNumberFormat="1" applyFont="1" applyFill="1" applyBorder="1"/>
    <xf numFmtId="168" fontId="3" fillId="4" borderId="13" xfId="0" applyNumberFormat="1" applyFont="1" applyFill="1" applyBorder="1"/>
    <xf numFmtId="0" fontId="3" fillId="0" borderId="3" xfId="0" applyNumberFormat="1" applyFont="1" applyBorder="1" applyAlignment="1">
      <alignment horizontal="right"/>
    </xf>
    <xf numFmtId="168" fontId="3" fillId="0" borderId="12" xfId="0" applyNumberFormat="1" applyFont="1" applyBorder="1" applyAlignment="1">
      <alignment horizontal="right"/>
    </xf>
    <xf numFmtId="167" fontId="3" fillId="0" borderId="7" xfId="1" applyNumberFormat="1" applyFont="1" applyFill="1" applyBorder="1" applyAlignment="1">
      <alignment horizontal="right"/>
    </xf>
    <xf numFmtId="0" fontId="3" fillId="2" borderId="1" xfId="2" applyFont="1" applyFill="1" applyBorder="1"/>
    <xf numFmtId="0" fontId="3" fillId="0" borderId="0" xfId="0" applyNumberFormat="1" applyFont="1" applyAlignment="1">
      <alignment horizontal="right" wrapText="1"/>
    </xf>
    <xf numFmtId="0" fontId="3" fillId="0" borderId="1" xfId="0" applyNumberFormat="1" applyFont="1" applyBorder="1" applyAlignment="1">
      <alignment horizontal="right" wrapText="1"/>
    </xf>
    <xf numFmtId="165" fontId="3" fillId="0" borderId="4" xfId="0" applyNumberFormat="1" applyFont="1" applyBorder="1" applyAlignment="1">
      <alignment horizontal="right" vertical="center"/>
    </xf>
    <xf numFmtId="165" fontId="7" fillId="0" borderId="4" xfId="0" applyNumberFormat="1" applyFont="1" applyBorder="1" applyAlignment="1">
      <alignment horizontal="right"/>
    </xf>
    <xf numFmtId="167" fontId="17" fillId="0" borderId="1" xfId="1" applyNumberFormat="1" applyFont="1" applyBorder="1"/>
    <xf numFmtId="167" fontId="17" fillId="2" borderId="8" xfId="1" applyNumberFormat="1" applyFont="1" applyFill="1" applyBorder="1"/>
    <xf numFmtId="167" fontId="17" fillId="2" borderId="5" xfId="1" applyNumberFormat="1" applyFont="1" applyFill="1" applyBorder="1" applyAlignment="1">
      <alignment horizontal="right"/>
    </xf>
    <xf numFmtId="167" fontId="3" fillId="0" borderId="1" xfId="1" applyNumberFormat="1" applyFont="1" applyBorder="1" applyAlignment="1" applyProtection="1"/>
    <xf numFmtId="167" fontId="3" fillId="0" borderId="1" xfId="1" applyNumberFormat="1" applyFont="1" applyBorder="1" applyAlignment="1">
      <alignment horizontal="right"/>
    </xf>
    <xf numFmtId="167" fontId="3" fillId="0" borderId="1" xfId="1" applyNumberFormat="1" applyFont="1" applyBorder="1"/>
    <xf numFmtId="167" fontId="7" fillId="0" borderId="1" xfId="1" applyNumberFormat="1" applyFont="1" applyBorder="1"/>
    <xf numFmtId="37" fontId="3" fillId="2" borderId="1" xfId="0" applyFont="1" applyFill="1" applyBorder="1"/>
    <xf numFmtId="167" fontId="3" fillId="0" borderId="1" xfId="1" applyNumberFormat="1" applyFont="1" applyBorder="1" applyAlignment="1"/>
    <xf numFmtId="167" fontId="3" fillId="2" borderId="8" xfId="1" applyNumberFormat="1" applyFont="1" applyFill="1" applyBorder="1"/>
    <xf numFmtId="167" fontId="3" fillId="2" borderId="1" xfId="1" applyNumberFormat="1" applyFont="1" applyFill="1" applyBorder="1"/>
    <xf numFmtId="9" fontId="17" fillId="3" borderId="4" xfId="4" applyFont="1" applyFill="1" applyBorder="1"/>
    <xf numFmtId="9" fontId="17" fillId="3" borderId="13" xfId="4" applyFont="1" applyFill="1" applyBorder="1"/>
    <xf numFmtId="37" fontId="3" fillId="6" borderId="0" xfId="0" applyFont="1" applyFill="1" applyAlignment="1">
      <alignment vertical="top"/>
    </xf>
    <xf numFmtId="37" fontId="3" fillId="3" borderId="0" xfId="0" applyFont="1" applyFill="1" applyAlignment="1">
      <alignment vertical="top"/>
    </xf>
    <xf numFmtId="9" fontId="17" fillId="3" borderId="1" xfId="4" applyFont="1" applyFill="1" applyBorder="1" applyAlignment="1">
      <alignment vertical="top"/>
    </xf>
    <xf numFmtId="9" fontId="17" fillId="3" borderId="16" xfId="4" applyFont="1" applyFill="1" applyBorder="1" applyAlignment="1">
      <alignment horizontal="right"/>
    </xf>
    <xf numFmtId="9" fontId="17" fillId="3" borderId="3" xfId="4" applyFont="1" applyFill="1" applyBorder="1" applyAlignment="1">
      <alignment vertical="top"/>
    </xf>
    <xf numFmtId="9" fontId="3" fillId="6" borderId="8" xfId="4" applyFont="1" applyFill="1" applyBorder="1" applyAlignment="1">
      <alignment vertical="top"/>
    </xf>
    <xf numFmtId="9" fontId="3" fillId="6" borderId="1" xfId="4" applyFont="1" applyFill="1" applyBorder="1" applyAlignment="1">
      <alignment vertical="top"/>
    </xf>
    <xf numFmtId="167" fontId="3" fillId="0" borderId="0" xfId="1" applyNumberFormat="1" applyFont="1" applyFill="1"/>
    <xf numFmtId="0" fontId="3" fillId="0" borderId="11" xfId="0" quotePrefix="1" applyNumberFormat="1" applyFont="1" applyBorder="1" applyAlignment="1">
      <alignment horizontal="right"/>
    </xf>
    <xf numFmtId="165" fontId="4" fillId="0" borderId="11" xfId="0" quotePrefix="1" applyNumberFormat="1" applyFont="1" applyBorder="1" applyAlignment="1">
      <alignment horizontal="right"/>
    </xf>
    <xf numFmtId="165" fontId="0" fillId="0" borderId="5" xfId="0" applyNumberFormat="1" applyBorder="1"/>
    <xf numFmtId="0" fontId="3" fillId="0" borderId="5" xfId="0" applyNumberFormat="1" applyFont="1" applyBorder="1" applyAlignment="1">
      <alignment horizontal="right"/>
    </xf>
    <xf numFmtId="0" fontId="3" fillId="0" borderId="8" xfId="0" applyNumberFormat="1" applyFont="1" applyBorder="1" applyAlignment="1">
      <alignment horizontal="right"/>
    </xf>
    <xf numFmtId="165" fontId="3" fillId="0" borderId="5" xfId="0" quotePrefix="1" applyNumberFormat="1" applyFont="1" applyBorder="1" applyAlignment="1">
      <alignment horizontal="right"/>
    </xf>
    <xf numFmtId="165" fontId="3" fillId="0" borderId="5" xfId="0" applyNumberFormat="1" applyFont="1" applyBorder="1" applyAlignment="1">
      <alignment horizontal="right"/>
    </xf>
    <xf numFmtId="165" fontId="4" fillId="0" borderId="13" xfId="0" quotePrefix="1" applyNumberFormat="1" applyFont="1" applyBorder="1" applyAlignment="1">
      <alignment horizontal="right"/>
    </xf>
    <xf numFmtId="165" fontId="0" fillId="0" borderId="2" xfId="0" applyNumberFormat="1" applyBorder="1"/>
    <xf numFmtId="0" fontId="3" fillId="0" borderId="2" xfId="0" applyNumberFormat="1" applyFont="1" applyBorder="1" applyAlignment="1">
      <alignment horizontal="right"/>
    </xf>
    <xf numFmtId="165" fontId="3" fillId="0" borderId="2" xfId="0" quotePrefix="1" applyNumberFormat="1" applyFont="1" applyBorder="1" applyAlignment="1">
      <alignment horizontal="right"/>
    </xf>
    <xf numFmtId="165" fontId="3" fillId="0" borderId="2" xfId="0" applyNumberFormat="1" applyFont="1" applyBorder="1" applyAlignment="1">
      <alignment horizontal="right"/>
    </xf>
    <xf numFmtId="0" fontId="4" fillId="0" borderId="13" xfId="0" applyNumberFormat="1" applyFont="1" applyBorder="1" applyAlignment="1">
      <alignment horizontal="right"/>
    </xf>
    <xf numFmtId="0" fontId="3" fillId="0" borderId="13" xfId="0" applyNumberFormat="1" applyFont="1" applyBorder="1" applyAlignment="1">
      <alignment horizontal="right"/>
    </xf>
    <xf numFmtId="0" fontId="4" fillId="0" borderId="5" xfId="0" applyNumberFormat="1" applyFont="1" applyBorder="1" applyAlignment="1">
      <alignment horizontal="right"/>
    </xf>
    <xf numFmtId="0" fontId="3" fillId="0" borderId="11" xfId="0" applyNumberFormat="1" applyFont="1" applyBorder="1" applyAlignment="1">
      <alignment horizontal="right"/>
    </xf>
    <xf numFmtId="37" fontId="3" fillId="0" borderId="15" xfId="0" applyFont="1" applyBorder="1" applyAlignment="1">
      <alignment horizontal="right"/>
    </xf>
    <xf numFmtId="37" fontId="3" fillId="0" borderId="42" xfId="0" applyFont="1" applyBorder="1" applyAlignment="1">
      <alignment horizontal="right"/>
    </xf>
    <xf numFmtId="37" fontId="3" fillId="0" borderId="10" xfId="0" applyFont="1" applyBorder="1" applyAlignment="1">
      <alignment horizontal="right"/>
    </xf>
    <xf numFmtId="168" fontId="3" fillId="4" borderId="5" xfId="0" applyNumberFormat="1" applyFont="1" applyFill="1" applyBorder="1" applyAlignment="1">
      <alignment horizontal="right"/>
    </xf>
    <xf numFmtId="37" fontId="3" fillId="0" borderId="0" xfId="0" applyFont="1" applyAlignment="1">
      <alignment horizontal="right" vertical="top"/>
    </xf>
    <xf numFmtId="37" fontId="3" fillId="0" borderId="0" xfId="0" applyFont="1" applyAlignment="1">
      <alignment horizontal="left" vertical="top" wrapText="1"/>
    </xf>
    <xf numFmtId="0" fontId="3" fillId="0" borderId="8" xfId="0" quotePrefix="1" applyNumberFormat="1" applyFont="1" applyBorder="1" applyAlignment="1">
      <alignment horizontal="right"/>
    </xf>
    <xf numFmtId="37" fontId="32" fillId="0" borderId="1" xfId="0" applyFont="1" applyBorder="1" applyAlignment="1">
      <alignment horizontal="right"/>
    </xf>
    <xf numFmtId="165" fontId="0" fillId="0" borderId="16" xfId="0" applyNumberFormat="1" applyBorder="1"/>
    <xf numFmtId="37" fontId="0" fillId="0" borderId="2" xfId="0" applyBorder="1"/>
    <xf numFmtId="37" fontId="3" fillId="0" borderId="16" xfId="0" applyFont="1" applyBorder="1" applyAlignment="1">
      <alignment horizontal="right"/>
    </xf>
    <xf numFmtId="165" fontId="3" fillId="0" borderId="16" xfId="0" quotePrefix="1" applyNumberFormat="1" applyFont="1" applyBorder="1" applyAlignment="1">
      <alignment horizontal="right"/>
    </xf>
    <xf numFmtId="168" fontId="3" fillId="4" borderId="3" xfId="0" applyNumberFormat="1" applyFont="1" applyFill="1" applyBorder="1"/>
    <xf numFmtId="0" fontId="4" fillId="0" borderId="11" xfId="0" quotePrefix="1" applyNumberFormat="1" applyFont="1" applyBorder="1" applyAlignment="1">
      <alignment horizontal="right"/>
    </xf>
    <xf numFmtId="2" fontId="4" fillId="0" borderId="4" xfId="0" quotePrefix="1" applyNumberFormat="1" applyFont="1" applyBorder="1" applyAlignment="1">
      <alignment horizontal="right"/>
    </xf>
    <xf numFmtId="37" fontId="0" fillId="0" borderId="16" xfId="0" applyBorder="1"/>
    <xf numFmtId="168" fontId="3" fillId="4" borderId="12" xfId="0" applyNumberFormat="1" applyFont="1" applyFill="1" applyBorder="1" applyAlignment="1">
      <alignment horizontal="right"/>
    </xf>
    <xf numFmtId="37" fontId="1" fillId="0" borderId="0" xfId="0" applyFont="1" applyAlignment="1">
      <alignment horizontal="center" vertical="center" wrapText="1"/>
    </xf>
    <xf numFmtId="165" fontId="7" fillId="2" borderId="4" xfId="0" applyNumberFormat="1" applyFont="1" applyFill="1" applyBorder="1" applyAlignment="1">
      <alignment horizontal="right"/>
    </xf>
    <xf numFmtId="165" fontId="7" fillId="0" borderId="4" xfId="0" applyNumberFormat="1" applyFont="1" applyBorder="1"/>
    <xf numFmtId="165" fontId="7" fillId="0" borderId="0" xfId="0" applyNumberFormat="1" applyFont="1"/>
    <xf numFmtId="165" fontId="7" fillId="0" borderId="0" xfId="1" applyNumberFormat="1" applyFont="1" applyBorder="1" applyAlignment="1">
      <alignment horizontal="right"/>
    </xf>
    <xf numFmtId="165" fontId="7" fillId="0" borderId="1" xfId="0" applyNumberFormat="1" applyFont="1" applyBorder="1"/>
    <xf numFmtId="37" fontId="0" fillId="0" borderId="1" xfId="0" applyBorder="1"/>
    <xf numFmtId="165" fontId="4" fillId="0" borderId="0" xfId="0" applyNumberFormat="1" applyFont="1" applyAlignment="1">
      <alignment horizontal="right"/>
    </xf>
    <xf numFmtId="165" fontId="3" fillId="0" borderId="8" xfId="0" applyNumberFormat="1" applyFont="1" applyBorder="1" applyAlignment="1">
      <alignment horizontal="right"/>
    </xf>
    <xf numFmtId="165" fontId="32" fillId="0" borderId="1" xfId="0" applyNumberFormat="1" applyFont="1" applyBorder="1" applyAlignment="1">
      <alignment horizontal="right"/>
    </xf>
    <xf numFmtId="165" fontId="44" fillId="0" borderId="16" xfId="0" applyNumberFormat="1" applyFont="1" applyBorder="1"/>
    <xf numFmtId="0" fontId="3" fillId="10" borderId="1" xfId="0" applyNumberFormat="1" applyFont="1" applyFill="1" applyBorder="1" applyAlignment="1">
      <alignment horizontal="right" wrapText="1"/>
    </xf>
    <xf numFmtId="37" fontId="3" fillId="0" borderId="40" xfId="0" applyFont="1" applyBorder="1" applyAlignment="1">
      <alignment horizontal="center"/>
    </xf>
    <xf numFmtId="37" fontId="3" fillId="0" borderId="8" xfId="0" applyFont="1" applyBorder="1" applyAlignment="1">
      <alignment horizontal="center"/>
    </xf>
    <xf numFmtId="37" fontId="3" fillId="0" borderId="2" xfId="0" applyFont="1" applyBorder="1" applyAlignment="1">
      <alignment horizontal="center"/>
    </xf>
    <xf numFmtId="37" fontId="36" fillId="8" borderId="0" xfId="0" applyFont="1" applyFill="1" applyAlignment="1">
      <alignment horizontal="left" vertical="center" wrapText="1"/>
    </xf>
    <xf numFmtId="37" fontId="0" fillId="0" borderId="30" xfId="0" applyBorder="1" applyAlignment="1">
      <alignment wrapText="1"/>
    </xf>
    <xf numFmtId="37" fontId="0" fillId="0" borderId="31" xfId="0" applyBorder="1" applyAlignment="1">
      <alignment wrapText="1"/>
    </xf>
    <xf numFmtId="37" fontId="0" fillId="0" borderId="32" xfId="0" applyBorder="1" applyAlignment="1">
      <alignment wrapText="1"/>
    </xf>
    <xf numFmtId="37" fontId="26" fillId="0" borderId="32" xfId="0" applyFont="1" applyBorder="1" applyAlignment="1">
      <alignment horizontal="center" vertical="center" wrapText="1"/>
    </xf>
    <xf numFmtId="2" fontId="4" fillId="0" borderId="7" xfId="0" quotePrefix="1" applyNumberFormat="1" applyFont="1" applyBorder="1" applyAlignment="1">
      <alignment horizontal="right"/>
    </xf>
    <xf numFmtId="0" fontId="4" fillId="0" borderId="7" xfId="0" applyNumberFormat="1" applyFont="1" applyBorder="1" applyAlignment="1">
      <alignment horizontal="right"/>
    </xf>
    <xf numFmtId="37" fontId="0" fillId="0" borderId="3" xfId="0" applyBorder="1"/>
    <xf numFmtId="37" fontId="3" fillId="0" borderId="3" xfId="0" applyFont="1" applyBorder="1" applyAlignment="1">
      <alignment horizontal="right" wrapText="1"/>
    </xf>
    <xf numFmtId="165" fontId="4" fillId="0" borderId="2" xfId="0" applyNumberFormat="1" applyFont="1" applyBorder="1" applyAlignment="1">
      <alignment horizontal="right"/>
    </xf>
    <xf numFmtId="165" fontId="3" fillId="0" borderId="3" xfId="0" applyNumberFormat="1" applyFont="1" applyBorder="1" applyAlignment="1">
      <alignment horizontal="right"/>
    </xf>
    <xf numFmtId="3" fontId="3" fillId="0" borderId="0" xfId="2" applyNumberFormat="1" applyFont="1"/>
    <xf numFmtId="37" fontId="0" fillId="0" borderId="0" xfId="0" applyAlignment="1">
      <alignment horizontal="left" vertical="top"/>
    </xf>
    <xf numFmtId="37" fontId="0" fillId="0" borderId="0" xfId="0" applyAlignment="1">
      <alignment horizontal="left" vertical="top" wrapText="1"/>
    </xf>
    <xf numFmtId="37" fontId="45" fillId="0" borderId="0" xfId="0" applyFont="1" applyAlignment="1">
      <alignment vertical="top" wrapText="1"/>
    </xf>
    <xf numFmtId="37" fontId="3" fillId="0" borderId="12" xfId="0" applyFont="1" applyBorder="1" applyAlignment="1">
      <alignment horizontal="left" wrapText="1"/>
    </xf>
    <xf numFmtId="37" fontId="3" fillId="0" borderId="40" xfId="0" applyFont="1" applyBorder="1" applyAlignment="1">
      <alignment horizontal="center" wrapText="1"/>
    </xf>
    <xf numFmtId="37" fontId="3" fillId="11" borderId="0" xfId="0" applyFont="1" applyFill="1" applyAlignment="1">
      <alignment horizontal="right"/>
    </xf>
    <xf numFmtId="37" fontId="3" fillId="11" borderId="0" xfId="0" applyFont="1" applyFill="1" applyAlignment="1">
      <alignment horizontal="left"/>
    </xf>
    <xf numFmtId="168" fontId="3" fillId="4" borderId="2" xfId="0" applyNumberFormat="1" applyFont="1" applyFill="1" applyBorder="1" applyAlignment="1">
      <alignment horizontal="right"/>
    </xf>
    <xf numFmtId="37" fontId="0" fillId="0" borderId="0" xfId="0" applyAlignment="1">
      <alignment wrapText="1"/>
    </xf>
    <xf numFmtId="37" fontId="0" fillId="0" borderId="0" xfId="0" quotePrefix="1"/>
    <xf numFmtId="2" fontId="4" fillId="0" borderId="16" xfId="0" quotePrefix="1" applyNumberFormat="1" applyFont="1" applyBorder="1" applyAlignment="1">
      <alignment horizontal="right"/>
    </xf>
    <xf numFmtId="37" fontId="3" fillId="11" borderId="2" xfId="0" applyFont="1" applyFill="1" applyBorder="1" applyAlignment="1">
      <alignment horizontal="right"/>
    </xf>
    <xf numFmtId="1" fontId="0" fillId="0" borderId="5" xfId="0" quotePrefix="1" applyNumberFormat="1" applyBorder="1" applyAlignment="1">
      <alignment horizontal="right"/>
    </xf>
    <xf numFmtId="168" fontId="3" fillId="0" borderId="2" xfId="0" applyNumberFormat="1" applyFont="1" applyBorder="1" applyAlignment="1">
      <alignment horizontal="right"/>
    </xf>
    <xf numFmtId="168" fontId="3" fillId="0" borderId="16" xfId="0" applyNumberFormat="1" applyFont="1" applyBorder="1" applyAlignment="1">
      <alignment horizontal="right"/>
    </xf>
    <xf numFmtId="168" fontId="3" fillId="4" borderId="3" xfId="0" applyNumberFormat="1" applyFont="1" applyFill="1" applyBorder="1" applyAlignment="1">
      <alignment horizontal="right"/>
    </xf>
    <xf numFmtId="37" fontId="0" fillId="11" borderId="0" xfId="0" applyFill="1"/>
    <xf numFmtId="37" fontId="4" fillId="11" borderId="5" xfId="0" applyFont="1" applyFill="1" applyBorder="1" applyAlignment="1">
      <alignment vertical="top"/>
    </xf>
    <xf numFmtId="37" fontId="3" fillId="11" borderId="8" xfId="0" applyFont="1" applyFill="1" applyBorder="1" applyAlignment="1">
      <alignment vertical="top"/>
    </xf>
    <xf numFmtId="37" fontId="3" fillId="11" borderId="1" xfId="0" applyFont="1" applyFill="1" applyBorder="1" applyAlignment="1">
      <alignment vertical="top"/>
    </xf>
    <xf numFmtId="167" fontId="17" fillId="11" borderId="8" xfId="1" applyNumberFormat="1" applyFont="1" applyFill="1" applyBorder="1"/>
    <xf numFmtId="167" fontId="17" fillId="11" borderId="1" xfId="1" applyNumberFormat="1" applyFont="1" applyFill="1" applyBorder="1"/>
    <xf numFmtId="167" fontId="17" fillId="11" borderId="5" xfId="1" applyNumberFormat="1" applyFont="1" applyFill="1" applyBorder="1" applyAlignment="1">
      <alignment horizontal="right"/>
    </xf>
    <xf numFmtId="167" fontId="17" fillId="11" borderId="0" xfId="1" applyNumberFormat="1" applyFont="1" applyFill="1" applyBorder="1" applyAlignment="1">
      <alignment horizontal="right"/>
    </xf>
    <xf numFmtId="167" fontId="25" fillId="11" borderId="5" xfId="1" applyNumberFormat="1" applyFont="1" applyFill="1" applyBorder="1" applyAlignment="1">
      <alignment horizontal="right"/>
    </xf>
    <xf numFmtId="167" fontId="25" fillId="11" borderId="0" xfId="1" applyNumberFormat="1" applyFont="1" applyFill="1" applyBorder="1" applyAlignment="1">
      <alignment horizontal="right"/>
    </xf>
    <xf numFmtId="167" fontId="17" fillId="11" borderId="5" xfId="1" applyNumberFormat="1" applyFont="1" applyFill="1" applyBorder="1"/>
    <xf numFmtId="167" fontId="17" fillId="11" borderId="0" xfId="1" applyNumberFormat="1" applyFont="1" applyFill="1" applyBorder="1"/>
    <xf numFmtId="167" fontId="17" fillId="11" borderId="8" xfId="1" applyNumberFormat="1" applyFont="1" applyFill="1" applyBorder="1" applyAlignment="1">
      <alignment horizontal="right"/>
    </xf>
    <xf numFmtId="167" fontId="17" fillId="11" borderId="1" xfId="1" applyNumberFormat="1" applyFont="1" applyFill="1" applyBorder="1" applyAlignment="1">
      <alignment horizontal="right"/>
    </xf>
    <xf numFmtId="167" fontId="17" fillId="11" borderId="11" xfId="1" applyNumberFormat="1" applyFont="1" applyFill="1" applyBorder="1" applyAlignment="1">
      <alignment horizontal="right"/>
    </xf>
    <xf numFmtId="167" fontId="17" fillId="11" borderId="4" xfId="1" applyNumberFormat="1" applyFont="1" applyFill="1" applyBorder="1" applyAlignment="1">
      <alignment horizontal="right"/>
    </xf>
    <xf numFmtId="3" fontId="3" fillId="11" borderId="0" xfId="0" applyNumberFormat="1" applyFont="1" applyFill="1" applyAlignment="1">
      <alignment vertical="top"/>
    </xf>
    <xf numFmtId="167" fontId="3" fillId="11" borderId="1" xfId="1" applyNumberFormat="1" applyFont="1" applyFill="1" applyBorder="1"/>
    <xf numFmtId="167" fontId="3" fillId="11" borderId="0" xfId="1" applyNumberFormat="1" applyFont="1" applyFill="1" applyBorder="1" applyAlignment="1">
      <alignment horizontal="right"/>
    </xf>
    <xf numFmtId="167" fontId="3" fillId="11" borderId="0" xfId="1" applyNumberFormat="1" applyFont="1" applyFill="1" applyBorder="1"/>
    <xf numFmtId="167" fontId="4" fillId="11" borderId="0" xfId="1" applyNumberFormat="1" applyFont="1" applyFill="1" applyBorder="1" applyAlignment="1">
      <alignment horizontal="right"/>
    </xf>
    <xf numFmtId="167" fontId="3" fillId="11" borderId="4" xfId="1" applyNumberFormat="1" applyFont="1" applyFill="1" applyBorder="1"/>
    <xf numFmtId="37" fontId="28" fillId="0" borderId="0" xfId="0" applyFont="1"/>
    <xf numFmtId="168" fontId="3" fillId="0" borderId="43" xfId="0" applyNumberFormat="1" applyFont="1" applyBorder="1" applyAlignment="1">
      <alignment horizontal="right"/>
    </xf>
    <xf numFmtId="37" fontId="3" fillId="0" borderId="0" xfId="0" applyFont="1" applyAlignment="1">
      <alignment wrapText="1"/>
    </xf>
    <xf numFmtId="37" fontId="3" fillId="0" borderId="0" xfId="0" applyFont="1" applyAlignment="1">
      <alignment vertical="top" wrapText="1"/>
    </xf>
    <xf numFmtId="37" fontId="0" fillId="0" borderId="0" xfId="0" applyAlignment="1">
      <alignment vertical="top" wrapText="1"/>
    </xf>
    <xf numFmtId="3" fontId="3" fillId="0" borderId="0" xfId="0" applyNumberFormat="1" applyFont="1" applyAlignment="1">
      <alignment wrapText="1"/>
    </xf>
    <xf numFmtId="37" fontId="0" fillId="0" borderId="0" xfId="0" applyAlignment="1">
      <alignment wrapText="1"/>
    </xf>
    <xf numFmtId="37" fontId="3" fillId="0" borderId="0" xfId="0" applyFont="1" applyAlignment="1">
      <alignment horizontal="center"/>
    </xf>
    <xf numFmtId="37" fontId="0" fillId="0" borderId="0" xfId="0" applyAlignment="1">
      <alignment horizontal="center"/>
    </xf>
    <xf numFmtId="37" fontId="0" fillId="0" borderId="2" xfId="0" applyBorder="1" applyAlignment="1">
      <alignment horizontal="center"/>
    </xf>
    <xf numFmtId="37" fontId="3" fillId="0" borderId="7" xfId="0" applyFont="1" applyBorder="1" applyAlignment="1">
      <alignment horizontal="center"/>
    </xf>
    <xf numFmtId="37" fontId="0" fillId="0" borderId="7" xfId="0" applyBorder="1" applyAlignment="1">
      <alignment horizontal="center"/>
    </xf>
    <xf numFmtId="37" fontId="3" fillId="0" borderId="1" xfId="0" applyFont="1" applyBorder="1" applyAlignment="1">
      <alignment horizontal="center"/>
    </xf>
    <xf numFmtId="37" fontId="0" fillId="0" borderId="1" xfId="0" applyBorder="1" applyAlignment="1">
      <alignment horizontal="center"/>
    </xf>
    <xf numFmtId="37" fontId="0" fillId="0" borderId="3" xfId="0" applyBorder="1" applyAlignment="1">
      <alignment horizontal="center"/>
    </xf>
    <xf numFmtId="37" fontId="21" fillId="0" borderId="0" xfId="0" applyFont="1" applyAlignment="1">
      <alignment horizontal="center"/>
    </xf>
    <xf numFmtId="37" fontId="42" fillId="0" borderId="0" xfId="0" applyFont="1" applyAlignment="1">
      <alignment horizontal="center"/>
    </xf>
    <xf numFmtId="37" fontId="3" fillId="0" borderId="5" xfId="0" applyFont="1" applyBorder="1" applyAlignment="1">
      <alignment horizontal="center"/>
    </xf>
    <xf numFmtId="37" fontId="3" fillId="0" borderId="8" xfId="0" applyFont="1" applyBorder="1" applyAlignment="1">
      <alignment horizontal="center"/>
    </xf>
    <xf numFmtId="37" fontId="3" fillId="0" borderId="2" xfId="0" applyFont="1" applyBorder="1" applyAlignment="1">
      <alignment horizontal="center"/>
    </xf>
    <xf numFmtId="37" fontId="0" fillId="12" borderId="0" xfId="0" applyFill="1" applyAlignment="1">
      <alignment horizontal="center"/>
    </xf>
    <xf numFmtId="37" fontId="4" fillId="10" borderId="11" xfId="0" applyFont="1" applyFill="1" applyBorder="1" applyAlignment="1">
      <alignment horizontal="center"/>
    </xf>
    <xf numFmtId="37" fontId="3" fillId="0" borderId="4" xfId="0" applyFont="1" applyBorder="1" applyAlignment="1">
      <alignment horizontal="center"/>
    </xf>
    <xf numFmtId="37" fontId="28" fillId="0" borderId="11" xfId="0" applyFont="1" applyBorder="1" applyAlignment="1">
      <alignment horizontal="center"/>
    </xf>
    <xf numFmtId="37" fontId="0" fillId="0" borderId="4" xfId="0" applyBorder="1" applyAlignment="1">
      <alignment horizontal="center"/>
    </xf>
    <xf numFmtId="0" fontId="28" fillId="0" borderId="7" xfId="0" applyNumberFormat="1" applyFont="1" applyBorder="1" applyAlignment="1">
      <alignment horizontal="center" wrapText="1"/>
    </xf>
    <xf numFmtId="37" fontId="28" fillId="0" borderId="7" xfId="0" applyFont="1" applyBorder="1" applyAlignment="1">
      <alignment horizontal="center" wrapText="1"/>
    </xf>
    <xf numFmtId="37" fontId="36" fillId="8" borderId="0" xfId="0" applyFont="1" applyFill="1" applyAlignment="1">
      <alignment horizontal="left" vertical="center" wrapText="1"/>
    </xf>
    <xf numFmtId="37" fontId="0" fillId="0" borderId="0" xfId="0" applyAlignment="1">
      <alignment horizontal="left" vertical="center" wrapText="1"/>
    </xf>
    <xf numFmtId="37" fontId="37" fillId="8" borderId="0" xfId="8" applyNumberFormat="1" applyFill="1" applyAlignment="1">
      <alignment horizontal="left" vertical="center" wrapText="1"/>
    </xf>
    <xf numFmtId="37" fontId="0" fillId="0" borderId="2" xfId="0" applyBorder="1" applyAlignment="1">
      <alignment horizontal="left" vertical="center" wrapText="1"/>
    </xf>
    <xf numFmtId="37" fontId="36" fillId="8" borderId="34" xfId="0" applyFont="1" applyFill="1" applyBorder="1" applyAlignment="1">
      <alignment horizontal="left" vertical="center" wrapText="1"/>
    </xf>
    <xf numFmtId="37" fontId="0" fillId="0" borderId="34" xfId="0" applyBorder="1" applyAlignment="1">
      <alignment horizontal="left" vertical="center" wrapText="1"/>
    </xf>
    <xf numFmtId="0" fontId="28" fillId="0" borderId="4" xfId="0" applyNumberFormat="1" applyFont="1" applyBorder="1" applyAlignment="1">
      <alignment horizontal="center"/>
    </xf>
    <xf numFmtId="37" fontId="28" fillId="0" borderId="4" xfId="0" applyFont="1" applyBorder="1" applyAlignment="1">
      <alignment horizontal="center"/>
    </xf>
    <xf numFmtId="37" fontId="28" fillId="0" borderId="3" xfId="0" applyFont="1" applyBorder="1" applyAlignment="1">
      <alignment horizontal="center"/>
    </xf>
    <xf numFmtId="37" fontId="3" fillId="0" borderId="1" xfId="0" applyFont="1" applyBorder="1" applyAlignment="1">
      <alignment vertical="top" wrapText="1"/>
    </xf>
    <xf numFmtId="37" fontId="4" fillId="0" borderId="11" xfId="0" applyFont="1" applyBorder="1" applyAlignment="1">
      <alignment horizontal="center" vertical="top" wrapText="1"/>
    </xf>
    <xf numFmtId="37" fontId="4" fillId="0" borderId="4" xfId="0" applyFont="1" applyBorder="1" applyAlignment="1">
      <alignment horizontal="center" vertical="top" wrapText="1"/>
    </xf>
    <xf numFmtId="37" fontId="3" fillId="0" borderId="5" xfId="0" applyFont="1" applyBorder="1" applyAlignment="1">
      <alignment wrapText="1"/>
    </xf>
    <xf numFmtId="37" fontId="31" fillId="0" borderId="5" xfId="0" applyFont="1" applyBorder="1" applyAlignment="1">
      <alignment wrapText="1"/>
    </xf>
    <xf numFmtId="37" fontId="31" fillId="0" borderId="0" xfId="0" applyFont="1" applyAlignment="1">
      <alignment wrapText="1"/>
    </xf>
    <xf numFmtId="37" fontId="40" fillId="8" borderId="0" xfId="0" applyFont="1" applyFill="1" applyAlignment="1">
      <alignment horizontal="left" vertical="center" wrapText="1"/>
    </xf>
    <xf numFmtId="37" fontId="4" fillId="0" borderId="13" xfId="0" applyFont="1" applyBorder="1" applyAlignment="1">
      <alignment horizontal="center" vertical="top" wrapText="1"/>
    </xf>
    <xf numFmtId="37" fontId="3" fillId="0" borderId="0" xfId="0" applyFont="1" applyAlignment="1">
      <alignment horizontal="left"/>
    </xf>
    <xf numFmtId="37" fontId="3" fillId="0" borderId="0" xfId="0" applyFont="1" applyAlignment="1">
      <alignment horizontal="left" wrapText="1"/>
    </xf>
    <xf numFmtId="37" fontId="3" fillId="0" borderId="0" xfId="0" applyFont="1" applyAlignment="1">
      <alignment horizontal="left" vertical="top" wrapText="1"/>
    </xf>
    <xf numFmtId="37" fontId="21" fillId="0" borderId="37" xfId="0" applyFont="1" applyBorder="1" applyAlignment="1">
      <alignment horizontal="left" vertical="center" wrapText="1"/>
    </xf>
    <xf numFmtId="37" fontId="39" fillId="0" borderId="38" xfId="0" applyFont="1" applyBorder="1" applyAlignment="1">
      <alignment horizontal="left" vertical="center" wrapText="1"/>
    </xf>
    <xf numFmtId="37" fontId="39" fillId="0" borderId="39" xfId="0" applyFont="1" applyBorder="1" applyAlignment="1">
      <alignment horizontal="left" vertical="center" wrapText="1"/>
    </xf>
    <xf numFmtId="37" fontId="0" fillId="0" borderId="30" xfId="0" applyBorder="1" applyAlignment="1">
      <alignment wrapText="1"/>
    </xf>
    <xf numFmtId="37" fontId="0" fillId="0" borderId="31" xfId="0" applyBorder="1" applyAlignment="1">
      <alignment wrapText="1"/>
    </xf>
    <xf numFmtId="37" fontId="0" fillId="0" borderId="32" xfId="0" applyBorder="1" applyAlignment="1">
      <alignment wrapText="1"/>
    </xf>
    <xf numFmtId="37" fontId="26" fillId="0" borderId="30" xfId="0" applyFont="1" applyBorder="1" applyAlignment="1">
      <alignment horizontal="center" vertical="center" wrapText="1"/>
    </xf>
    <xf numFmtId="37" fontId="26" fillId="0" borderId="31" xfId="0" applyFont="1" applyBorder="1" applyAlignment="1">
      <alignment horizontal="center" vertical="center" wrapText="1"/>
    </xf>
    <xf numFmtId="37" fontId="26" fillId="0" borderId="32" xfId="0" applyFont="1" applyBorder="1" applyAlignment="1">
      <alignment horizontal="center" vertical="center" wrapText="1"/>
    </xf>
    <xf numFmtId="9" fontId="0" fillId="0" borderId="30" xfId="0" applyNumberFormat="1" applyBorder="1" applyAlignment="1">
      <alignment wrapText="1"/>
    </xf>
    <xf numFmtId="9" fontId="0" fillId="0" borderId="31" xfId="0" applyNumberFormat="1" applyBorder="1" applyAlignment="1">
      <alignment wrapText="1"/>
    </xf>
    <xf numFmtId="9" fontId="0" fillId="0" borderId="32" xfId="0" applyNumberFormat="1" applyBorder="1" applyAlignment="1">
      <alignment wrapText="1"/>
    </xf>
    <xf numFmtId="37" fontId="14" fillId="0" borderId="36" xfId="0" applyFont="1" applyBorder="1" applyAlignment="1">
      <alignment horizontal="left" vertical="center" wrapText="1"/>
    </xf>
    <xf numFmtId="0" fontId="3" fillId="0" borderId="8" xfId="0" applyNumberFormat="1" applyFont="1" applyBorder="1" applyAlignment="1">
      <alignment horizontal="center"/>
    </xf>
    <xf numFmtId="0" fontId="0" fillId="0" borderId="1" xfId="0" applyNumberFormat="1" applyBorder="1" applyAlignment="1">
      <alignment horizontal="center"/>
    </xf>
    <xf numFmtId="0" fontId="3" fillId="0" borderId="11" xfId="2" applyFont="1" applyBorder="1" applyAlignment="1">
      <alignment horizontal="center"/>
    </xf>
    <xf numFmtId="37" fontId="0" fillId="0" borderId="13" xfId="0" applyBorder="1" applyAlignment="1">
      <alignment horizontal="center"/>
    </xf>
    <xf numFmtId="0" fontId="3" fillId="7" borderId="11" xfId="2" applyFont="1" applyFill="1" applyBorder="1" applyAlignment="1">
      <alignment horizontal="center"/>
    </xf>
    <xf numFmtId="37" fontId="0" fillId="7" borderId="4" xfId="0" applyFill="1" applyBorder="1" applyAlignment="1">
      <alignment horizontal="center"/>
    </xf>
    <xf numFmtId="37" fontId="0" fillId="7" borderId="13" xfId="0" applyFill="1" applyBorder="1" applyAlignment="1">
      <alignment horizontal="center"/>
    </xf>
    <xf numFmtId="37" fontId="30" fillId="0" borderId="1" xfId="0" applyFont="1" applyBorder="1" applyAlignment="1">
      <alignment horizontal="center" wrapText="1"/>
    </xf>
    <xf numFmtId="37" fontId="30" fillId="0" borderId="16" xfId="0" applyFont="1" applyBorder="1" applyAlignment="1">
      <alignment horizontal="left" wrapText="1"/>
    </xf>
    <xf numFmtId="37" fontId="11" fillId="0" borderId="3" xfId="0" applyFont="1" applyBorder="1" applyAlignment="1">
      <alignment horizontal="left" wrapText="1"/>
    </xf>
    <xf numFmtId="37" fontId="30" fillId="0" borderId="15" xfId="0" applyFont="1" applyBorder="1" applyAlignment="1">
      <alignment horizontal="right" wrapText="1"/>
    </xf>
    <xf numFmtId="37" fontId="30" fillId="0" borderId="7" xfId="0" applyFont="1" applyBorder="1" applyAlignment="1">
      <alignment horizontal="right" wrapText="1"/>
    </xf>
    <xf numFmtId="37" fontId="11" fillId="0" borderId="16" xfId="0" applyFont="1" applyBorder="1" applyAlignment="1">
      <alignment horizontal="right" wrapText="1"/>
    </xf>
    <xf numFmtId="37" fontId="11" fillId="0" borderId="8" xfId="0" applyFont="1" applyBorder="1" applyAlignment="1">
      <alignment horizontal="right" wrapText="1"/>
    </xf>
    <xf numFmtId="37" fontId="11" fillId="0" borderId="1" xfId="0" applyFont="1" applyBorder="1" applyAlignment="1">
      <alignment horizontal="right" wrapText="1"/>
    </xf>
    <xf numFmtId="37" fontId="11" fillId="0" borderId="3" xfId="0" applyFont="1" applyBorder="1" applyAlignment="1">
      <alignment horizontal="right" wrapText="1"/>
    </xf>
    <xf numFmtId="37" fontId="30" fillId="0" borderId="11" xfId="0" applyFont="1" applyBorder="1" applyAlignment="1">
      <alignment horizontal="center" wrapText="1"/>
    </xf>
    <xf numFmtId="37" fontId="30" fillId="0" borderId="4" xfId="0" applyFont="1" applyBorder="1" applyAlignment="1">
      <alignment horizontal="center" wrapText="1"/>
    </xf>
    <xf numFmtId="37" fontId="30" fillId="0" borderId="13" xfId="0" applyFont="1" applyBorder="1" applyAlignment="1">
      <alignment horizontal="center" wrapText="1"/>
    </xf>
    <xf numFmtId="37" fontId="30" fillId="0" borderId="11" xfId="0" applyFont="1" applyBorder="1" applyAlignment="1">
      <alignment horizontal="right" vertical="center" wrapText="1"/>
    </xf>
    <xf numFmtId="37" fontId="30" fillId="0" borderId="4" xfId="0" applyFont="1" applyBorder="1" applyAlignment="1">
      <alignment horizontal="right" vertical="center" wrapText="1"/>
    </xf>
    <xf numFmtId="37" fontId="30" fillId="0" borderId="13" xfId="0" applyFont="1" applyBorder="1" applyAlignment="1">
      <alignment horizontal="right" vertical="center" wrapText="1"/>
    </xf>
    <xf numFmtId="1" fontId="30" fillId="0" borderId="11" xfId="0" applyNumberFormat="1" applyFont="1" applyBorder="1" applyAlignment="1">
      <alignment horizontal="right" vertical="center" wrapText="1"/>
    </xf>
    <xf numFmtId="1" fontId="30" fillId="0" borderId="4" xfId="0" applyNumberFormat="1" applyFont="1" applyBorder="1" applyAlignment="1">
      <alignment horizontal="right" vertical="center" wrapText="1"/>
    </xf>
    <xf numFmtId="1" fontId="30" fillId="0" borderId="13" xfId="0" applyNumberFormat="1" applyFont="1" applyBorder="1" applyAlignment="1">
      <alignment horizontal="right" vertical="center" wrapText="1"/>
    </xf>
    <xf numFmtId="1" fontId="30" fillId="0" borderId="11" xfId="0" applyNumberFormat="1" applyFont="1" applyBorder="1" applyAlignment="1">
      <alignment horizontal="right" vertical="center"/>
    </xf>
    <xf numFmtId="1" fontId="30" fillId="0" borderId="4" xfId="0" applyNumberFormat="1" applyFont="1" applyBorder="1" applyAlignment="1">
      <alignment horizontal="right" vertical="center"/>
    </xf>
    <xf numFmtId="1" fontId="30" fillId="0" borderId="13" xfId="0" applyNumberFormat="1" applyFont="1" applyBorder="1" applyAlignment="1">
      <alignment horizontal="right" vertical="center"/>
    </xf>
    <xf numFmtId="37" fontId="30" fillId="0" borderId="0" xfId="0" applyFont="1" applyAlignment="1">
      <alignment horizontal="left" vertical="center" wrapText="1"/>
    </xf>
    <xf numFmtId="37" fontId="30" fillId="0" borderId="0" xfId="0" applyFont="1" applyAlignment="1">
      <alignment horizontal="left" vertical="distributed" wrapText="1"/>
    </xf>
    <xf numFmtId="37" fontId="30" fillId="0" borderId="7" xfId="0" applyFont="1" applyBorder="1" applyAlignment="1">
      <alignment horizontal="left" vertical="distributed" wrapText="1"/>
    </xf>
    <xf numFmtId="37" fontId="11" fillId="0" borderId="7" xfId="0" applyFont="1" applyBorder="1" applyAlignment="1">
      <alignment horizontal="left" vertical="distributed"/>
    </xf>
    <xf numFmtId="37" fontId="11" fillId="0" borderId="0" xfId="0" applyFont="1" applyAlignment="1">
      <alignment horizontal="left" vertical="distributed"/>
    </xf>
    <xf numFmtId="37" fontId="30" fillId="0" borderId="0" xfId="0" quotePrefix="1" applyFont="1" applyAlignment="1">
      <alignment horizontal="left" vertical="distributed" wrapText="1"/>
    </xf>
    <xf numFmtId="17" fontId="3" fillId="0" borderId="0" xfId="0" applyNumberFormat="1" applyFont="1" applyAlignment="1">
      <alignment horizontal="right"/>
    </xf>
    <xf numFmtId="37" fontId="3" fillId="0" borderId="9" xfId="0" applyFont="1" applyFill="1" applyBorder="1" applyAlignment="1">
      <alignment horizontal="center"/>
    </xf>
    <xf numFmtId="37" fontId="3" fillId="0" borderId="1" xfId="0" applyFont="1" applyFill="1" applyBorder="1" applyAlignment="1">
      <alignment horizontal="center"/>
    </xf>
    <xf numFmtId="37" fontId="3" fillId="0" borderId="13" xfId="0" applyFont="1" applyFill="1" applyBorder="1" applyAlignment="1">
      <alignment horizontal="right"/>
    </xf>
    <xf numFmtId="0" fontId="3" fillId="0" borderId="28" xfId="0" applyNumberFormat="1" applyFont="1" applyFill="1" applyBorder="1" applyAlignment="1">
      <alignment horizontal="right"/>
    </xf>
    <xf numFmtId="37" fontId="3" fillId="0" borderId="12" xfId="0" applyFont="1" applyFill="1" applyBorder="1" applyAlignment="1">
      <alignment horizontal="right"/>
    </xf>
    <xf numFmtId="37" fontId="3" fillId="0" borderId="41" xfId="0" applyFont="1" applyFill="1" applyBorder="1"/>
    <xf numFmtId="37" fontId="3" fillId="0" borderId="14" xfId="0" applyFont="1" applyFill="1" applyBorder="1"/>
    <xf numFmtId="37" fontId="3" fillId="0" borderId="8" xfId="0" applyFont="1" applyFill="1" applyBorder="1"/>
    <xf numFmtId="37" fontId="3" fillId="0" borderId="8" xfId="0" applyFont="1" applyFill="1" applyBorder="1" applyAlignment="1">
      <alignment horizontal="centerContinuous"/>
    </xf>
    <xf numFmtId="37" fontId="3" fillId="0" borderId="3" xfId="0" applyFont="1" applyFill="1" applyBorder="1" applyAlignment="1">
      <alignment horizontal="center"/>
    </xf>
    <xf numFmtId="37" fontId="3" fillId="0" borderId="9" xfId="0" applyFont="1" applyFill="1" applyBorder="1" applyAlignment="1">
      <alignment horizontal="right"/>
    </xf>
    <xf numFmtId="37" fontId="3" fillId="0" borderId="0" xfId="0" applyFont="1" applyFill="1"/>
    <xf numFmtId="37" fontId="3" fillId="0" borderId="0" xfId="0" applyFont="1" applyFill="1" applyAlignment="1">
      <alignment horizontal="center"/>
    </xf>
    <xf numFmtId="37" fontId="0" fillId="0" borderId="0" xfId="0" applyAlignment="1"/>
    <xf numFmtId="37" fontId="0" fillId="0" borderId="2" xfId="0" applyBorder="1" applyAlignment="1"/>
    <xf numFmtId="37" fontId="3" fillId="0" borderId="0" xfId="0" applyFont="1" applyAlignment="1"/>
    <xf numFmtId="37" fontId="29" fillId="0" borderId="0" xfId="0" applyFont="1" applyAlignment="1"/>
  </cellXfs>
  <cellStyles count="15">
    <cellStyle name="Comma" xfId="1" builtinId="3"/>
    <cellStyle name="Comma 2" xfId="6" xr:uid="{00000000-0005-0000-0000-000001000000}"/>
    <cellStyle name="Comma 3" xfId="10" xr:uid="{00000000-0005-0000-0000-000002000000}"/>
    <cellStyle name="Comma 4" xfId="13" xr:uid="{00000000-0005-0000-0000-000003000000}"/>
    <cellStyle name="Hyperlink" xfId="8" builtinId="8"/>
    <cellStyle name="Normal" xfId="0" builtinId="0"/>
    <cellStyle name="Normal 2" xfId="5" xr:uid="{00000000-0005-0000-0000-000006000000}"/>
    <cellStyle name="Normal 3" xfId="9" xr:uid="{00000000-0005-0000-0000-000007000000}"/>
    <cellStyle name="Normal 4" xfId="7" xr:uid="{00000000-0005-0000-0000-000008000000}"/>
    <cellStyle name="Normal 5" xfId="12" xr:uid="{00000000-0005-0000-0000-000009000000}"/>
    <cellStyle name="Normal_avg frsh grad rate 03 and 04" xfId="2" xr:uid="{00000000-0005-0000-0000-00000A000000}"/>
    <cellStyle name="Normal_Digest 2002 Tab063-Private HS Grads" xfId="3" xr:uid="{00000000-0005-0000-0000-00000B000000}"/>
    <cellStyle name="Percent" xfId="4" builtinId="5"/>
    <cellStyle name="Percent 2" xfId="11" xr:uid="{00000000-0005-0000-0000-00000D000000}"/>
    <cellStyle name="Percent 3" xfId="14" xr:uid="{00000000-0005-0000-0000-00000E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00CCFF"/>
      <color rgb="FF0000FF"/>
      <color rgb="FF00FFFF"/>
      <color rgb="FF003399"/>
      <color rgb="FF9900FF"/>
      <color rgb="FF9933FF"/>
      <color rgb="FF006600"/>
      <color rgb="FF990033"/>
      <color rgb="FF0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sz="1400"/>
              <a:t>50 states and D.C.</a:t>
            </a:r>
          </a:p>
        </c:rich>
      </c:tx>
      <c:layout>
        <c:manualLayout>
          <c:xMode val="edge"/>
          <c:yMode val="edge"/>
          <c:x val="0.34424431277796858"/>
          <c:y val="2.8832086853081852E-2"/>
        </c:manualLayout>
      </c:layout>
      <c:overlay val="0"/>
    </c:title>
    <c:autoTitleDeleted val="0"/>
    <c:plotArea>
      <c:layout>
        <c:manualLayout>
          <c:layoutTarget val="inner"/>
          <c:xMode val="edge"/>
          <c:yMode val="edge"/>
          <c:x val="2.3449390189963559E-2"/>
          <c:y val="0.21655367213456916"/>
          <c:w val="0.89019266131576935"/>
          <c:h val="0.52886406130254104"/>
        </c:manualLayout>
      </c:layout>
      <c:barChart>
        <c:barDir val="col"/>
        <c:grouping val="clustered"/>
        <c:varyColors val="0"/>
        <c:ser>
          <c:idx val="0"/>
          <c:order val="0"/>
          <c:tx>
            <c:strRef>
              <c:f>'TABLE 9'!$P$11</c:f>
              <c:strCache>
                <c:ptCount val="1"/>
                <c:pt idx="0">
                  <c:v>50 states and D.C.</c:v>
                </c:pt>
              </c:strCache>
            </c:strRef>
          </c:tx>
          <c:spPr>
            <a:solidFill>
              <a:srgbClr val="003399"/>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 9'!$F$7:$M$10</c:f>
              <c:multiLvlStrCache>
                <c:ptCount val="8"/>
                <c:lvl/>
                <c:lvl>
                  <c:pt idx="0">
                    <c:v>American Indian/Alaskan Native</c:v>
                  </c:pt>
                  <c:pt idx="1">
                    <c:v>Asian/Pacific Islander</c:v>
                  </c:pt>
                  <c:pt idx="2">
                    <c:v>Hispanic</c:v>
                  </c:pt>
                  <c:pt idx="3">
                    <c:v>Black</c:v>
                  </c:pt>
                  <c:pt idx="4">
                    <c:v>White</c:v>
                  </c:pt>
                  <c:pt idx="5">
                    <c:v>Disadvantaged</c:v>
                  </c:pt>
                  <c:pt idx="6">
                    <c:v>Proficiency</c:v>
                  </c:pt>
                  <c:pt idx="7">
                    <c:v>Disabilities</c:v>
                  </c:pt>
                </c:lvl>
                <c:lvl>
                  <c:pt idx="5">
                    <c:v>Economically</c:v>
                  </c:pt>
                  <c:pt idx="6">
                    <c:v>English</c:v>
                  </c:pt>
                  <c:pt idx="7">
                    <c:v>Students w/</c:v>
                  </c:pt>
                </c:lvl>
                <c:lvl>
                  <c:pt idx="6">
                    <c:v>Limited</c:v>
                  </c:pt>
                </c:lvl>
              </c:multiLvlStrCache>
            </c:multiLvlStrRef>
          </c:cat>
          <c:val>
            <c:numRef>
              <c:f>'TABLE 9'!$F$11:$H$11</c:f>
              <c:numCache>
                <c:formatCode>#,##0.0</c:formatCode>
                <c:ptCount val="3"/>
                <c:pt idx="0">
                  <c:v>74.900000000000006</c:v>
                </c:pt>
                <c:pt idx="1">
                  <c:v>92.5</c:v>
                </c:pt>
                <c:pt idx="2">
                  <c:v>82.5</c:v>
                </c:pt>
              </c:numCache>
            </c:numRef>
          </c:val>
          <c:extLst>
            <c:ext xmlns:c16="http://schemas.microsoft.com/office/drawing/2014/chart" uri="{C3380CC4-5D6E-409C-BE32-E72D297353CC}">
              <c16:uniqueId val="{00000000-76C4-441B-9662-8473FBC99E9F}"/>
            </c:ext>
          </c:extLst>
        </c:ser>
        <c:dLbls>
          <c:showLegendKey val="0"/>
          <c:showVal val="1"/>
          <c:showCatName val="0"/>
          <c:showSerName val="0"/>
          <c:showPercent val="0"/>
          <c:showBubbleSize val="0"/>
        </c:dLbls>
        <c:gapWidth val="150"/>
        <c:overlap val="-25"/>
        <c:axId val="88701952"/>
        <c:axId val="88879616"/>
      </c:barChart>
      <c:catAx>
        <c:axId val="88701952"/>
        <c:scaling>
          <c:orientation val="minMax"/>
        </c:scaling>
        <c:delete val="0"/>
        <c:axPos val="b"/>
        <c:numFmt formatCode="General" sourceLinked="0"/>
        <c:majorTickMark val="none"/>
        <c:minorTickMark val="none"/>
        <c:tickLblPos val="nextTo"/>
        <c:txPr>
          <a:bodyPr rot="0" vert="horz"/>
          <a:lstStyle/>
          <a:p>
            <a:pPr>
              <a:defRPr/>
            </a:pPr>
            <a:endParaRPr lang="en-US"/>
          </a:p>
        </c:txPr>
        <c:crossAx val="88879616"/>
        <c:crosses val="autoZero"/>
        <c:auto val="0"/>
        <c:lblAlgn val="ctr"/>
        <c:lblOffset val="100"/>
        <c:noMultiLvlLbl val="0"/>
      </c:catAx>
      <c:valAx>
        <c:axId val="88879616"/>
        <c:scaling>
          <c:orientation val="minMax"/>
        </c:scaling>
        <c:delete val="1"/>
        <c:axPos val="l"/>
        <c:numFmt formatCode="#,##0.0" sourceLinked="1"/>
        <c:majorTickMark val="out"/>
        <c:minorTickMark val="none"/>
        <c:tickLblPos val="none"/>
        <c:crossAx val="88701952"/>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lgn="ctr">
              <a:defRPr/>
            </a:pPr>
            <a:r>
              <a:rPr lang="en-US" sz="1400"/>
              <a:t>SREB states</a:t>
            </a:r>
          </a:p>
        </c:rich>
      </c:tx>
      <c:layout>
        <c:manualLayout>
          <c:xMode val="edge"/>
          <c:yMode val="edge"/>
          <c:x val="0.3868218999993564"/>
          <c:y val="3.5650529031732651E-2"/>
        </c:manualLayout>
      </c:layout>
      <c:overlay val="0"/>
    </c:title>
    <c:autoTitleDeleted val="0"/>
    <c:plotArea>
      <c:layout>
        <c:manualLayout>
          <c:layoutTarget val="inner"/>
          <c:xMode val="edge"/>
          <c:yMode val="edge"/>
          <c:x val="3.3299699921315457E-2"/>
          <c:y val="0.22971582301382898"/>
          <c:w val="0.93340060015736914"/>
          <c:h val="0.62306593161502521"/>
        </c:manualLayout>
      </c:layout>
      <c:barChart>
        <c:barDir val="col"/>
        <c:grouping val="clustered"/>
        <c:varyColors val="0"/>
        <c:ser>
          <c:idx val="0"/>
          <c:order val="0"/>
          <c:tx>
            <c:strRef>
              <c:f>'TABLE 9'!$P$12</c:f>
              <c:strCache>
                <c:ptCount val="1"/>
                <c:pt idx="0">
                  <c:v>SREB states</c:v>
                </c:pt>
              </c:strCache>
            </c:strRef>
          </c:tx>
          <c:spPr>
            <a:solidFill>
              <a:srgbClr val="990033"/>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 9'!$F$9:$H$10</c:f>
              <c:multiLvlStrCache>
                <c:ptCount val="3"/>
                <c:lvl/>
                <c:lvl>
                  <c:pt idx="0">
                    <c:v>American Indian/Alaskan Native</c:v>
                  </c:pt>
                  <c:pt idx="1">
                    <c:v>Asian/Pacific Islander</c:v>
                  </c:pt>
                  <c:pt idx="2">
                    <c:v>Hispanic</c:v>
                  </c:pt>
                </c:lvl>
              </c:multiLvlStrCache>
            </c:multiLvlStrRef>
          </c:cat>
          <c:val>
            <c:numRef>
              <c:f>'TABLE 9'!$F$12:$H$12</c:f>
              <c:numCache>
                <c:formatCode>#,##0.0</c:formatCode>
                <c:ptCount val="3"/>
                <c:pt idx="0">
                  <c:v>84.5</c:v>
                </c:pt>
                <c:pt idx="1">
                  <c:v>94.2</c:v>
                </c:pt>
                <c:pt idx="2">
                  <c:v>82.6</c:v>
                </c:pt>
              </c:numCache>
            </c:numRef>
          </c:val>
          <c:extLst>
            <c:ext xmlns:c16="http://schemas.microsoft.com/office/drawing/2014/chart" uri="{C3380CC4-5D6E-409C-BE32-E72D297353CC}">
              <c16:uniqueId val="{00000000-40EB-4F6F-9006-2F894D83824A}"/>
            </c:ext>
          </c:extLst>
        </c:ser>
        <c:dLbls>
          <c:showLegendKey val="0"/>
          <c:showVal val="1"/>
          <c:showCatName val="0"/>
          <c:showSerName val="0"/>
          <c:showPercent val="0"/>
          <c:showBubbleSize val="0"/>
        </c:dLbls>
        <c:gapWidth val="150"/>
        <c:overlap val="-25"/>
        <c:axId val="89568768"/>
        <c:axId val="88880768"/>
      </c:barChart>
      <c:catAx>
        <c:axId val="89568768"/>
        <c:scaling>
          <c:orientation val="minMax"/>
        </c:scaling>
        <c:delete val="0"/>
        <c:axPos val="b"/>
        <c:numFmt formatCode="General" sourceLinked="0"/>
        <c:majorTickMark val="none"/>
        <c:minorTickMark val="none"/>
        <c:tickLblPos val="nextTo"/>
        <c:crossAx val="88880768"/>
        <c:crosses val="autoZero"/>
        <c:auto val="1"/>
        <c:lblAlgn val="ctr"/>
        <c:lblOffset val="100"/>
        <c:noMultiLvlLbl val="0"/>
      </c:catAx>
      <c:valAx>
        <c:axId val="88880768"/>
        <c:scaling>
          <c:orientation val="minMax"/>
        </c:scaling>
        <c:delete val="1"/>
        <c:axPos val="l"/>
        <c:numFmt formatCode="#,##0.0" sourceLinked="1"/>
        <c:majorTickMark val="out"/>
        <c:minorTickMark val="none"/>
        <c:tickLblPos val="none"/>
        <c:crossAx val="89568768"/>
        <c:crosses val="autoZero"/>
        <c:crossBetween val="between"/>
      </c:valAx>
    </c:plotArea>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US" sz="1400"/>
              <a:t> Individual States</a:t>
            </a:r>
          </a:p>
        </c:rich>
      </c:tx>
      <c:layout>
        <c:manualLayout>
          <c:xMode val="edge"/>
          <c:yMode val="edge"/>
          <c:x val="0.32930423649890245"/>
          <c:y val="4.1750407679906273E-2"/>
        </c:manualLayout>
      </c:layout>
      <c:overlay val="0"/>
    </c:title>
    <c:autoTitleDeleted val="0"/>
    <c:plotArea>
      <c:layout/>
      <c:barChart>
        <c:barDir val="col"/>
        <c:grouping val="clustered"/>
        <c:varyColors val="0"/>
        <c:ser>
          <c:idx val="0"/>
          <c:order val="0"/>
          <c:spPr>
            <a:solidFill>
              <a:srgbClr val="006600"/>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 9'!$F$9:$H$10</c:f>
              <c:multiLvlStrCache>
                <c:ptCount val="3"/>
                <c:lvl/>
                <c:lvl>
                  <c:pt idx="0">
                    <c:v>American Indian/Alaskan Native</c:v>
                  </c:pt>
                  <c:pt idx="1">
                    <c:v>Asian/Pacific Islander</c:v>
                  </c:pt>
                  <c:pt idx="2">
                    <c:v>Hispanic</c:v>
                  </c:pt>
                </c:lvl>
              </c:multiLvlStrCache>
            </c:multiLvlStrRef>
          </c:cat>
          <c:val>
            <c:numRef>
              <c:f>'TABLE 9'!$F$18:$H$18</c:f>
              <c:numCache>
                <c:formatCode>#,##0.0</c:formatCode>
                <c:ptCount val="3"/>
                <c:pt idx="0">
                  <c:v>76</c:v>
                </c:pt>
                <c:pt idx="1">
                  <c:v>92.5</c:v>
                </c:pt>
                <c:pt idx="2">
                  <c:v>77.8</c:v>
                </c:pt>
              </c:numCache>
            </c:numRef>
          </c:val>
          <c:extLst>
            <c:ext xmlns:c16="http://schemas.microsoft.com/office/drawing/2014/chart" uri="{C3380CC4-5D6E-409C-BE32-E72D297353CC}">
              <c16:uniqueId val="{00000000-5A35-4F4A-BDA6-1EDA4B919085}"/>
            </c:ext>
          </c:extLst>
        </c:ser>
        <c:dLbls>
          <c:showLegendKey val="0"/>
          <c:showVal val="1"/>
          <c:showCatName val="0"/>
          <c:showSerName val="0"/>
          <c:showPercent val="0"/>
          <c:showBubbleSize val="0"/>
        </c:dLbls>
        <c:gapWidth val="150"/>
        <c:overlap val="-25"/>
        <c:axId val="89569792"/>
        <c:axId val="88882496"/>
      </c:barChart>
      <c:catAx>
        <c:axId val="89569792"/>
        <c:scaling>
          <c:orientation val="minMax"/>
        </c:scaling>
        <c:delete val="0"/>
        <c:axPos val="b"/>
        <c:numFmt formatCode="General" sourceLinked="0"/>
        <c:majorTickMark val="none"/>
        <c:minorTickMark val="none"/>
        <c:tickLblPos val="nextTo"/>
        <c:crossAx val="88882496"/>
        <c:crosses val="autoZero"/>
        <c:auto val="1"/>
        <c:lblAlgn val="ctr"/>
        <c:lblOffset val="100"/>
        <c:noMultiLvlLbl val="0"/>
      </c:catAx>
      <c:valAx>
        <c:axId val="88882496"/>
        <c:scaling>
          <c:orientation val="minMax"/>
        </c:scaling>
        <c:delete val="1"/>
        <c:axPos val="l"/>
        <c:numFmt formatCode="#,##0.0" sourceLinked="1"/>
        <c:majorTickMark val="out"/>
        <c:minorTickMark val="none"/>
        <c:tickLblPos val="none"/>
        <c:crossAx val="89569792"/>
        <c:crosses val="autoZero"/>
        <c:crossBetween val="between"/>
      </c:valAx>
    </c:plotArea>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24</xdr:col>
      <xdr:colOff>424021</xdr:colOff>
      <xdr:row>19</xdr:row>
      <xdr:rowOff>86784</xdr:rowOff>
    </xdr:from>
    <xdr:to>
      <xdr:col>27</xdr:col>
      <xdr:colOff>44450</xdr:colOff>
      <xdr:row>30</xdr:row>
      <xdr:rowOff>65618</xdr:rowOff>
    </xdr:to>
    <xdr:sp macro="" textlink="">
      <xdr:nvSpPr>
        <xdr:cNvPr id="2" name="Oval Callout 1">
          <a:extLst>
            <a:ext uri="{FF2B5EF4-FFF2-40B4-BE49-F238E27FC236}">
              <a16:creationId xmlns:a16="http://schemas.microsoft.com/office/drawing/2014/main" id="{00000000-0008-0000-0000-000002000000}"/>
            </a:ext>
          </a:extLst>
        </xdr:cNvPr>
        <xdr:cNvSpPr/>
      </xdr:nvSpPr>
      <xdr:spPr>
        <a:xfrm>
          <a:off x="17549971" y="3144309"/>
          <a:ext cx="1563529" cy="1760009"/>
        </a:xfrm>
        <a:prstGeom prst="wedgeEllipseCallout">
          <a:avLst>
            <a:gd name="adj1" fmla="val -390467"/>
            <a:gd name="adj2" fmla="val -216697"/>
          </a:avLst>
        </a:prstGeom>
        <a:solidFill>
          <a:schemeClr val="accent1">
            <a:alpha val="43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rgbClr val="C00000"/>
              </a:solidFill>
            </a:rPr>
            <a:t>Choose a tab below</a:t>
          </a:r>
          <a:r>
            <a:rPr lang="en-US" sz="1000" b="1" baseline="0">
              <a:solidFill>
                <a:srgbClr val="C00000"/>
              </a:solidFill>
            </a:rPr>
            <a:t> to see long term trend data for all 50 states and D.C. and to view illustrations.</a:t>
          </a:r>
          <a:endParaRPr lang="en-US" sz="1000" b="1">
            <a:solidFill>
              <a:srgbClr val="C00000"/>
            </a:solidFill>
          </a:endParaRPr>
        </a:p>
      </xdr:txBody>
    </xdr:sp>
    <xdr:clientData/>
  </xdr:twoCellAnchor>
  <xdr:twoCellAnchor>
    <xdr:from>
      <xdr:col>27</xdr:col>
      <xdr:colOff>575732</xdr:colOff>
      <xdr:row>30</xdr:row>
      <xdr:rowOff>142875</xdr:rowOff>
    </xdr:from>
    <xdr:to>
      <xdr:col>30</xdr:col>
      <xdr:colOff>431533</xdr:colOff>
      <xdr:row>43</xdr:row>
      <xdr:rowOff>129116</xdr:rowOff>
    </xdr:to>
    <xdr:sp macro="" textlink="">
      <xdr:nvSpPr>
        <xdr:cNvPr id="4" name="Oval Callout 3">
          <a:extLst>
            <a:ext uri="{FF2B5EF4-FFF2-40B4-BE49-F238E27FC236}">
              <a16:creationId xmlns:a16="http://schemas.microsoft.com/office/drawing/2014/main" id="{00000000-0008-0000-0000-000004000000}"/>
            </a:ext>
          </a:extLst>
        </xdr:cNvPr>
        <xdr:cNvSpPr/>
      </xdr:nvSpPr>
      <xdr:spPr>
        <a:xfrm>
          <a:off x="19644782" y="4981575"/>
          <a:ext cx="1798901" cy="2091266"/>
        </a:xfrm>
        <a:prstGeom prst="wedgeEllipseCallout">
          <a:avLst>
            <a:gd name="adj1" fmla="val -159796"/>
            <a:gd name="adj2" fmla="val -22725"/>
          </a:avLst>
        </a:prstGeom>
        <a:solidFill>
          <a:schemeClr val="accent1">
            <a:alpha val="43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rgbClr val="C00000"/>
              </a:solidFill>
              <a:latin typeface="Arial" pitchFamily="34" charset="0"/>
              <a:cs typeface="Arial" pitchFamily="34" charset="0"/>
            </a:rPr>
            <a:t>Click</a:t>
          </a:r>
          <a:r>
            <a:rPr lang="en-US" sz="1000" b="1" baseline="0">
              <a:solidFill>
                <a:srgbClr val="C00000"/>
              </a:solidFill>
              <a:latin typeface="Arial" pitchFamily="34" charset="0"/>
              <a:cs typeface="Arial" pitchFamily="34" charset="0"/>
            </a:rPr>
            <a:t> on a bar to see state highlighted to left.  Move highlight box from state to state to change view.</a:t>
          </a:r>
          <a:endParaRPr lang="en-US" sz="1000" b="1">
            <a:solidFill>
              <a:srgbClr val="C00000"/>
            </a:solidFill>
            <a:latin typeface="Arial" pitchFamily="34" charset="0"/>
            <a:cs typeface="Arial" pitchFamily="34" charset="0"/>
          </a:endParaRPr>
        </a:p>
      </xdr:txBody>
    </xdr:sp>
    <xdr:clientData/>
  </xdr:twoCellAnchor>
  <xdr:twoCellAnchor>
    <xdr:from>
      <xdr:col>18</xdr:col>
      <xdr:colOff>121707</xdr:colOff>
      <xdr:row>2</xdr:row>
      <xdr:rowOff>84664</xdr:rowOff>
    </xdr:from>
    <xdr:to>
      <xdr:col>24</xdr:col>
      <xdr:colOff>467591</xdr:colOff>
      <xdr:row>16</xdr:row>
      <xdr:rowOff>1057</xdr:rowOff>
    </xdr:to>
    <xdr:graphicFrame macro="">
      <xdr:nvGraphicFramePr>
        <xdr:cNvPr id="6" name="Chart 5">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128058</xdr:colOff>
      <xdr:row>16</xdr:row>
      <xdr:rowOff>32809</xdr:rowOff>
    </xdr:from>
    <xdr:to>
      <xdr:col>24</xdr:col>
      <xdr:colOff>437091</xdr:colOff>
      <xdr:row>29</xdr:row>
      <xdr:rowOff>88902</xdr:rowOff>
    </xdr:to>
    <xdr:graphicFrame macro="">
      <xdr:nvGraphicFramePr>
        <xdr:cNvPr id="7" name="Chart 6">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149225</xdr:colOff>
      <xdr:row>29</xdr:row>
      <xdr:rowOff>152400</xdr:rowOff>
    </xdr:from>
    <xdr:to>
      <xdr:col>24</xdr:col>
      <xdr:colOff>458258</xdr:colOff>
      <xdr:row>43</xdr:row>
      <xdr:rowOff>43393</xdr:rowOff>
    </xdr:to>
    <xdr:graphicFrame macro="">
      <xdr:nvGraphicFramePr>
        <xdr:cNvPr id="8" name="Chart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44</xdr:col>
      <xdr:colOff>466725</xdr:colOff>
      <xdr:row>49</xdr:row>
      <xdr:rowOff>0</xdr:rowOff>
    </xdr:from>
    <xdr:ext cx="184731" cy="264560"/>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32356425"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573111</xdr:colOff>
      <xdr:row>3</xdr:row>
      <xdr:rowOff>1</xdr:rowOff>
    </xdr:from>
    <xdr:to>
      <xdr:col>3</xdr:col>
      <xdr:colOff>38100</xdr:colOff>
      <xdr:row>4</xdr:row>
      <xdr:rowOff>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573111" y="485776"/>
          <a:ext cx="465114" cy="1619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800">
              <a:latin typeface="Arial" pitchFamily="34" charset="0"/>
              <a:cs typeface="Arial" pitchFamily="34" charset="0"/>
            </a:rPr>
            <a:t>1960</a:t>
          </a:r>
        </a:p>
      </xdr:txBody>
    </xdr:sp>
    <xdr:clientData/>
  </xdr:twoCellAnchor>
  <xdr:twoCellAnchor>
    <xdr:from>
      <xdr:col>9</xdr:col>
      <xdr:colOff>47615</xdr:colOff>
      <xdr:row>3</xdr:row>
      <xdr:rowOff>0</xdr:rowOff>
    </xdr:from>
    <xdr:to>
      <xdr:col>13</xdr:col>
      <xdr:colOff>63492</xdr:colOff>
      <xdr:row>3</xdr:row>
      <xdr:rowOff>150813</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847840" y="485775"/>
          <a:ext cx="434977" cy="150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800">
              <a:latin typeface="Arial" pitchFamily="34" charset="0"/>
              <a:cs typeface="Arial" pitchFamily="34" charset="0"/>
            </a:rPr>
            <a:t>1970</a:t>
          </a:r>
        </a:p>
      </xdr:txBody>
    </xdr:sp>
    <xdr:clientData/>
  </xdr:twoCellAnchor>
  <xdr:twoCellAnchor>
    <xdr:from>
      <xdr:col>19</xdr:col>
      <xdr:colOff>55561</xdr:colOff>
      <xdr:row>2</xdr:row>
      <xdr:rowOff>134939</xdr:rowOff>
    </xdr:from>
    <xdr:to>
      <xdr:col>23</xdr:col>
      <xdr:colOff>71437</xdr:colOff>
      <xdr:row>3</xdr:row>
      <xdr:rowOff>142875</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2903536" y="458789"/>
          <a:ext cx="434976" cy="1698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800">
              <a:latin typeface="Arial" pitchFamily="34" charset="0"/>
              <a:cs typeface="Arial" pitchFamily="34" charset="0"/>
            </a:rPr>
            <a:t>1980</a:t>
          </a:r>
        </a:p>
      </xdr:txBody>
    </xdr:sp>
    <xdr:clientData/>
  </xdr:twoCellAnchor>
  <xdr:twoCellAnchor>
    <xdr:from>
      <xdr:col>29</xdr:col>
      <xdr:colOff>55561</xdr:colOff>
      <xdr:row>3</xdr:row>
      <xdr:rowOff>0</xdr:rowOff>
    </xdr:from>
    <xdr:to>
      <xdr:col>33</xdr:col>
      <xdr:colOff>71438</xdr:colOff>
      <xdr:row>3</xdr:row>
      <xdr:rowOff>150813</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3951286" y="485775"/>
          <a:ext cx="434977" cy="150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800">
              <a:latin typeface="Arial" pitchFamily="34" charset="0"/>
              <a:cs typeface="Arial" pitchFamily="34" charset="0"/>
            </a:rPr>
            <a:t>1990</a:t>
          </a:r>
        </a:p>
      </xdr:txBody>
    </xdr:sp>
    <xdr:clientData/>
  </xdr:twoCellAnchor>
  <xdr:twoCellAnchor>
    <xdr:from>
      <xdr:col>39</xdr:col>
      <xdr:colOff>55563</xdr:colOff>
      <xdr:row>3</xdr:row>
      <xdr:rowOff>0</xdr:rowOff>
    </xdr:from>
    <xdr:to>
      <xdr:col>43</xdr:col>
      <xdr:colOff>79376</xdr:colOff>
      <xdr:row>3</xdr:row>
      <xdr:rowOff>150813</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4999038" y="485775"/>
          <a:ext cx="442913" cy="150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800">
              <a:latin typeface="Arial" pitchFamily="34" charset="0"/>
              <a:cs typeface="Arial" pitchFamily="34" charset="0"/>
            </a:rPr>
            <a:t>2000</a:t>
          </a:r>
        </a:p>
      </xdr:txBody>
    </xdr:sp>
    <xdr:clientData/>
  </xdr:twoCellAnchor>
  <xdr:twoCellAnchor>
    <xdr:from>
      <xdr:col>49</xdr:col>
      <xdr:colOff>39678</xdr:colOff>
      <xdr:row>3</xdr:row>
      <xdr:rowOff>0</xdr:rowOff>
    </xdr:from>
    <xdr:to>
      <xdr:col>53</xdr:col>
      <xdr:colOff>63492</xdr:colOff>
      <xdr:row>4</xdr:row>
      <xdr:rowOff>0</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6030903" y="485775"/>
          <a:ext cx="442914" cy="161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800">
              <a:latin typeface="Arial" pitchFamily="34" charset="0"/>
              <a:cs typeface="Arial" pitchFamily="34" charset="0"/>
            </a:rPr>
            <a:t>2010</a:t>
          </a:r>
        </a:p>
      </xdr:txBody>
    </xdr:sp>
    <xdr:clientData/>
  </xdr:twoCellAnchor>
  <xdr:twoCellAnchor>
    <xdr:from>
      <xdr:col>59</xdr:col>
      <xdr:colOff>55553</xdr:colOff>
      <xdr:row>3</xdr:row>
      <xdr:rowOff>0</xdr:rowOff>
    </xdr:from>
    <xdr:to>
      <xdr:col>62</xdr:col>
      <xdr:colOff>166680</xdr:colOff>
      <xdr:row>3</xdr:row>
      <xdr:rowOff>150813</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7094528" y="485775"/>
          <a:ext cx="425452" cy="150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800">
              <a:latin typeface="Arial" pitchFamily="34" charset="0"/>
              <a:cs typeface="Arial" pitchFamily="34" charset="0"/>
            </a:rPr>
            <a:t>2020</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appriver3651005261-my.sharepoint.com/personal/athanasia_platis_sreb_org/Documents/SupportingDocuments/All-Projections_WithPivotTable.xlsx" TargetMode="External"/><Relationship Id="rId1" Type="http://schemas.openxmlformats.org/officeDocument/2006/relationships/externalLinkPath" Target="/personal/athanasia_platis_sreb_org/Documents/SupportingDocuments/All-Projections_WithPivotTab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 and Notes"/>
      <sheetName val="Race &amp; Ethnicity"/>
      <sheetName val="KnockingattheCollegeDoor10th"/>
      <sheetName val="PublicHSGrads"/>
    </sheetNames>
    <sheetDataSet>
      <sheetData sheetId="0"/>
      <sheetData sheetId="1">
        <row r="4">
          <cell r="A4" t="str">
            <v>Sum of Students</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nces.ed.gov/pubs2014/2014391/tables/table_02.asp" TargetMode="External"/><Relationship Id="rId7" Type="http://schemas.openxmlformats.org/officeDocument/2006/relationships/vmlDrawing" Target="../drawings/vmlDrawing1.vml"/><Relationship Id="rId2" Type="http://schemas.openxmlformats.org/officeDocument/2006/relationships/hyperlink" Target="http://nces.ed.gov/pubs2014/2014391/tables/table_02.asp" TargetMode="External"/><Relationship Id="rId1" Type="http://schemas.openxmlformats.org/officeDocument/2006/relationships/hyperlink" Target="http://nces.ed.gov/pubs2014/2014391/tables/table_02.asp" TargetMode="External"/><Relationship Id="rId6" Type="http://schemas.openxmlformats.org/officeDocument/2006/relationships/printerSettings" Target="../printerSettings/printerSettings2.bin"/><Relationship Id="rId5" Type="http://schemas.openxmlformats.org/officeDocument/2006/relationships/hyperlink" Target="https://nces.ed.gov/ccd/ccddata.asp" TargetMode="External"/><Relationship Id="rId4" Type="http://schemas.openxmlformats.org/officeDocument/2006/relationships/hyperlink" Target="http://nces.ed.gov/pubs2014/2014391/tables/table_02.asp"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codeName="Sheet6">
    <tabColor indexed="16"/>
  </sheetPr>
  <dimension ref="A1:Z105"/>
  <sheetViews>
    <sheetView showGridLines="0" tabSelected="1" view="pageBreakPreview" zoomScaleNormal="100" zoomScaleSheetLayoutView="100" workbookViewId="0">
      <selection activeCell="A10" sqref="A10:XFD10"/>
    </sheetView>
  </sheetViews>
  <sheetFormatPr defaultColWidth="9.7109375" defaultRowHeight="12.75" customHeight="1"/>
  <cols>
    <col min="1" max="1" width="8.42578125" style="2" customWidth="1"/>
    <col min="2" max="2" width="10.42578125" style="2" customWidth="1"/>
    <col min="3" max="3" width="14.28515625" style="2" customWidth="1"/>
    <col min="4" max="4" width="11.5703125" style="2" customWidth="1"/>
    <col min="5" max="5" width="10" style="2" customWidth="1"/>
    <col min="6" max="6" width="15" style="8" customWidth="1"/>
    <col min="7" max="7" width="13.42578125" style="2" customWidth="1"/>
    <col min="8" max="8" width="8.140625" style="2" customWidth="1"/>
    <col min="9" max="10" width="7.7109375" style="2" customWidth="1"/>
    <col min="11" max="11" width="13" style="2" customWidth="1"/>
    <col min="12" max="12" width="10.28515625" style="2" customWidth="1"/>
    <col min="13" max="13" width="11.140625" style="2" customWidth="1"/>
    <col min="14" max="14" width="10.7109375" style="2" customWidth="1"/>
    <col min="15" max="15" width="9.140625" style="2" customWidth="1"/>
    <col min="16" max="16" width="20.140625" style="8" customWidth="1"/>
    <col min="17" max="17" width="7.7109375" style="2" customWidth="1"/>
    <col min="18" max="16384" width="9.7109375" style="2"/>
  </cols>
  <sheetData>
    <row r="1" spans="1:25" ht="12.75" customHeight="1">
      <c r="A1" s="3" t="s">
        <v>0</v>
      </c>
      <c r="B1" s="3"/>
      <c r="C1" s="1"/>
      <c r="G1" s="1"/>
      <c r="H1" s="4"/>
      <c r="P1" s="8" t="s">
        <v>0</v>
      </c>
    </row>
    <row r="2" spans="1:25" ht="12.75" customHeight="1">
      <c r="A2" s="3" t="s">
        <v>1</v>
      </c>
      <c r="B2" s="3"/>
      <c r="C2" s="1"/>
      <c r="D2" s="1"/>
      <c r="E2" s="1"/>
      <c r="F2" s="566"/>
      <c r="G2" s="557"/>
      <c r="H2" s="557"/>
      <c r="I2" s="557"/>
      <c r="J2" s="557"/>
      <c r="M2" s="399"/>
      <c r="N2" s="1"/>
      <c r="O2" s="1"/>
      <c r="P2" s="8" t="s">
        <v>2</v>
      </c>
      <c r="S2" s="564" t="s">
        <v>3</v>
      </c>
      <c r="T2" s="565"/>
      <c r="U2" s="565"/>
      <c r="V2" s="565"/>
      <c r="W2" s="565"/>
      <c r="X2" s="565"/>
      <c r="Y2" s="565"/>
    </row>
    <row r="3" spans="1:25" ht="9" customHeight="1">
      <c r="A3" s="25"/>
      <c r="B3" s="25"/>
      <c r="C3" s="18"/>
      <c r="D3" s="18"/>
      <c r="E3" s="18"/>
      <c r="F3" s="567"/>
      <c r="G3" s="562"/>
      <c r="H3" s="562"/>
      <c r="I3" s="562"/>
      <c r="J3" s="562"/>
      <c r="K3" s="6"/>
      <c r="L3" s="6"/>
      <c r="M3" s="400"/>
      <c r="N3" s="18"/>
      <c r="O3" s="18"/>
      <c r="P3" s="24"/>
    </row>
    <row r="4" spans="1:25" ht="12.75" customHeight="1">
      <c r="B4" s="559"/>
      <c r="C4" s="560"/>
      <c r="D4" s="560"/>
      <c r="E4" s="560"/>
      <c r="F4" s="467"/>
      <c r="H4" s="1"/>
      <c r="I4" s="1"/>
      <c r="J4" s="1"/>
      <c r="K4" s="1"/>
      <c r="L4" s="1"/>
      <c r="M4" s="392"/>
      <c r="N4" s="398" t="s">
        <v>4</v>
      </c>
      <c r="O4" s="1"/>
    </row>
    <row r="5" spans="1:25" ht="12.75" customHeight="1">
      <c r="C5" s="556" t="s">
        <v>5</v>
      </c>
      <c r="D5" s="557"/>
      <c r="E5" s="558"/>
      <c r="F5" s="566" t="s">
        <v>6</v>
      </c>
      <c r="G5" s="556"/>
      <c r="H5" s="556"/>
      <c r="I5" s="556"/>
      <c r="J5" s="556"/>
      <c r="K5" s="556"/>
      <c r="L5" s="556"/>
      <c r="M5" s="568"/>
      <c r="N5" s="1" t="s">
        <v>7</v>
      </c>
      <c r="O5" s="1"/>
    </row>
    <row r="6" spans="1:25" ht="12.75" customHeight="1">
      <c r="C6" s="27"/>
      <c r="D6" s="1"/>
      <c r="E6" s="392"/>
      <c r="F6" s="567" t="s">
        <v>8</v>
      </c>
      <c r="G6" s="562"/>
      <c r="H6" s="562"/>
      <c r="I6" s="562"/>
      <c r="J6" s="562"/>
      <c r="K6" s="562"/>
      <c r="L6" s="562"/>
      <c r="M6" s="563"/>
      <c r="N6" s="1" t="s">
        <v>9</v>
      </c>
      <c r="O6" s="1"/>
    </row>
    <row r="7" spans="1:25" ht="12.6">
      <c r="B7" s="27"/>
      <c r="C7" s="556" t="s">
        <v>10</v>
      </c>
      <c r="D7" s="657"/>
      <c r="E7" s="658"/>
      <c r="F7" s="468"/>
      <c r="G7" s="43"/>
      <c r="H7" s="43"/>
      <c r="I7" s="43"/>
      <c r="J7" s="43"/>
      <c r="K7" s="43"/>
      <c r="L7" s="394" t="s">
        <v>11</v>
      </c>
      <c r="M7" s="43"/>
      <c r="N7" s="1" t="s">
        <v>12</v>
      </c>
      <c r="O7" s="1"/>
    </row>
    <row r="8" spans="1:25" ht="12.75" customHeight="1">
      <c r="B8" s="27"/>
      <c r="C8" s="556" t="s">
        <v>13</v>
      </c>
      <c r="D8" s="557"/>
      <c r="E8" s="558"/>
      <c r="F8" s="469"/>
      <c r="G8" s="396"/>
      <c r="H8" s="28"/>
      <c r="I8" s="28"/>
      <c r="J8" s="28"/>
      <c r="K8" s="498" t="s">
        <v>14</v>
      </c>
      <c r="L8" s="498" t="s">
        <v>15</v>
      </c>
      <c r="M8" s="498" t="s">
        <v>16</v>
      </c>
      <c r="N8" s="1" t="s">
        <v>17</v>
      </c>
      <c r="O8" s="1"/>
    </row>
    <row r="9" spans="1:25" ht="46.5" customHeight="1">
      <c r="B9" s="27"/>
      <c r="C9" s="561" t="s">
        <v>18</v>
      </c>
      <c r="D9" s="562"/>
      <c r="E9" s="563"/>
      <c r="F9" s="514" t="s">
        <v>19</v>
      </c>
      <c r="G9" s="515" t="s">
        <v>20</v>
      </c>
      <c r="H9" s="397" t="s">
        <v>21</v>
      </c>
      <c r="I9" s="397" t="s">
        <v>22</v>
      </c>
      <c r="J9" s="496" t="s">
        <v>23</v>
      </c>
      <c r="K9" s="497" t="s">
        <v>24</v>
      </c>
      <c r="L9" s="497" t="s">
        <v>25</v>
      </c>
      <c r="M9" s="412" t="s">
        <v>26</v>
      </c>
      <c r="N9" s="18" t="s">
        <v>4</v>
      </c>
      <c r="O9" s="18" t="s">
        <v>4</v>
      </c>
    </row>
    <row r="10" spans="1:25" s="656" customFormat="1" ht="15" customHeight="1">
      <c r="A10" s="644"/>
      <c r="B10" s="645"/>
      <c r="C10" s="646" t="s">
        <v>27</v>
      </c>
      <c r="D10" s="646" t="s">
        <v>28</v>
      </c>
      <c r="E10" s="647" t="s">
        <v>29</v>
      </c>
      <c r="F10" s="648"/>
      <c r="G10" s="649"/>
      <c r="H10" s="650"/>
      <c r="I10" s="650"/>
      <c r="J10" s="650"/>
      <c r="K10" s="651"/>
      <c r="L10" s="651"/>
      <c r="M10" s="651"/>
      <c r="N10" s="652" t="s">
        <v>30</v>
      </c>
      <c r="O10" s="653" t="s">
        <v>29</v>
      </c>
      <c r="P10" s="654"/>
      <c r="Q10" s="655"/>
    </row>
    <row r="11" spans="1:25" ht="12.75" customHeight="1">
      <c r="A11" s="126" t="s">
        <v>31</v>
      </c>
      <c r="B11" s="126"/>
      <c r="C11" s="410">
        <f>+'Public H.S. Grad Rates (ACGR)'!CL5</f>
        <v>87</v>
      </c>
      <c r="D11" s="410">
        <f>+'Public H.S. Grad Rates (ACGR)'!BZ5</f>
        <v>85.8</v>
      </c>
      <c r="E11" s="410">
        <f>+'Public H.S. Grad Rates (ACGR)'!BN5</f>
        <v>85.3</v>
      </c>
      <c r="F11" s="411">
        <f>+'Public H.S. Grad Rates (ACGR)'!CQ5</f>
        <v>74.900000000000006</v>
      </c>
      <c r="G11" s="411">
        <f>+'Public H.S. Grad Rates (ACGR)'!CP5</f>
        <v>92.5</v>
      </c>
      <c r="H11" s="411">
        <f>+'Public H.S. Grad Rates (ACGR)'!CO5</f>
        <v>82.5</v>
      </c>
      <c r="I11" s="411">
        <f>+'Public H.S. Grad Rates (ACGR)'!CN5</f>
        <v>81.099999999999994</v>
      </c>
      <c r="J11" s="411">
        <f>+'Public H.S. Grad Rates (ACGR)'!CM5</f>
        <v>90.2</v>
      </c>
      <c r="K11" s="411">
        <f>+'Public H.S. Grad Rates (ACGR)'!CU5</f>
        <v>81.3</v>
      </c>
      <c r="L11" s="411">
        <f>+'Public H.S. Grad Rates (ACGR)'!CT5</f>
        <v>71.3</v>
      </c>
      <c r="M11" s="411">
        <f>+'Public H.S. Grad Rates (ACGR)'!CS5</f>
        <v>70.599999999999994</v>
      </c>
      <c r="N11" s="194">
        <f>('NCES-Private Grads-all races'!AT5/'NCES-Total Grads-all races'!AT4)*100</f>
        <v>9.2980926028675626</v>
      </c>
      <c r="O11" s="244">
        <f>('NCES-Private Grads-all races'!BD5/'NCES-Total Grads-all races'!BD4)*100</f>
        <v>9.3736844767385374</v>
      </c>
      <c r="P11" s="150" t="s">
        <v>31</v>
      </c>
    </row>
    <row r="12" spans="1:25" ht="12.75" customHeight="1">
      <c r="A12" s="7" t="s">
        <v>32</v>
      </c>
      <c r="B12" s="7"/>
      <c r="C12" s="524">
        <f>+'Public H.S. Grad Rates (ACGR)'!CL6</f>
        <v>88.8</v>
      </c>
      <c r="D12" s="245">
        <f>+'Public H.S. Grad Rates (ACGR)'!BZ6</f>
        <v>87.35</v>
      </c>
      <c r="E12" s="245">
        <f>+'Public H.S. Grad Rates (ACGR)'!BN6</f>
        <v>87</v>
      </c>
      <c r="F12" s="384">
        <f>+'Public H.S. Grad Rates (ACGR)'!CQ6</f>
        <v>84.5</v>
      </c>
      <c r="G12" s="195">
        <f>+'Public H.S. Grad Rates (ACGR)'!CP6</f>
        <v>94.2</v>
      </c>
      <c r="H12" s="195">
        <f>+'Public H.S. Grad Rates (ACGR)'!CO6</f>
        <v>82.6</v>
      </c>
      <c r="I12" s="195">
        <f>+'Public H.S. Grad Rates (ACGR)'!CN6</f>
        <v>84.7</v>
      </c>
      <c r="J12" s="195">
        <f>+'Public H.S. Grad Rates (ACGR)'!CM6</f>
        <v>90.9</v>
      </c>
      <c r="K12" s="195">
        <f>+'Public H.S. Grad Rates (ACGR)'!CU6</f>
        <v>84.3</v>
      </c>
      <c r="L12" s="195">
        <f>+'Public H.S. Grad Rates (ACGR)'!CT6</f>
        <v>71.7</v>
      </c>
      <c r="M12" s="195">
        <f>+'Public H.S. Grad Rates (ACGR)'!CS6</f>
        <v>72.099999999999994</v>
      </c>
      <c r="N12" s="195">
        <f>('NCES-Private Grads-all races'!AT6/'NCES-Total Grads-all races'!AT5)*100</f>
        <v>8.4884892188756869</v>
      </c>
      <c r="O12" s="245">
        <f>('NCES-Private Grads-all races'!BD6/'NCES-Total Grads-all races'!BD5)*100</f>
        <v>8.3478826701523232</v>
      </c>
      <c r="P12" s="12" t="s">
        <v>32</v>
      </c>
    </row>
    <row r="13" spans="1:25" ht="12.75" customHeight="1">
      <c r="A13" s="7"/>
      <c r="B13" s="7"/>
      <c r="C13" s="524"/>
      <c r="D13" s="245"/>
      <c r="E13" s="245"/>
      <c r="G13" s="393"/>
      <c r="H13" s="195"/>
      <c r="I13" s="195"/>
      <c r="J13" s="195"/>
      <c r="K13" s="195"/>
      <c r="L13" s="195"/>
      <c r="M13" s="195"/>
      <c r="N13" s="195"/>
      <c r="O13" s="245"/>
      <c r="P13" s="12"/>
    </row>
    <row r="14" spans="1:25" ht="12.75" customHeight="1">
      <c r="A14" s="189" t="s">
        <v>33</v>
      </c>
      <c r="B14" s="189"/>
      <c r="C14" s="518">
        <f>+'Public H.S. Grad Rates (ACGR)'!CL8</f>
        <v>90.6</v>
      </c>
      <c r="D14" s="246">
        <f>+'Public H.S. Grad Rates (ACGR)'!BZ8</f>
        <v>91.7</v>
      </c>
      <c r="E14" s="246">
        <f>+'Public H.S. Grad Rates (ACGR)'!BN8</f>
        <v>90</v>
      </c>
      <c r="F14" s="470">
        <f>+'Public H.S. Grad Rates (ACGR)'!CQ8</f>
        <v>93</v>
      </c>
      <c r="G14" s="196">
        <f>+'Public H.S. Grad Rates (ACGR)'!CP8</f>
        <v>95</v>
      </c>
      <c r="H14" s="196">
        <f>+'Public H.S. Grad Rates (ACGR)'!CO8</f>
        <v>88</v>
      </c>
      <c r="I14" s="196">
        <f>+'Public H.S. Grad Rates (ACGR)'!CN8</f>
        <v>88.2</v>
      </c>
      <c r="J14" s="196">
        <f>+'Public H.S. Grad Rates (ACGR)'!CM8</f>
        <v>92.2</v>
      </c>
      <c r="K14" s="196">
        <f>+'Public H.S. Grad Rates (ACGR)'!CU8</f>
        <v>85.5</v>
      </c>
      <c r="L14" s="196">
        <f>+'Public H.S. Grad Rates (ACGR)'!CT8</f>
        <v>72</v>
      </c>
      <c r="M14" s="196">
        <f>+'Public H.S. Grad Rates (ACGR)'!CS8</f>
        <v>68.900000000000006</v>
      </c>
      <c r="N14" s="196">
        <f>('NCES-Private Grads-all races'!AT8/'NCES-Total Grads-all races'!AT7)*100</f>
        <v>10.653470481459072</v>
      </c>
      <c r="O14" s="246">
        <f>('NCES-Private Grads-all races'!BD8/'NCES-Total Grads-all races'!BD7)*100</f>
        <v>8.3094451903189519</v>
      </c>
      <c r="P14" s="197" t="s">
        <v>33</v>
      </c>
    </row>
    <row r="15" spans="1:25" ht="12.75" customHeight="1">
      <c r="A15" s="189" t="s">
        <v>34</v>
      </c>
      <c r="B15" s="189"/>
      <c r="C15" s="518">
        <f>+'Public H.S. Grad Rates (ACGR)'!CL9</f>
        <v>88.8</v>
      </c>
      <c r="D15" s="246">
        <f>+'Public H.S. Grad Rates (ACGR)'!BZ9</f>
        <v>87.6</v>
      </c>
      <c r="E15" s="246">
        <f>+'Public H.S. Grad Rates (ACGR)'!BN9</f>
        <v>89.2</v>
      </c>
      <c r="F15" s="470">
        <f>+'Public H.S. Grad Rates (ACGR)'!CQ9</f>
        <v>89</v>
      </c>
      <c r="G15" s="196">
        <f>+'Public H.S. Grad Rates (ACGR)'!CP9</f>
        <v>86</v>
      </c>
      <c r="H15" s="196">
        <f>+'Public H.S. Grad Rates (ACGR)'!CO9</f>
        <v>86.7</v>
      </c>
      <c r="I15" s="196">
        <f>+'Public H.S. Grad Rates (ACGR)'!CN9</f>
        <v>84.5</v>
      </c>
      <c r="J15" s="196">
        <f>+'Public H.S. Grad Rates (ACGR)'!CM9</f>
        <v>90.9</v>
      </c>
      <c r="K15" s="196">
        <f>+'Public H.S. Grad Rates (ACGR)'!CU9</f>
        <v>86.2</v>
      </c>
      <c r="L15" s="196">
        <f>+'Public H.S. Grad Rates (ACGR)'!CT9</f>
        <v>84.4</v>
      </c>
      <c r="M15" s="196">
        <f>+'Public H.S. Grad Rates (ACGR)'!CS9</f>
        <v>84.1</v>
      </c>
      <c r="N15" s="196">
        <f>('NCES-Private Grads-all races'!AT9/'NCES-Total Grads-all races'!AT8)*100</f>
        <v>4.5046542553191484</v>
      </c>
      <c r="O15" s="246">
        <f>('NCES-Private Grads-all races'!BD9/'NCES-Total Grads-all races'!BD8)*100</f>
        <v>4.726435131173532</v>
      </c>
      <c r="P15" s="197" t="s">
        <v>34</v>
      </c>
    </row>
    <row r="16" spans="1:25" ht="12.75" customHeight="1">
      <c r="A16" s="189" t="s">
        <v>35</v>
      </c>
      <c r="B16" s="189"/>
      <c r="C16" s="518">
        <f>+'Public H.S. Grad Rates (ACGR)'!CL10</f>
        <v>89</v>
      </c>
      <c r="D16" s="246">
        <f>+'Public H.S. Grad Rates (ACGR)'!BZ10</f>
        <v>89</v>
      </c>
      <c r="E16" s="246">
        <f>+'Public H.S. Grad Rates (ACGR)'!BN10</f>
        <v>86.9</v>
      </c>
      <c r="F16" s="470">
        <f>+'Public H.S. Grad Rates (ACGR)'!CQ10</f>
        <v>83</v>
      </c>
      <c r="G16" s="196">
        <f>+'Public H.S. Grad Rates (ACGR)'!CP10</f>
        <v>95</v>
      </c>
      <c r="H16" s="196">
        <f>+'Public H.S. Grad Rates (ACGR)'!CO10</f>
        <v>86</v>
      </c>
      <c r="I16" s="196">
        <f>+'Public H.S. Grad Rates (ACGR)'!CN10</f>
        <v>87</v>
      </c>
      <c r="J16" s="196">
        <f>+'Public H.S. Grad Rates (ACGR)'!CM10</f>
        <v>90.5</v>
      </c>
      <c r="K16" s="196">
        <f>+'Public H.S. Grad Rates (ACGR)'!CU10</f>
        <v>82</v>
      </c>
      <c r="L16" s="196">
        <f>+'Public H.S. Grad Rates (ACGR)'!CT10</f>
        <v>76</v>
      </c>
      <c r="M16" s="196">
        <f>+'Public H.S. Grad Rates (ACGR)'!CS10</f>
        <v>73</v>
      </c>
      <c r="N16" s="196">
        <f>('NCES-Private Grads-all races'!AT10/'NCES-Total Grads-all races'!AT9)*100</f>
        <v>19.808965592098122</v>
      </c>
      <c r="O16" s="246">
        <f>('NCES-Private Grads-all races'!BD10/'NCES-Total Grads-all races'!BD9)*100</f>
        <v>10.433462961206489</v>
      </c>
      <c r="P16" s="197" t="s">
        <v>35</v>
      </c>
    </row>
    <row r="17" spans="1:26" ht="12.75" customHeight="1">
      <c r="A17" s="189" t="s">
        <v>36</v>
      </c>
      <c r="B17" s="189"/>
      <c r="C17" s="518">
        <f>+'Public H.S. Grad Rates (ACGR)'!CL11</f>
        <v>90.2</v>
      </c>
      <c r="D17" s="246">
        <f>+'Public H.S. Grad Rates (ACGR)'!BZ11</f>
        <v>87.2</v>
      </c>
      <c r="E17" s="246">
        <f>+'Public H.S. Grad Rates (ACGR)'!BN11</f>
        <v>86.3</v>
      </c>
      <c r="F17" s="470">
        <f>+'Public H.S. Grad Rates (ACGR)'!CQ11</f>
        <v>84</v>
      </c>
      <c r="G17" s="196">
        <f>+'Public H.S. Grad Rates (ACGR)'!CP11</f>
        <v>97.7</v>
      </c>
      <c r="H17" s="196">
        <f>+'Public H.S. Grad Rates (ACGR)'!CO11</f>
        <v>89.7</v>
      </c>
      <c r="I17" s="196">
        <f>+'Public H.S. Grad Rates (ACGR)'!CN11</f>
        <v>86.9</v>
      </c>
      <c r="J17" s="196">
        <f>+'Public H.S. Grad Rates (ACGR)'!CM11</f>
        <v>91.9</v>
      </c>
      <c r="K17" s="196">
        <f>+'Public H.S. Grad Rates (ACGR)'!CU11</f>
        <v>87.1</v>
      </c>
      <c r="L17" s="196">
        <f>+'Public H.S. Grad Rates (ACGR)'!CT11</f>
        <v>85.8</v>
      </c>
      <c r="M17" s="196">
        <f>+'Public H.S. Grad Rates (ACGR)'!CS11</f>
        <v>82.9</v>
      </c>
      <c r="N17" s="196">
        <f>('NCES-Private Grads-all races'!AT11/'NCES-Total Grads-all races'!AT10)*100</f>
        <v>10.988617225851916</v>
      </c>
      <c r="O17" s="246">
        <f>('NCES-Private Grads-all races'!BD11/'NCES-Total Grads-all races'!BD10)*100</f>
        <v>12.541452553853091</v>
      </c>
      <c r="P17" s="197" t="s">
        <v>36</v>
      </c>
    </row>
    <row r="18" spans="1:26" ht="12.75" customHeight="1">
      <c r="A18" s="7" t="s">
        <v>37</v>
      </c>
      <c r="B18" s="7"/>
      <c r="C18" s="524">
        <f>+'Public H.S. Grad Rates (ACGR)'!CL12</f>
        <v>83.8</v>
      </c>
      <c r="D18" s="245">
        <f>+'Public H.S. Grad Rates (ACGR)'!BZ12</f>
        <v>82</v>
      </c>
      <c r="E18" s="245">
        <f>+'Public H.S. Grad Rates (ACGR)'!BN12</f>
        <v>81.599999999999994</v>
      </c>
      <c r="F18" s="384">
        <f>+'Public H.S. Grad Rates (ACGR)'!CQ12</f>
        <v>76</v>
      </c>
      <c r="G18" s="195">
        <f>+'Public H.S. Grad Rates (ACGR)'!CP12</f>
        <v>92.5</v>
      </c>
      <c r="H18" s="195">
        <f>+'Public H.S. Grad Rates (ACGR)'!CO12</f>
        <v>77.8</v>
      </c>
      <c r="I18" s="195">
        <f>+'Public H.S. Grad Rates (ACGR)'!CN12</f>
        <v>81.400000000000006</v>
      </c>
      <c r="J18" s="195">
        <f>+'Public H.S. Grad Rates (ACGR)'!CM12</f>
        <v>87.3</v>
      </c>
      <c r="K18" s="195">
        <f>+'Public H.S. Grad Rates (ACGR)'!CU12</f>
        <v>79.7</v>
      </c>
      <c r="L18" s="195">
        <f>+'Public H.S. Grad Rates (ACGR)'!CT12</f>
        <v>62</v>
      </c>
      <c r="M18" s="195">
        <f>+'Public H.S. Grad Rates (ACGR)'!CS12</f>
        <v>70.2</v>
      </c>
      <c r="N18" s="195">
        <f>('NCES-Private Grads-all races'!AT12/'NCES-Total Grads-all races'!AT11)*100</f>
        <v>8.6878075451066152</v>
      </c>
      <c r="O18" s="245">
        <f>('NCES-Private Grads-all races'!BD12/'NCES-Total Grads-all races'!BD11)*100</f>
        <v>8.3423234976817717</v>
      </c>
      <c r="P18" s="12" t="s">
        <v>37</v>
      </c>
    </row>
    <row r="19" spans="1:26" ht="12.75" customHeight="1">
      <c r="A19" s="7" t="s">
        <v>38</v>
      </c>
      <c r="B19" s="7"/>
      <c r="C19" s="524">
        <f>+'Public H.S. Grad Rates (ACGR)'!CL13</f>
        <v>91.1</v>
      </c>
      <c r="D19" s="245">
        <f>+'Public H.S. Grad Rates (ACGR)'!BZ13</f>
        <v>90.6</v>
      </c>
      <c r="E19" s="245">
        <f>+'Public H.S. Grad Rates (ACGR)'!BN13</f>
        <v>90.3</v>
      </c>
      <c r="F19" s="384">
        <f>+'Public H.S. Grad Rates (ACGR)'!CQ13</f>
        <v>90</v>
      </c>
      <c r="G19" s="195">
        <f>+'Public H.S. Grad Rates (ACGR)'!CP13</f>
        <v>94</v>
      </c>
      <c r="H19" s="195">
        <f>+'Public H.S. Grad Rates (ACGR)'!CO13</f>
        <v>84.4</v>
      </c>
      <c r="I19" s="195">
        <f>+'Public H.S. Grad Rates (ACGR)'!CN13</f>
        <v>83.3</v>
      </c>
      <c r="J19" s="195">
        <f>+'Public H.S. Grad Rates (ACGR)'!CM13</f>
        <v>92.8</v>
      </c>
      <c r="K19" s="195">
        <f>+'Public H.S. Grad Rates (ACGR)'!CU13</f>
        <v>88.1</v>
      </c>
      <c r="L19" s="195">
        <f>+'Public H.S. Grad Rates (ACGR)'!CT13</f>
        <v>74</v>
      </c>
      <c r="M19" s="195">
        <f>+'Public H.S. Grad Rates (ACGR)'!CS13</f>
        <v>78</v>
      </c>
      <c r="N19" s="195">
        <f>('NCES-Private Grads-all races'!AT13/'NCES-Total Grads-all races'!AT12)*100</f>
        <v>9.1981349829193988</v>
      </c>
      <c r="O19" s="245">
        <f>('NCES-Private Grads-all races'!BD13/'NCES-Total Grads-all races'!BD12)*100</f>
        <v>10.064884302689181</v>
      </c>
      <c r="P19" s="12" t="s">
        <v>38</v>
      </c>
    </row>
    <row r="20" spans="1:26" ht="12.75" customHeight="1">
      <c r="A20" s="7" t="s">
        <v>39</v>
      </c>
      <c r="B20" s="7"/>
      <c r="C20" s="524">
        <f>+'Public H.S. Grad Rates (ACGR)'!CL14</f>
        <v>82.9</v>
      </c>
      <c r="D20" s="245">
        <f>+'Public H.S. Grad Rates (ACGR)'!BZ14</f>
        <v>80.099999999999994</v>
      </c>
      <c r="E20" s="245">
        <f>+'Public H.S. Grad Rates (ACGR)'!BN14</f>
        <v>81.400000000000006</v>
      </c>
      <c r="F20" s="384">
        <f>+'Public H.S. Grad Rates (ACGR)'!CQ14</f>
        <v>78</v>
      </c>
      <c r="G20" s="195">
        <f>+'Public H.S. Grad Rates (ACGR)'!CP14</f>
        <v>94</v>
      </c>
      <c r="H20" s="195">
        <f>+'Public H.S. Grad Rates (ACGR)'!CO14</f>
        <v>72.7</v>
      </c>
      <c r="I20" s="195">
        <f>+'Public H.S. Grad Rates (ACGR)'!CN14</f>
        <v>78.900000000000006</v>
      </c>
      <c r="J20" s="195">
        <f>+'Public H.S. Grad Rates (ACGR)'!CM14</f>
        <v>87.8</v>
      </c>
      <c r="K20" s="195">
        <f>+'Public H.S. Grad Rates (ACGR)'!CU14</f>
        <v>78.400000000000006</v>
      </c>
      <c r="L20" s="195">
        <f>+'Public H.S. Grad Rates (ACGR)'!CT14</f>
        <v>50</v>
      </c>
      <c r="M20" s="195">
        <f>+'Public H.S. Grad Rates (ACGR)'!CS14</f>
        <v>68.599999999999994</v>
      </c>
      <c r="N20" s="195">
        <f>('NCES-Private Grads-all races'!AT14/'NCES-Total Grads-all races'!AT13)*100</f>
        <v>18.550525617956247</v>
      </c>
      <c r="O20" s="245">
        <f>('NCES-Private Grads-all races'!BD14/'NCES-Total Grads-all races'!BD13)*100</f>
        <v>17.045454545454543</v>
      </c>
      <c r="P20" s="12" t="s">
        <v>39</v>
      </c>
    </row>
    <row r="21" spans="1:26" ht="12.75" customHeight="1">
      <c r="A21" s="7" t="s">
        <v>40</v>
      </c>
      <c r="B21" s="7"/>
      <c r="C21" s="524">
        <f>+'Public H.S. Grad Rates (ACGR)'!CL15</f>
        <v>86.8</v>
      </c>
      <c r="D21" s="245">
        <f>+'Public H.S. Grad Rates (ACGR)'!BZ15</f>
        <v>86.9</v>
      </c>
      <c r="E21" s="245">
        <f>+'Public H.S. Grad Rates (ACGR)'!BN15</f>
        <v>87.1</v>
      </c>
      <c r="F21" s="384">
        <f>+'Public H.S. Grad Rates (ACGR)'!CQ15</f>
        <v>87</v>
      </c>
      <c r="G21" s="195">
        <f>+'Public H.S. Grad Rates (ACGR)'!CP15</f>
        <v>95.9</v>
      </c>
      <c r="H21" s="195">
        <f>+'Public H.S. Grad Rates (ACGR)'!CO15</f>
        <v>71.599999999999994</v>
      </c>
      <c r="I21" s="195">
        <f>+'Public H.S. Grad Rates (ACGR)'!CN15</f>
        <v>84.7</v>
      </c>
      <c r="J21" s="195">
        <f>+'Public H.S. Grad Rates (ACGR)'!CM15</f>
        <v>94.1</v>
      </c>
      <c r="K21" s="195">
        <f>+'Public H.S. Grad Rates (ACGR)'!CU15</f>
        <v>79.3</v>
      </c>
      <c r="L21" s="195">
        <f>+'Public H.S. Grad Rates (ACGR)'!CT15</f>
        <v>55.6</v>
      </c>
      <c r="M21" s="195">
        <f>+'Public H.S. Grad Rates (ACGR)'!CS15</f>
        <v>68.5</v>
      </c>
      <c r="N21" s="195">
        <f>('NCES-Private Grads-all races'!AT15/'NCES-Total Grads-all races'!AT14)*100</f>
        <v>13.632847279998833</v>
      </c>
      <c r="O21" s="245">
        <f>('NCES-Private Grads-all races'!BD15/'NCES-Total Grads-all races'!BD14)*100</f>
        <v>14.952284621135496</v>
      </c>
      <c r="P21" s="12" t="s">
        <v>40</v>
      </c>
    </row>
    <row r="22" spans="1:26" ht="12.75" customHeight="1">
      <c r="A22" s="189" t="s">
        <v>41</v>
      </c>
      <c r="B22" s="189"/>
      <c r="C22" s="518">
        <f>+'Public H.S. Grad Rates (ACGR)'!CL16</f>
        <v>87.7</v>
      </c>
      <c r="D22" s="246">
        <f>+'Public H.S. Grad Rates (ACGR)'!BZ16</f>
        <v>85</v>
      </c>
      <c r="E22" s="246">
        <f>+'Public H.S. Grad Rates (ACGR)'!BN16</f>
        <v>84</v>
      </c>
      <c r="F22" s="470">
        <f>+'Public H.S. Grad Rates (ACGR)'!CQ16</f>
        <v>81</v>
      </c>
      <c r="G22" s="196">
        <f>+'Public H.S. Grad Rates (ACGR)'!CP16</f>
        <v>92</v>
      </c>
      <c r="H22" s="196">
        <f>+'Public H.S. Grad Rates (ACGR)'!CO16</f>
        <v>84</v>
      </c>
      <c r="I22" s="196">
        <f>+'Public H.S. Grad Rates (ACGR)'!CN16</f>
        <v>86.1</v>
      </c>
      <c r="J22" s="196">
        <f>+'Public H.S. Grad Rates (ACGR)'!CM16</f>
        <v>89.9</v>
      </c>
      <c r="K22" s="196">
        <f>+'Public H.S. Grad Rates (ACGR)'!CU16</f>
        <v>85.9</v>
      </c>
      <c r="L22" s="196">
        <f>+'Public H.S. Grad Rates (ACGR)'!CT16</f>
        <v>62</v>
      </c>
      <c r="M22" s="196">
        <f>+'Public H.S. Grad Rates (ACGR)'!CS16</f>
        <v>55.4</v>
      </c>
      <c r="N22" s="196">
        <f>('NCES-Private Grads-all races'!AT16/'NCES-Total Grads-all races'!AT15)*100</f>
        <v>11.918294849023091</v>
      </c>
      <c r="O22" s="246">
        <f>('NCES-Private Grads-all races'!BD16/'NCES-Total Grads-all races'!BD15)*100</f>
        <v>9.97597250524651</v>
      </c>
      <c r="P22" s="197" t="s">
        <v>41</v>
      </c>
    </row>
    <row r="23" spans="1:26" ht="12.75" customHeight="1">
      <c r="A23" s="189" t="s">
        <v>42</v>
      </c>
      <c r="B23" s="189"/>
      <c r="C23" s="518">
        <f>+'Public H.S. Grad Rates (ACGR)'!CL17</f>
        <v>87.6</v>
      </c>
      <c r="D23" s="246">
        <f>+'Public H.S. Grad Rates (ACGR)'!BZ17</f>
        <v>86.5</v>
      </c>
      <c r="E23" s="246">
        <f>+'Public H.S. Grad Rates (ACGR)'!BN17</f>
        <v>86.3</v>
      </c>
      <c r="F23" s="470">
        <f>+'Public H.S. Grad Rates (ACGR)'!CQ17</f>
        <v>85</v>
      </c>
      <c r="G23" s="196">
        <f>+'Public H.S. Grad Rates (ACGR)'!CP17</f>
        <v>94.4</v>
      </c>
      <c r="H23" s="196">
        <f>+'Public H.S. Grad Rates (ACGR)'!CO17</f>
        <v>81.7</v>
      </c>
      <c r="I23" s="196">
        <f>+'Public H.S. Grad Rates (ACGR)'!CN17</f>
        <v>85.2</v>
      </c>
      <c r="J23" s="196">
        <f>+'Public H.S. Grad Rates (ACGR)'!CM17</f>
        <v>90.8</v>
      </c>
      <c r="K23" s="196">
        <f>+'Public H.S. Grad Rates (ACGR)'!CU17</f>
        <v>82.3</v>
      </c>
      <c r="L23" s="196">
        <f>+'Public H.S. Grad Rates (ACGR)'!CT17</f>
        <v>71.400000000000006</v>
      </c>
      <c r="M23" s="196">
        <f>+'Public H.S. Grad Rates (ACGR)'!CS17</f>
        <v>72.099999999999994</v>
      </c>
      <c r="N23" s="196">
        <f>('NCES-Private Grads-all races'!AT17/'NCES-Total Grads-all races'!AT16)*100</f>
        <v>6.3619094720514342</v>
      </c>
      <c r="O23" s="246">
        <f>('NCES-Private Grads-all races'!BD17/'NCES-Total Grads-all races'!BD16)*100</f>
        <v>6.3103387747937516</v>
      </c>
      <c r="P23" s="197" t="s">
        <v>42</v>
      </c>
    </row>
    <row r="24" spans="1:26" ht="12.75" customHeight="1">
      <c r="A24" s="189" t="s">
        <v>43</v>
      </c>
      <c r="B24" s="189"/>
      <c r="C24" s="518">
        <f>+'Public H.S. Grad Rates (ACGR)'!CL18</f>
        <v>80.8</v>
      </c>
      <c r="D24" s="246">
        <f>+'Public H.S. Grad Rates (ACGR)'!BZ18</f>
        <v>84.9</v>
      </c>
      <c r="E24" s="246">
        <f>+'Public H.S. Grad Rates (ACGR)'!BN18</f>
        <v>81.8</v>
      </c>
      <c r="F24" s="470">
        <f>+'Public H.S. Grad Rates (ACGR)'!CQ18</f>
        <v>80.3</v>
      </c>
      <c r="G24" s="196">
        <f>+'Public H.S. Grad Rates (ACGR)'!CP18</f>
        <v>83</v>
      </c>
      <c r="H24" s="196">
        <f>+'Public H.S. Grad Rates (ACGR)'!CO18</f>
        <v>76.5</v>
      </c>
      <c r="I24" s="196">
        <f>+'Public H.S. Grad Rates (ACGR)'!CN18</f>
        <v>75</v>
      </c>
      <c r="J24" s="196">
        <f>+'Public H.S. Grad Rates (ACGR)'!CM18</f>
        <v>82.8</v>
      </c>
      <c r="K24" s="196">
        <f>+'Public H.S. Grad Rates (ACGR)'!CU18</f>
        <v>87.2</v>
      </c>
      <c r="L24" s="196">
        <f>+'Public H.S. Grad Rates (ACGR)'!CT18</f>
        <v>84</v>
      </c>
      <c r="M24" s="196">
        <f>+'Public H.S. Grad Rates (ACGR)'!CS18</f>
        <v>88.1</v>
      </c>
      <c r="N24" s="196">
        <f>('NCES-Private Grads-all races'!AT18/'NCES-Total Grads-all races'!AT17)*100</f>
        <v>4.5166201471707694</v>
      </c>
      <c r="O24" s="246">
        <f>('NCES-Private Grads-all races'!BD18/'NCES-Total Grads-all races'!BD17)*100</f>
        <v>4.0821006765279204</v>
      </c>
      <c r="P24" s="197" t="s">
        <v>43</v>
      </c>
    </row>
    <row r="25" spans="1:26" ht="12.75" customHeight="1">
      <c r="A25" s="189" t="s">
        <v>44</v>
      </c>
      <c r="B25" s="189"/>
      <c r="C25" s="518">
        <f>+'Public H.S. Grad Rates (ACGR)'!CL19</f>
        <v>82.2</v>
      </c>
      <c r="D25" s="246">
        <f>+'Public H.S. Grad Rates (ACGR)'!BZ19</f>
        <v>81.099999999999994</v>
      </c>
      <c r="E25" s="246">
        <f>+'Public H.S. Grad Rates (ACGR)'!BN19</f>
        <v>81</v>
      </c>
      <c r="F25" s="470">
        <f>+'Public H.S. Grad Rates (ACGR)'!CQ19</f>
        <v>81</v>
      </c>
      <c r="G25" s="196">
        <f>+'Public H.S. Grad Rates (ACGR)'!CP19</f>
        <v>93</v>
      </c>
      <c r="H25" s="196">
        <f>+'Public H.S. Grad Rates (ACGR)'!CO19</f>
        <v>80.099999999999994</v>
      </c>
      <c r="I25" s="196">
        <f>+'Public H.S. Grad Rates (ACGR)'!CN19</f>
        <v>77.5</v>
      </c>
      <c r="J25" s="196">
        <f>+'Public H.S. Grad Rates (ACGR)'!CM19</f>
        <v>85.3</v>
      </c>
      <c r="K25" s="196">
        <f>+'Public H.S. Grad Rates (ACGR)'!CU19</f>
        <v>76.2</v>
      </c>
      <c r="L25" s="196">
        <f>+'Public H.S. Grad Rates (ACGR)'!CT19</f>
        <v>81.099999999999994</v>
      </c>
      <c r="M25" s="196">
        <f>+'Public H.S. Grad Rates (ACGR)'!CS19</f>
        <v>55.8</v>
      </c>
      <c r="N25" s="196">
        <f>('NCES-Private Grads-all races'!AT19/'NCES-Total Grads-all races'!AT18)*100</f>
        <v>8.1679369456077833</v>
      </c>
      <c r="O25" s="246">
        <f>('NCES-Private Grads-all races'!BD19/'NCES-Total Grads-all races'!BD18)*100</f>
        <v>6.0152609397916939</v>
      </c>
      <c r="P25" s="197" t="s">
        <v>44</v>
      </c>
      <c r="T25" s="251"/>
      <c r="U25" s="251"/>
      <c r="V25" s="251"/>
      <c r="W25" s="251"/>
      <c r="X25" s="251"/>
      <c r="Y25" s="1"/>
      <c r="Z25" s="1"/>
    </row>
    <row r="26" spans="1:26" ht="12.75" customHeight="1">
      <c r="A26" s="7" t="s">
        <v>45</v>
      </c>
      <c r="B26" s="7"/>
      <c r="C26" s="524">
        <f>+'Public H.S. Grad Rates (ACGR)'!CL20</f>
        <v>90.4</v>
      </c>
      <c r="D26" s="245">
        <f>+'Public H.S. Grad Rates (ACGR)'!BZ20</f>
        <v>90.5</v>
      </c>
      <c r="E26" s="245">
        <f>+'Public H.S. Grad Rates (ACGR)'!BN20</f>
        <v>90</v>
      </c>
      <c r="F26" s="384">
        <f>+'Public H.S. Grad Rates (ACGR)'!CQ20</f>
        <v>91</v>
      </c>
      <c r="G26" s="195">
        <f>+'Public H.S. Grad Rates (ACGR)'!CP20</f>
        <v>95</v>
      </c>
      <c r="H26" s="195">
        <f>+'Public H.S. Grad Rates (ACGR)'!CO20</f>
        <v>82.6</v>
      </c>
      <c r="I26" s="195">
        <f>+'Public H.S. Grad Rates (ACGR)'!CN20</f>
        <v>84.2</v>
      </c>
      <c r="J26" s="195">
        <f>+'Public H.S. Grad Rates (ACGR)'!CM20</f>
        <v>93.9</v>
      </c>
      <c r="K26" s="195">
        <f>+'Public H.S. Grad Rates (ACGR)'!C20</f>
        <v>88</v>
      </c>
      <c r="L26" s="195">
        <f>+'Public H.S. Grad Rates (ACGR)'!CT20</f>
        <v>68.8</v>
      </c>
      <c r="M26" s="195">
        <f>+'Public H.S. Grad Rates (ACGR)'!CS20</f>
        <v>74.5</v>
      </c>
      <c r="N26" s="195">
        <f>('NCES-Private Grads-all races'!AT20/'NCES-Total Grads-all races'!AT19)*100</f>
        <v>9.5292803072032228</v>
      </c>
      <c r="O26" s="245">
        <f>('NCES-Private Grads-all races'!BD20/'NCES-Total Grads-all races'!BD19)*100</f>
        <v>9.4289471475336448</v>
      </c>
      <c r="P26" s="12" t="s">
        <v>45</v>
      </c>
    </row>
    <row r="27" spans="1:26" ht="12.75" customHeight="1">
      <c r="A27" s="7" t="s">
        <v>46</v>
      </c>
      <c r="B27" s="7"/>
      <c r="C27" s="524" t="str">
        <f>+'Public H.S. Grad Rates (ACGR)'!CL21</f>
        <v>—</v>
      </c>
      <c r="D27" s="245">
        <f>+'Public H.S. Grad Rates (ACGR)'!BZ21</f>
        <v>90</v>
      </c>
      <c r="E27" s="245">
        <f>+'Public H.S. Grad Rates (ACGR)'!BN21</f>
        <v>90</v>
      </c>
      <c r="F27" s="395" t="str">
        <f>+'Public H.S. Grad Rates (ACGR)'!CQ21</f>
        <v>—</v>
      </c>
      <c r="G27" s="361" t="s">
        <v>47</v>
      </c>
      <c r="H27" s="384" t="str">
        <f>+'Public H.S. Grad Rates (ACGR)'!CO21</f>
        <v>—</v>
      </c>
      <c r="I27" s="384" t="str">
        <f>+'Public H.S. Grad Rates (ACGR)'!CN21</f>
        <v>—</v>
      </c>
      <c r="J27" s="384" t="str">
        <f>+'Public H.S. Grad Rates (ACGR)'!CM21</f>
        <v>—</v>
      </c>
      <c r="K27" s="195">
        <f>+'Public H.S. Grad Rates (ACGR)'!C21</f>
        <v>87</v>
      </c>
      <c r="L27" s="384" t="str">
        <f>+'Public H.S. Grad Rates (ACGR)'!CT21</f>
        <v>—</v>
      </c>
      <c r="M27" s="384" t="str">
        <f>+'Public H.S. Grad Rates (ACGR)'!CS21</f>
        <v>—</v>
      </c>
      <c r="N27" s="195">
        <f>('NCES-Private Grads-all races'!AT21/'NCES-Total Grads-all races'!AT20)*100</f>
        <v>4.6913216220405163</v>
      </c>
      <c r="O27" s="245">
        <f>('NCES-Private Grads-all races'!BD21/'NCES-Total Grads-all races'!BD20)*100</f>
        <v>4.8804761813623223</v>
      </c>
      <c r="P27" s="12" t="s">
        <v>46</v>
      </c>
    </row>
    <row r="28" spans="1:26" ht="12.75" customHeight="1">
      <c r="A28" s="7" t="s">
        <v>48</v>
      </c>
      <c r="B28" s="7"/>
      <c r="C28" s="524">
        <f>+'Public H.S. Grad Rates (ACGR)'!CL22</f>
        <v>88.8</v>
      </c>
      <c r="D28" s="245">
        <f>+'Public H.S. Grad Rates (ACGR)'!BZ22</f>
        <v>87.5</v>
      </c>
      <c r="E28" s="245">
        <f>+'Public H.S. Grad Rates (ACGR)'!BN22</f>
        <v>87.5</v>
      </c>
      <c r="F28" s="384">
        <f>+'Public H.S. Grad Rates (ACGR)'!CQ22</f>
        <v>88</v>
      </c>
      <c r="G28" s="195">
        <f>+'Public H.S. Grad Rates (ACGR)'!CP22</f>
        <v>95.4</v>
      </c>
      <c r="H28" s="195">
        <f>+'Public H.S. Grad Rates (ACGR)'!CO22</f>
        <v>75.400000000000006</v>
      </c>
      <c r="I28" s="195">
        <f>+'Public H.S. Grad Rates (ACGR)'!CN22</f>
        <v>86.4</v>
      </c>
      <c r="J28" s="195">
        <f>+'Public H.S. Grad Rates (ACGR)'!CM22</f>
        <v>93</v>
      </c>
      <c r="K28" s="195">
        <f>+'Public H.S. Grad Rates (ACGR)'!C22</f>
        <v>82</v>
      </c>
      <c r="L28" s="195">
        <f>+'Public H.S. Grad Rates (ACGR)'!CT22</f>
        <v>63.4</v>
      </c>
      <c r="M28" s="195">
        <f>+'Public H.S. Grad Rates (ACGR)'!CS22</f>
        <v>67.5</v>
      </c>
      <c r="N28" s="195">
        <f>('NCES-Private Grads-all races'!AT22/'NCES-Total Grads-all races'!AT21)*100</f>
        <v>7.9805896835119352</v>
      </c>
      <c r="O28" s="245">
        <f>('NCES-Private Grads-all races'!BD22/'NCES-Total Grads-all races'!BD21)*100</f>
        <v>8.0378644926554141</v>
      </c>
      <c r="P28" s="12" t="s">
        <v>48</v>
      </c>
    </row>
    <row r="29" spans="1:26" ht="12.75" customHeight="1">
      <c r="A29" s="7" t="s">
        <v>49</v>
      </c>
      <c r="B29" s="7"/>
      <c r="C29" s="524">
        <f>+'Public H.S. Grad Rates (ACGR)'!CL23</f>
        <v>92.1</v>
      </c>
      <c r="D29" s="245">
        <f>+'Public H.S. Grad Rates (ACGR)'!BZ23</f>
        <v>91.3</v>
      </c>
      <c r="E29" s="245">
        <f>+'Public H.S. Grad Rates (ACGR)'!BN23</f>
        <v>90.2</v>
      </c>
      <c r="F29" s="423" t="str">
        <f>+'Public H.S. Grad Rates (ACGR)'!CQ23</f>
        <v>≥80</v>
      </c>
      <c r="G29" s="384" t="str">
        <f>+'Public H.S. Grad Rates (ACGR)'!CP23</f>
        <v>≥95</v>
      </c>
      <c r="H29" s="195">
        <f>+'Public H.S. Grad Rates (ACGR)'!CO23</f>
        <v>93</v>
      </c>
      <c r="I29" s="195">
        <f>+'Public H.S. Grad Rates (ACGR)'!CN23</f>
        <v>86</v>
      </c>
      <c r="J29" s="195">
        <f>+'Public H.S. Grad Rates (ACGR)'!CM23</f>
        <v>92.4</v>
      </c>
      <c r="K29" s="195">
        <f>+'Public H.S. Grad Rates (ACGR)'!CU23</f>
        <v>87.1</v>
      </c>
      <c r="L29" s="384" t="str">
        <f>+'Public H.S. Grad Rates (ACGR)'!CT23</f>
        <v>≥95</v>
      </c>
      <c r="M29" s="195">
        <f>+'Public H.S. Grad Rates (ACGR)'!CS23</f>
        <v>84</v>
      </c>
      <c r="N29" s="195">
        <f>('NCES-Private Grads-all races'!AT23/'NCES-Total Grads-all races'!AT22)*100</f>
        <v>3.6896304862602562</v>
      </c>
      <c r="O29" s="244">
        <f>('NCES-Private Grads-all races'!BD23/'NCES-Total Grads-all races'!BD22)*100</f>
        <v>4.514435695538058</v>
      </c>
      <c r="P29" s="12" t="s">
        <v>49</v>
      </c>
    </row>
    <row r="30" spans="1:26" ht="12.75" customHeight="1">
      <c r="A30" s="190" t="s">
        <v>50</v>
      </c>
      <c r="B30" s="190"/>
      <c r="C30" s="525">
        <f>+'Public H.S. Grad Rates (ACGR)'!CL24</f>
        <v>82.6</v>
      </c>
      <c r="D30" s="417">
        <f>+'Public H.S. Grad Rates (ACGR)'!BZ24</f>
        <v>81.099999999999994</v>
      </c>
      <c r="E30" s="417">
        <f>+'Public H.S. Grad Rates (ACGR)'!BN24</f>
        <v>81.7</v>
      </c>
      <c r="F30" s="384">
        <f>+'Public H.S. Grad Rates (ACGR)'!CQ24</f>
        <v>68</v>
      </c>
      <c r="G30" s="418">
        <f>+'Public H.S. Grad Rates (ACGR)'!CP24</f>
        <v>89.4</v>
      </c>
      <c r="H30" s="418">
        <f>+'Public H.S. Grad Rates (ACGR)'!CO24</f>
        <v>78</v>
      </c>
      <c r="I30" s="418">
        <f>+'Public H.S. Grad Rates (ACGR)'!CN24</f>
        <v>76</v>
      </c>
      <c r="J30" s="418">
        <f>+'Public H.S. Grad Rates (ACGR)'!CM24</f>
        <v>84.8</v>
      </c>
      <c r="K30" s="418">
        <f>+'Public H.S. Grad Rates (ACGR)'!CU24</f>
        <v>75</v>
      </c>
      <c r="L30" s="418">
        <f>+'Public H.S. Grad Rates (ACGR)'!CT24</f>
        <v>69.099999999999994</v>
      </c>
      <c r="M30" s="418">
        <f>+'Public H.S. Grad Rates (ACGR)'!CS24</f>
        <v>66</v>
      </c>
      <c r="N30" s="418">
        <f>('NCES-Private Grads-all races'!AT24/'NCES-Total Grads-all races'!AT23)*100</f>
        <v>7.4364174340902283</v>
      </c>
      <c r="O30" s="417">
        <f>('NCES-Private Grads-all races'!BD24/'NCES-Total Grads-all races'!BD23)*100</f>
        <v>7.4882416736439295</v>
      </c>
      <c r="P30" s="198" t="s">
        <v>50</v>
      </c>
    </row>
    <row r="31" spans="1:26" ht="12.75" customHeight="1">
      <c r="A31" s="7"/>
      <c r="B31" s="7"/>
      <c r="C31" s="524"/>
      <c r="D31" s="245"/>
      <c r="E31" s="245"/>
      <c r="F31" s="469"/>
      <c r="G31" s="195"/>
      <c r="H31" s="195"/>
      <c r="I31" s="195"/>
      <c r="J31" s="195"/>
      <c r="K31" s="195"/>
      <c r="L31" s="195"/>
      <c r="M31" s="195"/>
      <c r="N31" s="195"/>
      <c r="O31" s="245"/>
      <c r="P31" s="12"/>
    </row>
    <row r="32" spans="1:26" ht="12.6">
      <c r="A32" s="189" t="s">
        <v>51</v>
      </c>
      <c r="B32" s="189"/>
      <c r="C32" s="518">
        <f>+'Public H.S. Grad Rates (ACGR)'!CL26</f>
        <v>79.099999999999994</v>
      </c>
      <c r="D32" s="246">
        <f>+'Public H.S. Grad Rates (ACGR)'!BZ26</f>
        <v>80.400000000000006</v>
      </c>
      <c r="E32" s="246">
        <f>+'Public H.S. Grad Rates (ACGR)'!BN26</f>
        <v>78.5</v>
      </c>
      <c r="F32" s="470">
        <f>+'Public H.S. Grad Rates (ACGR)'!CQ26</f>
        <v>68</v>
      </c>
      <c r="G32" s="196">
        <f>+'Public H.S. Grad Rates (ACGR)'!CP26</f>
        <v>87</v>
      </c>
      <c r="H32" s="196">
        <f>+'Public H.S. Grad Rates (ACGR)'!CO26</f>
        <v>77</v>
      </c>
      <c r="I32" s="196">
        <f>+'Public H.S. Grad Rates (ACGR)'!CN26</f>
        <v>74</v>
      </c>
      <c r="J32" s="196">
        <f>+'Public H.S. Grad Rates (ACGR)'!CM26</f>
        <v>84.4</v>
      </c>
      <c r="K32" s="196">
        <f>+'Public H.S. Grad Rates (ACGR)'!CU26</f>
        <v>72.3</v>
      </c>
      <c r="L32" s="196">
        <f>+'Public H.S. Grad Rates (ACGR)'!CT26</f>
        <v>68</v>
      </c>
      <c r="M32" s="196">
        <f>+'Public H.S. Grad Rates (ACGR)'!CW26</f>
        <v>54</v>
      </c>
      <c r="N32" s="196">
        <f>('NCES-Private Grads-all races'!AT26/'NCES-Total Grads-all races'!AT25)*100</f>
        <v>2.4223602484472049</v>
      </c>
      <c r="O32" s="518">
        <f>('NCES-Private Grads-all races'!BD26/'NCES-Total Grads-all races'!BD25)*100</f>
        <v>1.6296123850541264</v>
      </c>
      <c r="P32" s="197" t="s">
        <v>51</v>
      </c>
    </row>
    <row r="33" spans="1:17" ht="12.6">
      <c r="A33" s="189" t="s">
        <v>52</v>
      </c>
      <c r="B33" s="189"/>
      <c r="C33" s="518">
        <f>+'Public H.S. Grad Rates (ACGR)'!CL27</f>
        <v>77.3</v>
      </c>
      <c r="D33" s="246">
        <f>+'Public H.S. Grad Rates (ACGR)'!BZ27</f>
        <v>77.8</v>
      </c>
      <c r="E33" s="246">
        <f>+'Public H.S. Grad Rates (ACGR)'!BN27</f>
        <v>78.7</v>
      </c>
      <c r="F33" s="470">
        <f>+'Public H.S. Grad Rates (ACGR)'!CQ27</f>
        <v>63.9</v>
      </c>
      <c r="G33" s="196">
        <f>+'Public H.S. Grad Rates (ACGR)'!CP27</f>
        <v>91</v>
      </c>
      <c r="H33" s="196">
        <f>+'Public H.S. Grad Rates (ACGR)'!CO27</f>
        <v>74</v>
      </c>
      <c r="I33" s="196">
        <f>+'Public H.S. Grad Rates (ACGR)'!CN27</f>
        <v>71.7</v>
      </c>
      <c r="J33" s="196">
        <f>+'Public H.S. Grad Rates (ACGR)'!CM27</f>
        <v>83</v>
      </c>
      <c r="K33" s="196">
        <f>+'Public H.S. Grad Rates (ACGR)'!CU27</f>
        <v>73.599999999999994</v>
      </c>
      <c r="L33" s="196">
        <f>+'Public H.S. Grad Rates (ACGR)'!CT27</f>
        <v>55.2</v>
      </c>
      <c r="M33" s="196">
        <f>+'Public H.S. Grad Rates (ACGR)'!CW27</f>
        <v>45</v>
      </c>
      <c r="N33" s="196">
        <f>('NCES-Private Grads-all races'!AT27/'NCES-Total Grads-all races'!AT26)*100</f>
        <v>4.1574710142675082</v>
      </c>
      <c r="O33" s="518">
        <f>('NCES-Private Grads-all races'!BD27/'NCES-Total Grads-all races'!BD26)*100</f>
        <v>5.1738355544915278</v>
      </c>
      <c r="P33" s="197" t="s">
        <v>52</v>
      </c>
    </row>
    <row r="34" spans="1:17" ht="12.6">
      <c r="A34" s="189" t="s">
        <v>53</v>
      </c>
      <c r="B34" s="189"/>
      <c r="C34" s="518">
        <f>+'Public H.S. Grad Rates (ACGR)'!CL28</f>
        <v>84.3</v>
      </c>
      <c r="D34" s="246">
        <f>+'Public H.S. Grad Rates (ACGR)'!BZ28</f>
        <v>84.5</v>
      </c>
      <c r="E34" s="246">
        <f>+'Public H.S. Grad Rates (ACGR)'!BN28</f>
        <v>83</v>
      </c>
      <c r="F34" s="470">
        <f>+'Public H.S. Grad Rates (ACGR)'!CQ28</f>
        <v>76</v>
      </c>
      <c r="G34" s="196">
        <f>+'Public H.S. Grad Rates (ACGR)'!CP28</f>
        <v>92.2</v>
      </c>
      <c r="H34" s="196">
        <f>+'Public H.S. Grad Rates (ACGR)'!CO28</f>
        <v>82.2</v>
      </c>
      <c r="I34" s="196">
        <f>+'Public H.S. Grad Rates (ACGR)'!CN28</f>
        <v>76.900000000000006</v>
      </c>
      <c r="J34" s="196">
        <f>+'Public H.S. Grad Rates (ACGR)'!CM28</f>
        <v>87.9</v>
      </c>
      <c r="K34" s="196">
        <f>+'Public H.S. Grad Rates (ACGR)'!CU28</f>
        <v>81.2</v>
      </c>
      <c r="L34" s="196">
        <f>+'Public H.S. Grad Rates (ACGR)'!CT28</f>
        <v>69.099999999999994</v>
      </c>
      <c r="M34" s="196">
        <f>+'Public H.S. Grad Rates (ACGR)'!CW28</f>
        <v>58.2</v>
      </c>
      <c r="N34" s="196">
        <f>('NCES-Private Grads-all races'!AT28/'NCES-Total Grads-all races'!AT27)*100</f>
        <v>8.5602476405306298</v>
      </c>
      <c r="O34" s="518">
        <f>('NCES-Private Grads-all races'!BD28/'NCES-Total Grads-all races'!BD27)*100</f>
        <v>8.9241046314421588</v>
      </c>
      <c r="P34" s="197" t="s">
        <v>53</v>
      </c>
    </row>
    <row r="35" spans="1:17" ht="12.6">
      <c r="A35" s="189" t="s">
        <v>54</v>
      </c>
      <c r="B35" s="189"/>
      <c r="C35" s="518">
        <f>+'Public H.S. Grad Rates (ACGR)'!CL29</f>
        <v>81.900000000000006</v>
      </c>
      <c r="D35" s="246">
        <f>+'Public H.S. Grad Rates (ACGR)'!BZ29</f>
        <v>81.099999999999994</v>
      </c>
      <c r="E35" s="246">
        <f>+'Public H.S. Grad Rates (ACGR)'!BN29</f>
        <v>80.8</v>
      </c>
      <c r="F35" s="470">
        <f>+'Public H.S. Grad Rates (ACGR)'!CQ29</f>
        <v>67</v>
      </c>
      <c r="G35" s="196">
        <f>+'Public H.S. Grad Rates (ACGR)'!CP29</f>
        <v>90</v>
      </c>
      <c r="H35" s="196">
        <f>+'Public H.S. Grad Rates (ACGR)'!CO29</f>
        <v>75.400000000000006</v>
      </c>
      <c r="I35" s="196">
        <f>+'Public H.S. Grad Rates (ACGR)'!CN29</f>
        <v>76.599999999999994</v>
      </c>
      <c r="J35" s="196">
        <f>+'Public H.S. Grad Rates (ACGR)'!CM29</f>
        <v>86.1</v>
      </c>
      <c r="K35" s="196">
        <f>+'Public H.S. Grad Rates (ACGR)'!CU29</f>
        <v>72.3</v>
      </c>
      <c r="L35" s="196">
        <f>+'Public H.S. Grad Rates (ACGR)'!CT29</f>
        <v>70.2</v>
      </c>
      <c r="M35" s="196">
        <f>+'Public H.S. Grad Rates (ACGR)'!CW29</f>
        <v>31</v>
      </c>
      <c r="N35" s="196">
        <f>('NCES-Private Grads-all races'!AT29/'NCES-Total Grads-all races'!AT28)*100</f>
        <v>5.4960830154628599</v>
      </c>
      <c r="O35" s="518">
        <f>('NCES-Private Grads-all races'!BD29/'NCES-Total Grads-all races'!BD28)*100</f>
        <v>4.9746342904989405</v>
      </c>
      <c r="P35" s="197" t="s">
        <v>54</v>
      </c>
    </row>
    <row r="36" spans="1:17" ht="12.6">
      <c r="A36" s="7" t="s">
        <v>55</v>
      </c>
      <c r="B36" s="7"/>
      <c r="C36" s="524">
        <f>+'Public H.S. Grad Rates (ACGR)'!CL30</f>
        <v>86.3</v>
      </c>
      <c r="D36" s="245">
        <f>+'Public H.S. Grad Rates (ACGR)'!BZ30</f>
        <v>85.2</v>
      </c>
      <c r="E36" s="245">
        <f>+'Public H.S. Grad Rates (ACGR)'!BN30</f>
        <v>84.5</v>
      </c>
      <c r="F36" s="384" t="str">
        <f>+'Public H.S. Grad Rates (ACGR)'!CQ30</f>
        <v>†</v>
      </c>
      <c r="G36" s="195">
        <f>+'Public H.S. Grad Rates (ACGR)'!CP30</f>
        <v>86.6</v>
      </c>
      <c r="H36" s="195">
        <f>+'Public H.S. Grad Rates (ACGR)'!CO30</f>
        <v>81</v>
      </c>
      <c r="I36" s="195">
        <f>+'Public H.S. Grad Rates (ACGR)'!CN30</f>
        <v>84</v>
      </c>
      <c r="J36" s="195">
        <f>+'Public H.S. Grad Rates (ACGR)'!CM30</f>
        <v>86</v>
      </c>
      <c r="K36" s="195">
        <f>+'Public H.S. Grad Rates (ACGR)'!CU30</f>
        <v>81.599999999999994</v>
      </c>
      <c r="L36" s="195">
        <f>+'Public H.S. Grad Rates (ACGR)'!CT30</f>
        <v>71</v>
      </c>
      <c r="M36" s="195">
        <f>+'Public H.S. Grad Rates (ACGR)'!CS30</f>
        <v>65</v>
      </c>
      <c r="N36" s="195">
        <f>('NCES-Private Grads-all races'!AT30/'NCES-Total Grads-all races'!AT29)*100</f>
        <v>17.859668977224501</v>
      </c>
      <c r="O36" s="245">
        <f>('NCES-Private Grads-all races'!BD30/'NCES-Total Grads-all races'!BD29)*100</f>
        <v>23.997326203208555</v>
      </c>
      <c r="P36" s="12" t="s">
        <v>55</v>
      </c>
    </row>
    <row r="37" spans="1:17" ht="12.6">
      <c r="A37" s="7" t="s">
        <v>56</v>
      </c>
      <c r="B37" s="7"/>
      <c r="C37" s="524">
        <f>+'Public H.S. Grad Rates (ACGR)'!CL31</f>
        <v>82.2</v>
      </c>
      <c r="D37" s="245">
        <f>+'Public H.S. Grad Rates (ACGR)'!BZ31</f>
        <v>80.8</v>
      </c>
      <c r="E37" s="245">
        <f>+'Public H.S. Grad Rates (ACGR)'!BN31</f>
        <v>80.7</v>
      </c>
      <c r="F37" s="384">
        <f>+'Public H.S. Grad Rates (ACGR)'!CQ31</f>
        <v>65</v>
      </c>
      <c r="G37" s="195">
        <f>+'Public H.S. Grad Rates (ACGR)'!CP31</f>
        <v>87</v>
      </c>
      <c r="H37" s="195">
        <f>+'Public H.S. Grad Rates (ACGR)'!CO31</f>
        <v>75.7</v>
      </c>
      <c r="I37" s="195">
        <f>+'Public H.S. Grad Rates (ACGR)'!CN31</f>
        <v>69</v>
      </c>
      <c r="J37" s="195">
        <f>+'Public H.S. Grad Rates (ACGR)'!CM31</f>
        <v>84.2</v>
      </c>
      <c r="K37" s="195">
        <f>+'Public H.S. Grad Rates (ACGR)'!CU31</f>
        <v>73.8</v>
      </c>
      <c r="L37" s="195">
        <f>+'Public H.S. Grad Rates (ACGR)'!CT31</f>
        <v>65</v>
      </c>
      <c r="M37" s="195">
        <f>+'Public H.S. Grad Rates (ACGR)'!CS31</f>
        <v>59</v>
      </c>
      <c r="N37" s="195">
        <f>('NCES-Private Grads-all races'!AT31/'NCES-Total Grads-all races'!AT30)*100</f>
        <v>4.220385037867838</v>
      </c>
      <c r="O37" s="245">
        <f>('NCES-Private Grads-all races'!BD31/'NCES-Total Grads-all races'!BD30)*100</f>
        <v>4.0863108586236114</v>
      </c>
      <c r="P37" s="12" t="s">
        <v>56</v>
      </c>
    </row>
    <row r="38" spans="1:17" ht="12.6">
      <c r="A38" s="7" t="s">
        <v>57</v>
      </c>
      <c r="B38" s="7"/>
      <c r="C38" s="524">
        <f>+'Public H.S. Grad Rates (ACGR)'!CL32</f>
        <v>85.9</v>
      </c>
      <c r="D38" s="245">
        <f>+'Public H.S. Grad Rates (ACGR)'!BZ32</f>
        <v>86.6</v>
      </c>
      <c r="E38" s="245">
        <f>+'Public H.S. Grad Rates (ACGR)'!BN32</f>
        <v>86.4</v>
      </c>
      <c r="F38" s="384">
        <f>+'Public H.S. Grad Rates (ACGR)'!CQ32</f>
        <v>68</v>
      </c>
      <c r="G38" s="195">
        <f>+'Public H.S. Grad Rates (ACGR)'!CP32</f>
        <v>92</v>
      </c>
      <c r="H38" s="195">
        <f>+'Public H.S. Grad Rates (ACGR)'!CO32</f>
        <v>82</v>
      </c>
      <c r="I38" s="195">
        <f>+'Public H.S. Grad Rates (ACGR)'!CN32</f>
        <v>77</v>
      </c>
      <c r="J38" s="195">
        <f>+'Public H.S. Grad Rates (ACGR)'!CM32</f>
        <v>88.7</v>
      </c>
      <c r="K38" s="195">
        <f>+'Public H.S. Grad Rates (ACGR)'!CU32</f>
        <v>75</v>
      </c>
      <c r="L38" s="195">
        <f>+'Public H.S. Grad Rates (ACGR)'!CT32</f>
        <v>75</v>
      </c>
      <c r="M38" s="195">
        <f>+'Public H.S. Grad Rates (ACGR)'!CS32</f>
        <v>75</v>
      </c>
      <c r="N38" s="195">
        <f>('NCES-Private Grads-all races'!AT32/'NCES-Total Grads-all races'!AT31)*100</f>
        <v>9.0543259557344058</v>
      </c>
      <c r="O38" s="245">
        <f>('NCES-Private Grads-all races'!BD32/'NCES-Total Grads-all races'!BD31)*100</f>
        <v>6.2467997951868925</v>
      </c>
      <c r="P38" s="12" t="s">
        <v>57</v>
      </c>
    </row>
    <row r="39" spans="1:17" ht="12.6">
      <c r="A39" s="7" t="s">
        <v>58</v>
      </c>
      <c r="B39" s="7"/>
      <c r="C39" s="524">
        <f>+'Public H.S. Grad Rates (ACGR)'!CL33</f>
        <v>82.6</v>
      </c>
      <c r="D39" s="245">
        <f>+'Public H.S. Grad Rates (ACGR)'!BZ33</f>
        <v>84.1</v>
      </c>
      <c r="E39" s="245">
        <f>+'Public H.S. Grad Rates (ACGR)'!BN33</f>
        <v>83.2</v>
      </c>
      <c r="F39" s="384">
        <f>+'Public H.S. Grad Rates (ACGR)'!CQ33</f>
        <v>74</v>
      </c>
      <c r="G39" s="195">
        <f>+'Public H.S. Grad Rates (ACGR)'!CP33</f>
        <v>91.8</v>
      </c>
      <c r="H39" s="195">
        <f>+'Public H.S. Grad Rates (ACGR)'!CO33</f>
        <v>81.3</v>
      </c>
      <c r="I39" s="195">
        <f>+'Public H.S. Grad Rates (ACGR)'!CN33</f>
        <v>69.5</v>
      </c>
      <c r="J39" s="195">
        <f>+'Public H.S. Grad Rates (ACGR)'!CM33</f>
        <v>86.4</v>
      </c>
      <c r="K39" s="195">
        <f>+'Public H.S. Grad Rates (ACGR)'!CU33</f>
        <v>79.099999999999994</v>
      </c>
      <c r="L39" s="195">
        <f>+'Public H.S. Grad Rates (ACGR)'!CT33</f>
        <v>75.3</v>
      </c>
      <c r="M39" s="195">
        <f>+'Public H.S. Grad Rates (ACGR)'!CS33</f>
        <v>66</v>
      </c>
      <c r="N39" s="195">
        <f>('NCES-Private Grads-all races'!AT33/'NCES-Total Grads-all races'!AT32)*100</f>
        <v>3.8825031928480205</v>
      </c>
      <c r="O39" s="245">
        <f>('NCES-Private Grads-all races'!BD33/'NCES-Total Grads-all races'!BD32)*100</f>
        <v>4.5424224135192652</v>
      </c>
      <c r="P39" s="12" t="s">
        <v>58</v>
      </c>
    </row>
    <row r="40" spans="1:17" ht="12.6">
      <c r="A40" s="189" t="s">
        <v>59</v>
      </c>
      <c r="B40" s="189"/>
      <c r="C40" s="518">
        <f>+'Public H.S. Grad Rates (ACGR)'!CL34</f>
        <v>76.900000000000006</v>
      </c>
      <c r="D40" s="246">
        <f>+'Public H.S. Grad Rates (ACGR)'!BZ34</f>
        <v>75.099999999999994</v>
      </c>
      <c r="E40" s="246">
        <f>+'Public H.S. Grad Rates (ACGR)'!BN34</f>
        <v>73.900000000000006</v>
      </c>
      <c r="F40" s="470">
        <f>+'Public H.S. Grad Rates (ACGR)'!CQ34</f>
        <v>72</v>
      </c>
      <c r="G40" s="196">
        <f>+'Public H.S. Grad Rates (ACGR)'!CP34</f>
        <v>87</v>
      </c>
      <c r="H40" s="196">
        <f>+'Public H.S. Grad Rates (ACGR)'!CO34</f>
        <v>76.099999999999994</v>
      </c>
      <c r="I40" s="196">
        <f>+'Public H.S. Grad Rates (ACGR)'!CN34</f>
        <v>74</v>
      </c>
      <c r="J40" s="196">
        <f>+'Public H.S. Grad Rates (ACGR)'!CM34</f>
        <v>80.8</v>
      </c>
      <c r="K40" s="196">
        <f>+'Public H.S. Grad Rates (ACGR)'!CU34</f>
        <v>71.8</v>
      </c>
      <c r="L40" s="196">
        <f>+'Public H.S. Grad Rates (ACGR)'!CT34</f>
        <v>75.8</v>
      </c>
      <c r="M40" s="196">
        <f>+'Public H.S. Grad Rates (ACGR)'!CS34</f>
        <v>66.400000000000006</v>
      </c>
      <c r="N40" s="196">
        <f>('NCES-Private Grads-all races'!AT34/'NCES-Total Grads-all races'!AT33)*100</f>
        <v>7.3316758841138574</v>
      </c>
      <c r="O40" s="246">
        <f>('NCES-Private Grads-all races'!BD34/'NCES-Total Grads-all races'!BD33)*100</f>
        <v>5.0842799560278493</v>
      </c>
      <c r="P40" s="197" t="s">
        <v>59</v>
      </c>
    </row>
    <row r="41" spans="1:17" ht="12.6">
      <c r="A41" s="189" t="s">
        <v>60</v>
      </c>
      <c r="B41" s="189"/>
      <c r="C41" s="518">
        <f>+'Public H.S. Grad Rates (ACGR)'!CL35</f>
        <v>82.6</v>
      </c>
      <c r="D41" s="246">
        <f>+'Public H.S. Grad Rates (ACGR)'!BZ35</f>
        <v>80</v>
      </c>
      <c r="E41" s="246">
        <f>+'Public H.S. Grad Rates (ACGR)'!BN35</f>
        <v>78.7</v>
      </c>
      <c r="F41" s="470">
        <f>+'Public H.S. Grad Rates (ACGR)'!CQ35</f>
        <v>67</v>
      </c>
      <c r="G41" s="196">
        <f>+'Public H.S. Grad Rates (ACGR)'!CP35</f>
        <v>90</v>
      </c>
      <c r="H41" s="196">
        <f>+'Public H.S. Grad Rates (ACGR)'!CO35</f>
        <v>79.5</v>
      </c>
      <c r="I41" s="196">
        <f>+'Public H.S. Grad Rates (ACGR)'!CN35</f>
        <v>76</v>
      </c>
      <c r="J41" s="196">
        <f>+'Public H.S. Grad Rates (ACGR)'!CM35</f>
        <v>84</v>
      </c>
      <c r="K41" s="196">
        <f>+'Public H.S. Grad Rates (ACGR)'!CU35</f>
        <v>77.599999999999994</v>
      </c>
      <c r="L41" s="196">
        <f>+'Public H.S. Grad Rates (ACGR)'!CT35</f>
        <v>65</v>
      </c>
      <c r="M41" s="196">
        <f>+'Public H.S. Grad Rates (ACGR)'!CS35</f>
        <v>68</v>
      </c>
      <c r="N41" s="196">
        <f>('NCES-Private Grads-all races'!AT35/'NCES-Total Grads-all races'!AT34)*100</f>
        <v>7.8446366417044615</v>
      </c>
      <c r="O41" s="246">
        <f>('NCES-Private Grads-all races'!BD35/'NCES-Total Grads-all races'!BD34)*100</f>
        <v>7.6095070676908998</v>
      </c>
      <c r="P41" s="197" t="s">
        <v>60</v>
      </c>
      <c r="Q41" s="46"/>
    </row>
    <row r="42" spans="1:17" ht="12.6">
      <c r="A42" s="189" t="s">
        <v>61</v>
      </c>
      <c r="B42" s="189"/>
      <c r="C42" s="518">
        <f>+'Public H.S. Grad Rates (ACGR)'!CL36</f>
        <v>88.2</v>
      </c>
      <c r="D42" s="246">
        <f>+'Public H.S. Grad Rates (ACGR)'!BZ36</f>
        <v>87.4</v>
      </c>
      <c r="E42" s="246">
        <f>+'Public H.S. Grad Rates (ACGR)'!BN36</f>
        <v>87</v>
      </c>
      <c r="F42" s="470">
        <f>+'Public H.S. Grad Rates (ACGR)'!CQ36</f>
        <v>73</v>
      </c>
      <c r="G42" s="196">
        <f>+'Public H.S. Grad Rates (ACGR)'!CP36</f>
        <v>87</v>
      </c>
      <c r="H42" s="196">
        <f>+'Public H.S. Grad Rates (ACGR)'!CO36</f>
        <v>80.2</v>
      </c>
      <c r="I42" s="196">
        <f>+'Public H.S. Grad Rates (ACGR)'!CN36</f>
        <v>79</v>
      </c>
      <c r="J42" s="196">
        <f>+'Public H.S. Grad Rates (ACGR)'!CM36</f>
        <v>90.7</v>
      </c>
      <c r="K42" s="196">
        <f>+'Public H.S. Grad Rates (ACGR)'!CU36</f>
        <v>78.400000000000006</v>
      </c>
      <c r="L42" s="196">
        <f>+'Public H.S. Grad Rates (ACGR)'!CT36</f>
        <v>73</v>
      </c>
      <c r="M42" s="196">
        <f>+'Public H.S. Grad Rates (ACGR)'!CS36</f>
        <v>73.3</v>
      </c>
      <c r="N42" s="196">
        <f>('NCES-Private Grads-all races'!AT36/'NCES-Total Grads-all races'!AT35)*100</f>
        <v>4.444142891067612</v>
      </c>
      <c r="O42" s="246">
        <f>('NCES-Private Grads-all races'!BD36/'NCES-Total Grads-all races'!BD35)*100</f>
        <v>3.9097536855178125</v>
      </c>
      <c r="P42" s="197" t="s">
        <v>61</v>
      </c>
      <c r="Q42" s="46"/>
    </row>
    <row r="43" spans="1:17" ht="12.6">
      <c r="A43" s="189" t="s">
        <v>62</v>
      </c>
      <c r="B43" s="189"/>
      <c r="C43" s="518">
        <f>+'Public H.S. Grad Rates (ACGR)'!CL37</f>
        <v>83</v>
      </c>
      <c r="D43" s="246">
        <f>+'Public H.S. Grad Rates (ACGR)'!BZ37</f>
        <v>81.099999999999994</v>
      </c>
      <c r="E43" s="246">
        <f>+'Public H.S. Grad Rates (ACGR)'!BN37</f>
        <v>86.7</v>
      </c>
      <c r="F43" s="470">
        <f>+'Public H.S. Grad Rates (ACGR)'!CQ37</f>
        <v>70</v>
      </c>
      <c r="G43" s="196">
        <f>+'Public H.S. Grad Rates (ACGR)'!CP37</f>
        <v>89.4</v>
      </c>
      <c r="H43" s="196">
        <f>+'Public H.S. Grad Rates (ACGR)'!CO37</f>
        <v>77.8</v>
      </c>
      <c r="I43" s="196">
        <f>+'Public H.S. Grad Rates (ACGR)'!CN37</f>
        <v>76.400000000000006</v>
      </c>
      <c r="J43" s="196">
        <f>+'Public H.S. Grad Rates (ACGR)'!CM37</f>
        <v>84.8</v>
      </c>
      <c r="K43" s="196">
        <f>+'Public H.S. Grad Rates (ACGR)'!CU37</f>
        <v>75.2</v>
      </c>
      <c r="L43" s="196">
        <f>+'Public H.S. Grad Rates (ACGR)'!CT37</f>
        <v>68.5</v>
      </c>
      <c r="M43" s="196">
        <f>+'Public H.S. Grad Rates (ACGR)'!CS37</f>
        <v>64.5</v>
      </c>
      <c r="N43" s="196">
        <f>('NCES-Private Grads-all races'!AT37/'NCES-Total Grads-all races'!AT36)*100</f>
        <v>6.8193845921221738</v>
      </c>
      <c r="O43" s="246">
        <f>('NCES-Private Grads-all races'!BD37/'NCES-Total Grads-all races'!BD36)*100</f>
        <v>5.4981896204908143</v>
      </c>
      <c r="P43" s="197" t="s">
        <v>62</v>
      </c>
      <c r="Q43" s="46"/>
    </row>
    <row r="44" spans="1:17" ht="12.6">
      <c r="A44" s="189" t="s">
        <v>63</v>
      </c>
      <c r="B44" s="189"/>
      <c r="C44" s="518">
        <f>+'Public H.S. Grad Rates (ACGR)'!CL38</f>
        <v>82.3</v>
      </c>
      <c r="D44" s="246">
        <f>+'Public H.S. Grad Rates (ACGR)'!BZ38</f>
        <v>82.1</v>
      </c>
      <c r="E44" s="246">
        <f>+'Public H.S. Grad Rates (ACGR)'!BN38</f>
        <v>81.7</v>
      </c>
      <c r="F44" s="483">
        <f>+'Public H.S. Grad Rates (ACGR)'!CQ38</f>
        <v>62</v>
      </c>
      <c r="G44" s="196">
        <f>+'Public H.S. Grad Rates (ACGR)'!CP38</f>
        <v>86</v>
      </c>
      <c r="H44" s="196">
        <f>+'Public H.S. Grad Rates (ACGR)'!CO38</f>
        <v>78</v>
      </c>
      <c r="I44" s="196">
        <f>+'Public H.S. Grad Rates (ACGR)'!CN38</f>
        <v>66</v>
      </c>
      <c r="J44" s="196">
        <f>+'Public H.S. Grad Rates (ACGR)'!CM38</f>
        <v>84.1</v>
      </c>
      <c r="K44" s="196">
        <f>+'Public H.S. Grad Rates (ACGR)'!CU38</f>
        <v>71.599999999999994</v>
      </c>
      <c r="L44" s="196">
        <f>+'Public H.S. Grad Rates (ACGR)'!CT38</f>
        <v>60</v>
      </c>
      <c r="M44" s="196">
        <f>+'Public H.S. Grad Rates (ACGR)'!CS38</f>
        <v>63</v>
      </c>
      <c r="N44" s="196">
        <f>('NCES-Private Grads-all races'!AT38/'NCES-Total Grads-all races'!AT37)*100</f>
        <v>0.27228172082047558</v>
      </c>
      <c r="O44" s="246">
        <f>('NCES-Private Grads-all races'!BD38/'NCES-Total Grads-all races'!BD37)*100</f>
        <v>1.05318588730911</v>
      </c>
      <c r="P44" s="197" t="s">
        <v>63</v>
      </c>
      <c r="Q44" s="46"/>
    </row>
    <row r="45" spans="1:17" ht="12.6">
      <c r="A45" s="190" t="s">
        <v>64</v>
      </c>
      <c r="B45" s="190"/>
      <c r="C45" s="525">
        <f>+'Public H.S. Grad Rates (ACGR)'!CL39</f>
        <v>88.2</v>
      </c>
      <c r="D45" s="417">
        <f>+'Public H.S. Grad Rates (ACGR)'!BZ39</f>
        <v>87.2</v>
      </c>
      <c r="E45" s="417">
        <f>+'Public H.S. Grad Rates (ACGR)'!BN39</f>
        <v>87.65</v>
      </c>
      <c r="F45" s="384">
        <f>+'Public H.S. Grad Rates (ACGR)'!CQ39</f>
        <v>78</v>
      </c>
      <c r="G45" s="418">
        <f>+'Public H.S. Grad Rates (ACGR)'!CP39</f>
        <v>92</v>
      </c>
      <c r="H45" s="418">
        <f>+'Public H.S. Grad Rates (ACGR)'!CO39</f>
        <v>78</v>
      </c>
      <c r="I45" s="418">
        <f>+'Public H.S. Grad Rates (ACGR)'!CN39</f>
        <v>78.8</v>
      </c>
      <c r="J45" s="418">
        <f>+'Public H.S. Grad Rates (ACGR)'!CM39</f>
        <v>92.2</v>
      </c>
      <c r="K45" s="418">
        <f>+'Public H.S. Grad Rates (ACGR)'!CU39</f>
        <v>79.7</v>
      </c>
      <c r="L45" s="418">
        <f>+'Public H.S. Grad Rates (ACGR)'!CT39</f>
        <v>73.7</v>
      </c>
      <c r="M45" s="418">
        <f>+'Public H.S. Grad Rates (ACGR)'!CS39</f>
        <v>69.7</v>
      </c>
      <c r="N45" s="418">
        <f>('NCES-Private Grads-all races'!AT39/'NCES-Total Grads-all races'!AT38)*100</f>
        <v>8.4641646888604019</v>
      </c>
      <c r="O45" s="417">
        <f>('NCES-Private Grads-all races'!BD39/'NCES-Total Grads-all races'!BD38)*100</f>
        <v>9.5142927801092405</v>
      </c>
      <c r="P45" s="198" t="s">
        <v>64</v>
      </c>
      <c r="Q45" s="46"/>
    </row>
    <row r="46" spans="1:17" ht="12.6">
      <c r="A46" s="7"/>
      <c r="B46" s="7"/>
      <c r="C46" s="524"/>
      <c r="D46" s="245"/>
      <c r="E46" s="245"/>
      <c r="F46" s="384"/>
      <c r="G46" s="195"/>
      <c r="H46" s="195"/>
      <c r="I46" s="195"/>
      <c r="J46" s="195"/>
      <c r="K46" s="195"/>
      <c r="L46" s="195"/>
      <c r="M46" s="195"/>
      <c r="N46" s="195"/>
      <c r="O46" s="245"/>
      <c r="P46" s="12"/>
      <c r="Q46" s="46"/>
    </row>
    <row r="47" spans="1:17" ht="12.6">
      <c r="A47" s="189" t="s">
        <v>65</v>
      </c>
      <c r="B47" s="189"/>
      <c r="C47" s="518" t="str">
        <f>+'Public H.S. Grad Rates (ACGR)'!CL41</f>
        <v>‡</v>
      </c>
      <c r="D47" s="246">
        <f>+'Public H.S. Grad Rates (ACGR)'!BZ41</f>
        <v>86.2</v>
      </c>
      <c r="E47" s="246">
        <f>+'Public H.S. Grad Rates (ACGR)'!BN41</f>
        <v>86.5</v>
      </c>
      <c r="F47" s="470" t="str">
        <f>+'Public H.S. Grad Rates (ACGR)'!CQ41</f>
        <v>‡</v>
      </c>
      <c r="G47" s="470" t="str">
        <f>+'Public H.S. Grad Rates (ACGR)'!CP41</f>
        <v>‡</v>
      </c>
      <c r="H47" s="470" t="str">
        <f>+'Public H.S. Grad Rates (ACGR)'!CO41</f>
        <v>‡</v>
      </c>
      <c r="I47" s="470" t="str">
        <f>+'Public H.S. Grad Rates (ACGR)'!CN41</f>
        <v>‡</v>
      </c>
      <c r="J47" s="470" t="str">
        <f>+'Public H.S. Grad Rates (ACGR)'!CM41</f>
        <v>‡</v>
      </c>
      <c r="K47" s="470" t="str">
        <f>+'Public H.S. Grad Rates (ACGR)'!CU41</f>
        <v>‡</v>
      </c>
      <c r="L47" s="470" t="str">
        <f>+'Public H.S. Grad Rates (ACGR)'!CT41</f>
        <v>‡</v>
      </c>
      <c r="M47" s="470" t="str">
        <f>+'Public H.S. Grad Rates (ACGR)'!CS41</f>
        <v>‡</v>
      </c>
      <c r="N47" s="196">
        <f>('NCES-Private Grads-all races'!AT41/'NCES-Total Grads-all races'!AT40)*100</f>
        <v>10.056371586590618</v>
      </c>
      <c r="O47" s="246">
        <f>('NCES-Private Grads-all races'!BD41/'NCES-Total Grads-all races'!BD40)*100</f>
        <v>9.492432150313153</v>
      </c>
      <c r="P47" s="197" t="s">
        <v>65</v>
      </c>
      <c r="Q47" s="46"/>
    </row>
    <row r="48" spans="1:17" ht="12.6">
      <c r="A48" s="189" t="s">
        <v>66</v>
      </c>
      <c r="B48" s="189"/>
      <c r="C48" s="518">
        <f>+'Public H.S. Grad Rates (ACGR)'!CL42</f>
        <v>90.9</v>
      </c>
      <c r="D48" s="246">
        <f>+'Public H.S. Grad Rates (ACGR)'!BZ42</f>
        <v>87.2</v>
      </c>
      <c r="E48" s="246">
        <f>+'Public H.S. Grad Rates (ACGR)'!BN42</f>
        <v>88.1</v>
      </c>
      <c r="F48" s="470">
        <f>+'Public H.S. Grad Rates (ACGR)'!CQ42</f>
        <v>89</v>
      </c>
      <c r="G48" s="196">
        <f>+'Public H.S. Grad Rates (ACGR)'!CP42</f>
        <v>96</v>
      </c>
      <c r="H48" s="470">
        <f>+'Public H.S. Grad Rates (ACGR)'!CO42</f>
        <v>88.1</v>
      </c>
      <c r="I48" s="470">
        <f>+'Public H.S. Grad Rates (ACGR)'!CN42</f>
        <v>84.5</v>
      </c>
      <c r="J48" s="470">
        <f>+'Public H.S. Grad Rates (ACGR)'!CM42</f>
        <v>92.5</v>
      </c>
      <c r="K48" s="470">
        <f>+'Public H.S. Grad Rates (ACGR)'!CU42</f>
        <v>89.8</v>
      </c>
      <c r="L48" s="470">
        <f>+'Public H.S. Grad Rates (ACGR)'!CT42</f>
        <v>89</v>
      </c>
      <c r="M48" s="196">
        <f>+'Public H.S. Grad Rates (ACGR)'!CS42</f>
        <v>79.099999999999994</v>
      </c>
      <c r="N48" s="196">
        <f>('NCES-Private Grads-all races'!AT42/'NCES-Total Grads-all races'!AT41)*100</f>
        <v>7.487558099565093</v>
      </c>
      <c r="O48" s="246">
        <f>('NCES-Private Grads-all races'!BD42/'NCES-Total Grads-all races'!BD41)*100</f>
        <v>9.0892422138984195</v>
      </c>
      <c r="P48" s="197" t="s">
        <v>66</v>
      </c>
      <c r="Q48" s="46"/>
    </row>
    <row r="49" spans="1:17" ht="12.6">
      <c r="A49" s="189" t="s">
        <v>67</v>
      </c>
      <c r="B49" s="189"/>
      <c r="C49" s="518">
        <f>+'Public H.S. Grad Rates (ACGR)'!CL43</f>
        <v>91.8</v>
      </c>
      <c r="D49" s="246">
        <f>+'Public H.S. Grad Rates (ACGR)'!BZ43</f>
        <v>91.6</v>
      </c>
      <c r="E49" s="246">
        <f>+'Public H.S. Grad Rates (ACGR)'!BN43</f>
        <v>91.4</v>
      </c>
      <c r="F49" s="470">
        <f>+'Public H.S. Grad Rates (ACGR)'!CQ43</f>
        <v>83</v>
      </c>
      <c r="G49" s="196">
        <f>+'Public H.S. Grad Rates (ACGR)'!CP43</f>
        <v>92</v>
      </c>
      <c r="H49" s="470">
        <f>+'Public H.S. Grad Rates (ACGR)'!CO43</f>
        <v>84.8</v>
      </c>
      <c r="I49" s="470">
        <f>+'Public H.S. Grad Rates (ACGR)'!CN43</f>
        <v>81</v>
      </c>
      <c r="J49" s="470">
        <f>+'Public H.S. Grad Rates (ACGR)'!CM43</f>
        <v>93.8</v>
      </c>
      <c r="K49" s="470">
        <f>+'Public H.S. Grad Rates (ACGR)'!CU43</f>
        <v>85.5</v>
      </c>
      <c r="L49" s="470">
        <f>+'Public H.S. Grad Rates (ACGR)'!CT43</f>
        <v>77</v>
      </c>
      <c r="M49" s="196">
        <f>+'Public H.S. Grad Rates (ACGR)'!CS43</f>
        <v>76.400000000000006</v>
      </c>
      <c r="N49" s="196">
        <f>('NCES-Private Grads-all races'!AT43/'NCES-Total Grads-all races'!AT42)*100</f>
        <v>6.1230585424133812</v>
      </c>
      <c r="O49" s="246">
        <f>('NCES-Private Grads-all races'!BD43/'NCES-Total Grads-all races'!BD42)*100</f>
        <v>7.9395187513548668</v>
      </c>
      <c r="P49" s="197" t="s">
        <v>67</v>
      </c>
      <c r="Q49" s="46"/>
    </row>
    <row r="50" spans="1:17" ht="12.6">
      <c r="A50" s="189" t="s">
        <v>68</v>
      </c>
      <c r="B50" s="189"/>
      <c r="C50" s="518">
        <f>+'Public H.S. Grad Rates (ACGR)'!CL44</f>
        <v>88.2</v>
      </c>
      <c r="D50" s="246">
        <f>+'Public H.S. Grad Rates (ACGR)'!BZ44</f>
        <v>87.2</v>
      </c>
      <c r="E50" s="246">
        <f>+'Public H.S. Grad Rates (ACGR)'!BN44</f>
        <v>87.2</v>
      </c>
      <c r="F50" s="470">
        <f>+'Public H.S. Grad Rates (ACGR)'!CQ44</f>
        <v>82</v>
      </c>
      <c r="G50" s="196">
        <f>+'Public H.S. Grad Rates (ACGR)'!CP44</f>
        <v>94</v>
      </c>
      <c r="H50" s="470">
        <f>+'Public H.S. Grad Rates (ACGR)'!CO44</f>
        <v>83.8</v>
      </c>
      <c r="I50" s="470">
        <f>+'Public H.S. Grad Rates (ACGR)'!CN44</f>
        <v>80</v>
      </c>
      <c r="J50" s="470">
        <f>+'Public H.S. Grad Rates (ACGR)'!CM44</f>
        <v>90.3</v>
      </c>
      <c r="K50" s="470">
        <f>+'Public H.S. Grad Rates (ACGR)'!CU44</f>
        <v>81.3</v>
      </c>
      <c r="L50" s="470">
        <f>+'Public H.S. Grad Rates (ACGR)'!CT44</f>
        <v>83.5</v>
      </c>
      <c r="M50" s="196">
        <f>+'Public H.S. Grad Rates (ACGR)'!CS44</f>
        <v>80.900000000000006</v>
      </c>
      <c r="N50" s="196">
        <f>('NCES-Private Grads-all races'!AT44/'NCES-Total Grads-all races'!AT43)*100</f>
        <v>6.8914334181509762</v>
      </c>
      <c r="O50" s="246">
        <f>('NCES-Private Grads-all races'!BD44/'NCES-Total Grads-all races'!BD43)*100</f>
        <v>8.0457863304578634</v>
      </c>
      <c r="P50" s="197" t="s">
        <v>68</v>
      </c>
      <c r="Q50" s="46"/>
    </row>
    <row r="51" spans="1:17" ht="12.6">
      <c r="A51" s="7" t="s">
        <v>69</v>
      </c>
      <c r="B51" s="7"/>
      <c r="C51" s="524">
        <f>+'Public H.S. Grad Rates (ACGR)'!CL45</f>
        <v>82.1</v>
      </c>
      <c r="D51" s="245">
        <f>+'Public H.S. Grad Rates (ACGR)'!BZ45</f>
        <v>81.400000000000006</v>
      </c>
      <c r="E51" s="245">
        <f>+'Public H.S. Grad Rates (ACGR)'!BN45</f>
        <v>80.599999999999994</v>
      </c>
      <c r="F51" s="384">
        <f>+'Public H.S. Grad Rates (ACGR)'!CQ45</f>
        <v>74</v>
      </c>
      <c r="G51" s="195">
        <f>+'Public H.S. Grad Rates (ACGR)'!CP45</f>
        <v>93</v>
      </c>
      <c r="H51" s="195">
        <f>+'Public H.S. Grad Rates (ACGR)'!CO45</f>
        <v>75.5</v>
      </c>
      <c r="I51" s="195">
        <f>+'Public H.S. Grad Rates (ACGR)'!CN45</f>
        <v>70.400000000000006</v>
      </c>
      <c r="J51" s="195">
        <f>+'Public H.S. Grad Rates (ACGR)'!CM45</f>
        <v>85.4</v>
      </c>
      <c r="K51" s="195">
        <f>+'Public H.S. Grad Rates (ACGR)'!CU45</f>
        <v>71.7</v>
      </c>
      <c r="L51" s="195">
        <f>+'Public H.S. Grad Rates (ACGR)'!CT45</f>
        <v>73.7</v>
      </c>
      <c r="M51" s="195">
        <f>+'Public H.S. Grad Rates (ACGR)'!CS45</f>
        <v>59.3</v>
      </c>
      <c r="N51" s="195">
        <f>('NCES-Private Grads-all races'!AT45/'NCES-Total Grads-all races'!AT44)*100</f>
        <v>6.8874643298869067</v>
      </c>
      <c r="O51" s="245">
        <f>('NCES-Private Grads-all races'!BD45/'NCES-Total Grads-all races'!BD44)*100</f>
        <v>7.4483250178189593</v>
      </c>
      <c r="P51" s="12" t="s">
        <v>69</v>
      </c>
      <c r="Q51" s="46"/>
    </row>
    <row r="52" spans="1:17" ht="12.6">
      <c r="A52" s="7" t="s">
        <v>70</v>
      </c>
      <c r="B52" s="7"/>
      <c r="C52" s="524">
        <f>+'Public H.S. Grad Rates (ACGR)'!CL46</f>
        <v>83.8</v>
      </c>
      <c r="D52" s="245">
        <f>+'Public H.S. Grad Rates (ACGR)'!BZ46</f>
        <v>83.7</v>
      </c>
      <c r="E52" s="245">
        <f>+'Public H.S. Grad Rates (ACGR)'!BN46</f>
        <v>83.2</v>
      </c>
      <c r="F52" s="384">
        <f>+'Public H.S. Grad Rates (ACGR)'!CQ46</f>
        <v>56</v>
      </c>
      <c r="G52" s="195">
        <f>+'Public H.S. Grad Rates (ACGR)'!CP46</f>
        <v>88.9</v>
      </c>
      <c r="H52" s="195">
        <f>+'Public H.S. Grad Rates (ACGR)'!CO46</f>
        <v>70.400000000000006</v>
      </c>
      <c r="I52" s="195">
        <f>+'Public H.S. Grad Rates (ACGR)'!CN46</f>
        <v>69.2</v>
      </c>
      <c r="J52" s="195">
        <f>+'Public H.S. Grad Rates (ACGR)'!CM46</f>
        <v>89</v>
      </c>
      <c r="K52" s="195">
        <f>+'Public H.S. Grad Rates (ACGR)'!CU46</f>
        <v>71.599999999999994</v>
      </c>
      <c r="L52" s="195">
        <f>+'Public H.S. Grad Rates (ACGR)'!CT46</f>
        <v>66.2</v>
      </c>
      <c r="M52" s="195">
        <f>+'Public H.S. Grad Rates (ACGR)'!CS46</f>
        <v>65</v>
      </c>
      <c r="N52" s="195">
        <f>('NCES-Private Grads-all races'!AT46/'NCES-Total Grads-all races'!AT45)*100</f>
        <v>7.0544973382158354</v>
      </c>
      <c r="O52" s="245">
        <f>('NCES-Private Grads-all races'!BD46/'NCES-Total Grads-all races'!BD45)*100</f>
        <v>9.965377088664761</v>
      </c>
      <c r="P52" s="12" t="s">
        <v>70</v>
      </c>
      <c r="Q52" s="46"/>
    </row>
    <row r="53" spans="1:17" ht="12.6">
      <c r="A53" s="7" t="s">
        <v>71</v>
      </c>
      <c r="B53" s="7"/>
      <c r="C53" s="524">
        <f>+'Public H.S. Grad Rates (ACGR)'!CL47</f>
        <v>89.5</v>
      </c>
      <c r="D53" s="245">
        <f>+'Public H.S. Grad Rates (ACGR)'!BZ47</f>
        <v>89.7</v>
      </c>
      <c r="E53" s="245">
        <f>+'Public H.S. Grad Rates (ACGR)'!BN47</f>
        <v>89.2</v>
      </c>
      <c r="F53" s="384">
        <f>+'Public H.S. Grad Rates (ACGR)'!CQ47</f>
        <v>88</v>
      </c>
      <c r="G53" s="195">
        <f>+'Public H.S. Grad Rates (ACGR)'!CP47</f>
        <v>93</v>
      </c>
      <c r="H53" s="195">
        <f>+'Public H.S. Grad Rates (ACGR)'!CO47</f>
        <v>86.6</v>
      </c>
      <c r="I53" s="195">
        <f>+'Public H.S. Grad Rates (ACGR)'!CN47</f>
        <v>78.8</v>
      </c>
      <c r="J53" s="195">
        <f>+'Public H.S. Grad Rates (ACGR)'!CM47</f>
        <v>92.2</v>
      </c>
      <c r="K53" s="195">
        <f>+'Public H.S. Grad Rates (ACGR)'!CU47</f>
        <v>82.5</v>
      </c>
      <c r="L53" s="195">
        <f>+'Public H.S. Grad Rates (ACGR)'!CT47</f>
        <v>73</v>
      </c>
      <c r="M53" s="195">
        <f>+'Public H.S. Grad Rates (ACGR)'!CS47</f>
        <v>77.2</v>
      </c>
      <c r="N53" s="195">
        <f>('NCES-Private Grads-all races'!AT47/'NCES-Total Grads-all races'!AT46)*100</f>
        <v>10.427854053583351</v>
      </c>
      <c r="O53" s="245">
        <f>('NCES-Private Grads-all races'!BD47/'NCES-Total Grads-all races'!BD46)*100</f>
        <v>13.077668243204741</v>
      </c>
      <c r="P53" s="12" t="s">
        <v>71</v>
      </c>
      <c r="Q53" s="46"/>
    </row>
    <row r="54" spans="1:17" ht="12.6">
      <c r="A54" s="7" t="s">
        <v>72</v>
      </c>
      <c r="B54" s="7"/>
      <c r="C54" s="524">
        <f>+'Public H.S. Grad Rates (ACGR)'!CL48</f>
        <v>87.5</v>
      </c>
      <c r="D54" s="245">
        <f>+'Public H.S. Grad Rates (ACGR)'!BZ48</f>
        <v>88.4</v>
      </c>
      <c r="E54" s="245">
        <f>+'Public H.S. Grad Rates (ACGR)'!BN48</f>
        <v>88.7</v>
      </c>
      <c r="F54" s="384">
        <f>+'Public H.S. Grad Rates (ACGR)'!CQ48</f>
        <v>72</v>
      </c>
      <c r="G54" s="195">
        <f>+'Public H.S. Grad Rates (ACGR)'!CP48</f>
        <v>86</v>
      </c>
      <c r="H54" s="195">
        <f>+'Public H.S. Grad Rates (ACGR)'!CO48</f>
        <v>77.7</v>
      </c>
      <c r="I54" s="195">
        <f>+'Public H.S. Grad Rates (ACGR)'!CN48</f>
        <v>75</v>
      </c>
      <c r="J54" s="195">
        <f>+'Public H.S. Grad Rates (ACGR)'!CM48</f>
        <v>92.2</v>
      </c>
      <c r="K54" s="195">
        <f>+'Public H.S. Grad Rates (ACGR)'!CU48</f>
        <v>79.7</v>
      </c>
      <c r="L54" s="195">
        <f>+'Public H.S. Grad Rates (ACGR)'!CT48</f>
        <v>52</v>
      </c>
      <c r="M54" s="195">
        <f>+'Public H.S. Grad Rates (ACGR)'!CS48</f>
        <v>65</v>
      </c>
      <c r="N54" s="195">
        <f>('NCES-Private Grads-all races'!AT48/'NCES-Total Grads-all races'!AT47)*100</f>
        <v>9.4053809631471843</v>
      </c>
      <c r="O54" s="245">
        <f>('NCES-Private Grads-all races'!BD48/'NCES-Total Grads-all races'!BD47)*100</f>
        <v>11.550951617544293</v>
      </c>
      <c r="P54" s="12" t="s">
        <v>72</v>
      </c>
      <c r="Q54" s="46"/>
    </row>
    <row r="55" spans="1:17" ht="12.6">
      <c r="A55" s="189" t="s">
        <v>73</v>
      </c>
      <c r="B55" s="189"/>
      <c r="C55" s="518">
        <f>+'Public H.S. Grad Rates (ACGR)'!CL49</f>
        <v>89</v>
      </c>
      <c r="D55" s="246">
        <f>+'Public H.S. Grad Rates (ACGR)'!BZ49</f>
        <v>88.3</v>
      </c>
      <c r="E55" s="246">
        <f>+'Public H.S. Grad Rates (ACGR)'!BN49</f>
        <v>88.1</v>
      </c>
      <c r="F55" s="470">
        <f>+'Public H.S. Grad Rates (ACGR)'!CQ49</f>
        <v>73</v>
      </c>
      <c r="G55" s="196">
        <f>+'Public H.S. Grad Rates (ACGR)'!CP49</f>
        <v>88</v>
      </c>
      <c r="H55" s="196">
        <f>+'Public H.S. Grad Rates (ACGR)'!CO49</f>
        <v>78</v>
      </c>
      <c r="I55" s="196">
        <f>+'Public H.S. Grad Rates (ACGR)'!CN49</f>
        <v>82</v>
      </c>
      <c r="J55" s="196">
        <f>+'Public H.S. Grad Rates (ACGR)'!CM49</f>
        <v>92.2</v>
      </c>
      <c r="K55" s="196">
        <f>+'Public H.S. Grad Rates (ACGR)'!CU49</f>
        <v>77</v>
      </c>
      <c r="L55" s="196">
        <f>+'Public H.S. Grad Rates (ACGR)'!CP49</f>
        <v>88</v>
      </c>
      <c r="M55" s="196">
        <f>+'Public H.S. Grad Rates (ACGR)'!CS49</f>
        <v>72</v>
      </c>
      <c r="N55" s="196">
        <f>('NCES-Private Grads-all races'!AT49/'NCES-Total Grads-all races'!AT48)*100</f>
        <v>5.7881276080226138</v>
      </c>
      <c r="O55" s="246">
        <f>('NCES-Private Grads-all races'!BD49/'NCES-Total Grads-all races'!BD48)*100</f>
        <v>5.5650684931506849</v>
      </c>
      <c r="P55" s="197" t="s">
        <v>73</v>
      </c>
      <c r="Q55" s="46"/>
    </row>
    <row r="56" spans="1:17" ht="12.6">
      <c r="A56" s="189" t="s">
        <v>74</v>
      </c>
      <c r="B56" s="189"/>
      <c r="C56" s="518">
        <f>+'Public H.S. Grad Rates (ACGR)'!CL50</f>
        <v>84.4</v>
      </c>
      <c r="D56" s="246">
        <f>+'Public H.S. Grad Rates (ACGR)'!BZ50</f>
        <v>82</v>
      </c>
      <c r="E56" s="246">
        <f>+'Public H.S. Grad Rates (ACGR)'!BN50</f>
        <v>82.1</v>
      </c>
      <c r="F56" s="470">
        <f>+'Public H.S. Grad Rates (ACGR)'!CQ50</f>
        <v>78</v>
      </c>
      <c r="G56" s="196">
        <f>+'Public H.S. Grad Rates (ACGR)'!CP50</f>
        <v>91.4</v>
      </c>
      <c r="H56" s="196">
        <f>+'Public H.S. Grad Rates (ACGR)'!CO50</f>
        <v>76.400000000000006</v>
      </c>
      <c r="I56" s="196">
        <f>+'Public H.S. Grad Rates (ACGR)'!CN50</f>
        <v>72.400000000000006</v>
      </c>
      <c r="J56" s="196">
        <f>+'Public H.S. Grad Rates (ACGR)'!CM50</f>
        <v>87.6</v>
      </c>
      <c r="K56" s="196">
        <f>+'Public H.S. Grad Rates (ACGR)'!CU50</f>
        <v>74.3</v>
      </c>
      <c r="L56" s="196">
        <f>+'Public H.S. Grad Rates (ACGR)'!CP50</f>
        <v>91.4</v>
      </c>
      <c r="M56" s="196">
        <f>+'Public H.S. Grad Rates (ACGR)'!CS50</f>
        <v>56.9</v>
      </c>
      <c r="N56" s="196">
        <f>('NCES-Private Grads-all races'!AT50/'NCES-Total Grads-all races'!AT49)*100</f>
        <v>9.8403739043438012</v>
      </c>
      <c r="O56" s="246">
        <f>('NCES-Private Grads-all races'!BD50/'NCES-Total Grads-all races'!BD49)*100</f>
        <v>10.454289042410567</v>
      </c>
      <c r="P56" s="197" t="s">
        <v>74</v>
      </c>
      <c r="Q56" s="46"/>
    </row>
    <row r="57" spans="1:17" ht="12.6">
      <c r="A57" s="189" t="s">
        <v>75</v>
      </c>
      <c r="B57" s="189"/>
      <c r="C57" s="518">
        <f>+'Public H.S. Grad Rates (ACGR)'!CL51</f>
        <v>84.2</v>
      </c>
      <c r="D57" s="246">
        <f>+'Public H.S. Grad Rates (ACGR)'!BZ51</f>
        <v>84.1</v>
      </c>
      <c r="E57" s="246">
        <f>+'Public H.S. Grad Rates (ACGR)'!BN51</f>
        <v>84.1</v>
      </c>
      <c r="F57" s="470">
        <f>+'Public H.S. Grad Rates (ACGR)'!CA51</f>
        <v>54</v>
      </c>
      <c r="G57" s="196">
        <f>+'Public H.S. Grad Rates (ACGR)'!CP51</f>
        <v>83</v>
      </c>
      <c r="H57" s="196">
        <f>+'Public H.S. Grad Rates (ACGR)'!CO51</f>
        <v>72</v>
      </c>
      <c r="I57" s="196">
        <f>+'Public H.S. Grad Rates (ACGR)'!CN51</f>
        <v>80</v>
      </c>
      <c r="J57" s="196">
        <f>+'Public H.S. Grad Rates (ACGR)'!CM51</f>
        <v>89.9</v>
      </c>
      <c r="K57" s="196">
        <f>+'Public H.S. Grad Rates (ACGR)'!CU51</f>
        <v>69</v>
      </c>
      <c r="L57" s="196">
        <f>+'Public H.S. Grad Rates (ACGR)'!CP51</f>
        <v>83</v>
      </c>
      <c r="M57" s="196">
        <f>+'Public H.S. Grad Rates (ACGR)'!CS51</f>
        <v>69</v>
      </c>
      <c r="N57" s="196">
        <f>('NCES-Private Grads-all races'!AT51/'NCES-Total Grads-all races'!AT50)*100</f>
        <v>5.9197544398158293</v>
      </c>
      <c r="O57" s="246">
        <f>('NCES-Private Grads-all races'!BD51/'NCES-Total Grads-all races'!BD50)*100</f>
        <v>7.2929139000761953</v>
      </c>
      <c r="P57" s="197" t="s">
        <v>75</v>
      </c>
      <c r="Q57" s="46"/>
    </row>
    <row r="58" spans="1:17" ht="12.6">
      <c r="A58" s="189" t="s">
        <v>76</v>
      </c>
      <c r="B58" s="189"/>
      <c r="C58" s="518">
        <f>+'Public H.S. Grad Rates (ACGR)'!CL52</f>
        <v>90.4</v>
      </c>
      <c r="D58" s="246">
        <f>+'Public H.S. Grad Rates (ACGR)'!BZ52</f>
        <v>90.1</v>
      </c>
      <c r="E58" s="246">
        <f>+'Public H.S. Grad Rates (ACGR)'!BN52</f>
        <v>89.7</v>
      </c>
      <c r="F58" s="483">
        <f>+'Public H.S. Grad Rates (ACGR)'!CQ52</f>
        <v>85</v>
      </c>
      <c r="G58" s="196">
        <f>+'Public H.S. Grad Rates (ACGR)'!CP52</f>
        <v>92</v>
      </c>
      <c r="H58" s="196">
        <f>+'Public H.S. Grad Rates (ACGR)'!CO52</f>
        <v>83.7</v>
      </c>
      <c r="I58" s="196">
        <f>+'Public H.S. Grad Rates (ACGR)'!CN52</f>
        <v>70.900000000000006</v>
      </c>
      <c r="J58" s="196">
        <f>+'Public H.S. Grad Rates (ACGR)'!CM52</f>
        <v>94.2</v>
      </c>
      <c r="K58" s="196">
        <f>+'Public H.S. Grad Rates (ACGR)'!CU52</f>
        <v>81.599999999999994</v>
      </c>
      <c r="L58" s="196">
        <f>+'Public H.S. Grad Rates (ACGR)'!CP52</f>
        <v>92</v>
      </c>
      <c r="M58" s="196">
        <f>+'Public H.S. Grad Rates (ACGR)'!CS52</f>
        <v>69.7</v>
      </c>
      <c r="N58" s="196">
        <f>('NCES-Private Grads-all races'!AT52/'NCES-Total Grads-all races'!AT51)*100</f>
        <v>7.8073066206525894</v>
      </c>
      <c r="O58" s="246">
        <f>('NCES-Private Grads-all races'!BD52/'NCES-Total Grads-all races'!BD51)*100</f>
        <v>9.0590899732345065</v>
      </c>
      <c r="P58" s="197" t="s">
        <v>76</v>
      </c>
      <c r="Q58" s="46"/>
    </row>
    <row r="59" spans="1:17" ht="12.6">
      <c r="A59" s="190" t="s">
        <v>77</v>
      </c>
      <c r="B59" s="190"/>
      <c r="C59" s="525">
        <f>+'Public H.S. Grad Rates (ACGR)'!CL53</f>
        <v>87.4</v>
      </c>
      <c r="D59" s="417">
        <f>+'Public H.S. Grad Rates (ACGR)'!BZ53</f>
        <v>87.4</v>
      </c>
      <c r="E59" s="417">
        <f>+'Public H.S. Grad Rates (ACGR)'!BN53</f>
        <v>86.7</v>
      </c>
      <c r="F59" s="384">
        <f>+'Public H.S. Grad Rates (ACGR)'!CQ53</f>
        <v>81.5</v>
      </c>
      <c r="G59" s="418">
        <f>+'Public H.S. Grad Rates (ACGR)'!CP53</f>
        <v>92.7</v>
      </c>
      <c r="H59" s="418">
        <f>+'Public H.S. Grad Rates (ACGR)'!CO53</f>
        <v>77.2</v>
      </c>
      <c r="I59" s="418">
        <f>+'Public H.S. Grad Rates (ACGR)'!CN53</f>
        <v>80</v>
      </c>
      <c r="J59" s="418">
        <f>+'Public H.S. Grad Rates (ACGR)'!CM53</f>
        <v>90.4</v>
      </c>
      <c r="K59" s="418">
        <f>+'Public H.S. Grad Rates (ACGR)'!CU53</f>
        <v>78.900000000000006</v>
      </c>
      <c r="L59" s="418">
        <f>+'Public H.S. Grad Rates (ACGR)'!CP53</f>
        <v>92.7</v>
      </c>
      <c r="M59" s="418">
        <f>+'Public H.S. Grad Rates (ACGR)'!CS53</f>
        <v>72.8</v>
      </c>
      <c r="N59" s="418">
        <f>('NCES-Private Grads-all races'!AT53/'NCES-Total Grads-all races'!AT52)*100</f>
        <v>13.76668920258752</v>
      </c>
      <c r="O59" s="417">
        <f>('NCES-Private Grads-all races'!BD53/'NCES-Total Grads-all races'!BD52)*100</f>
        <v>13.912141364004857</v>
      </c>
      <c r="P59" s="198" t="s">
        <v>77</v>
      </c>
      <c r="Q59" s="46"/>
    </row>
    <row r="60" spans="1:17" ht="12.6">
      <c r="A60" s="7"/>
      <c r="B60" s="7"/>
      <c r="C60" s="524"/>
      <c r="D60" s="245"/>
      <c r="E60" s="245"/>
      <c r="F60" s="384"/>
      <c r="G60" s="195"/>
      <c r="H60" s="195"/>
      <c r="I60" s="195"/>
      <c r="J60" s="195"/>
      <c r="K60" s="195"/>
      <c r="L60" s="195"/>
      <c r="M60" s="195"/>
      <c r="N60" s="195"/>
      <c r="O60" s="245"/>
      <c r="P60" s="12"/>
      <c r="Q60" s="46"/>
    </row>
    <row r="61" spans="1:17" ht="12.6">
      <c r="A61" s="189" t="s">
        <v>78</v>
      </c>
      <c r="B61" s="189"/>
      <c r="C61" s="518">
        <f>+'Public H.S. Grad Rates (ACGR)'!CL55</f>
        <v>88.3</v>
      </c>
      <c r="D61" s="246">
        <f>+'Public H.S. Grad Rates (ACGR)'!BZ55</f>
        <v>88.5</v>
      </c>
      <c r="E61" s="246">
        <f>+'Public H.S. Grad Rates (ACGR)'!BN55</f>
        <v>88.4</v>
      </c>
      <c r="F61" s="470">
        <f>+'Public H.S. Grad Rates (ACGR)'!CQ55</f>
        <v>88</v>
      </c>
      <c r="G61" s="196">
        <f>+'Public H.S. Grad Rates (ACGR)'!CP55</f>
        <v>95</v>
      </c>
      <c r="H61" s="196">
        <f>+'Public H.S. Grad Rates (ACGR)'!CO55</f>
        <v>79.7</v>
      </c>
      <c r="I61" s="196">
        <f>+'Public H.S. Grad Rates (ACGR)'!CN55</f>
        <v>80</v>
      </c>
      <c r="J61" s="196">
        <f>+'Public H.S. Grad Rates (ACGR)'!CM55</f>
        <v>93.4</v>
      </c>
      <c r="K61" s="196">
        <f>+'Public H.S. Grad Rates (ACGR)'!CU55</f>
        <v>80.599999999999994</v>
      </c>
      <c r="L61" s="196">
        <f>+'Public H.S. Grad Rates (ACGR)'!CP55</f>
        <v>95</v>
      </c>
      <c r="M61" s="196">
        <f>+'Public H.S. Grad Rates (ACGR)'!CS55</f>
        <v>68.099999999999994</v>
      </c>
      <c r="N61" s="196">
        <f>('NCES-Private Grads-all races'!AT55/'NCES-Total Grads-all races'!AT54)*100</f>
        <v>15.616420303542796</v>
      </c>
      <c r="O61" s="246">
        <f>('NCES-Private Grads-all races'!BD55/'NCES-Total Grads-all races'!BD54)*100</f>
        <v>13.39853955918805</v>
      </c>
      <c r="P61" s="197" t="s">
        <v>78</v>
      </c>
      <c r="Q61" s="46"/>
    </row>
    <row r="62" spans="1:17" ht="12.6">
      <c r="A62" s="189" t="s">
        <v>79</v>
      </c>
      <c r="B62" s="189"/>
      <c r="C62" s="518">
        <f>+'Public H.S. Grad Rates (ACGR)'!CL56</f>
        <v>87.4</v>
      </c>
      <c r="D62" s="246">
        <f>+'Public H.S. Grad Rates (ACGR)'!BZ56</f>
        <v>87.4</v>
      </c>
      <c r="E62" s="246">
        <f>+'Public H.S. Grad Rates (ACGR)'!BN56</f>
        <v>86.7</v>
      </c>
      <c r="F62" s="470">
        <f>+'Public H.S. Grad Rates (ACGR)'!CQ56</f>
        <v>72</v>
      </c>
      <c r="G62" s="196">
        <f>+'Public H.S. Grad Rates (ACGR)'!CP56</f>
        <v>94</v>
      </c>
      <c r="H62" s="196">
        <f>+'Public H.S. Grad Rates (ACGR)'!CO56</f>
        <v>82</v>
      </c>
      <c r="I62" s="196">
        <f>+'Public H.S. Grad Rates (ACGR)'!CN56</f>
        <v>83</v>
      </c>
      <c r="J62" s="196">
        <f>+'Public H.S. Grad Rates (ACGR)'!CM56</f>
        <v>87.8</v>
      </c>
      <c r="K62" s="196">
        <f>+'Public H.S. Grad Rates (ACGR)'!CU56</f>
        <v>78.900000000000006</v>
      </c>
      <c r="L62" s="196">
        <f>+'Public H.S. Grad Rates (ACGR)'!CP56</f>
        <v>94</v>
      </c>
      <c r="M62" s="196">
        <f>+'Public H.S. Grad Rates (ACGR)'!CS56</f>
        <v>74</v>
      </c>
      <c r="N62" s="196">
        <f>('NCES-Private Grads-all races'!AT56/'NCES-Total Grads-all races'!AT55)*100</f>
        <v>14.786223277909738</v>
      </c>
      <c r="O62" s="246">
        <f>('NCES-Private Grads-all races'!BD56/'NCES-Total Grads-all races'!BD55)*100</f>
        <v>17.370054818043723</v>
      </c>
      <c r="P62" s="197" t="s">
        <v>79</v>
      </c>
      <c r="Q62" s="46"/>
    </row>
    <row r="63" spans="1:17" ht="12.6">
      <c r="A63" s="189" t="s">
        <v>80</v>
      </c>
      <c r="B63" s="189"/>
      <c r="C63" s="518">
        <f>+'Public H.S. Grad Rates (ACGR)'!CL57</f>
        <v>89</v>
      </c>
      <c r="D63" s="246">
        <f>+'Public H.S. Grad Rates (ACGR)'!BZ57</f>
        <v>88</v>
      </c>
      <c r="E63" s="246">
        <f>+'Public H.S. Grad Rates (ACGR)'!BN57</f>
        <v>87.8</v>
      </c>
      <c r="F63" s="470">
        <f>+'Public H.S. Grad Rates (ACGR)'!CQ57</f>
        <v>86</v>
      </c>
      <c r="G63" s="196">
        <f>+'Public H.S. Grad Rates (ACGR)'!CP57</f>
        <v>95</v>
      </c>
      <c r="H63" s="196">
        <f>+'Public H.S. Grad Rates (ACGR)'!CO57</f>
        <v>77.2</v>
      </c>
      <c r="I63" s="196">
        <f>+'Public H.S. Grad Rates (ACGR)'!CN57</f>
        <v>83.1</v>
      </c>
      <c r="J63" s="196">
        <f>+'Public H.S. Grad Rates (ACGR)'!CM57</f>
        <v>93.2</v>
      </c>
      <c r="K63" s="196">
        <f>+'Public H.S. Grad Rates (ACGR)'!CU57</f>
        <v>80.599999999999994</v>
      </c>
      <c r="L63" s="196">
        <f>+'Public H.S. Grad Rates (ACGR)'!CP57</f>
        <v>95</v>
      </c>
      <c r="M63" s="196">
        <f>+'Public H.S. Grad Rates (ACGR)'!CS57</f>
        <v>74.900000000000006</v>
      </c>
      <c r="N63" s="196">
        <f>('NCES-Private Grads-all races'!AT57/'NCES-Total Grads-all races'!AT56)*100</f>
        <v>13.905212143621165</v>
      </c>
      <c r="O63" s="246">
        <f>('NCES-Private Grads-all races'!BD57/'NCES-Total Grads-all races'!BD56)*100</f>
        <v>13.937192797833703</v>
      </c>
      <c r="P63" s="197" t="s">
        <v>80</v>
      </c>
      <c r="Q63" s="46"/>
    </row>
    <row r="64" spans="1:17" ht="12.6">
      <c r="A64" s="189" t="s">
        <v>81</v>
      </c>
      <c r="B64" s="189"/>
      <c r="C64" s="518">
        <f>+'Public H.S. Grad Rates (ACGR)'!CL58</f>
        <v>88.1</v>
      </c>
      <c r="D64" s="246">
        <f>+'Public H.S. Grad Rates (ACGR)'!BZ58</f>
        <v>88.4</v>
      </c>
      <c r="E64" s="246">
        <f>+'Public H.S. Grad Rates (ACGR)'!BN58</f>
        <v>88.8</v>
      </c>
      <c r="F64" s="470">
        <f>+'Public H.S. Grad Rates (ACGR)'!CQ58</f>
        <v>85</v>
      </c>
      <c r="G64" s="196">
        <f>+'Public H.S. Grad Rates (ACGR)'!CP58</f>
        <v>92</v>
      </c>
      <c r="H64" s="196">
        <f>+'Public H.S. Grad Rates (ACGR)'!CO58</f>
        <v>74</v>
      </c>
      <c r="I64" s="196">
        <f>+'Public H.S. Grad Rates (ACGR)'!CN58</f>
        <v>77</v>
      </c>
      <c r="J64" s="196">
        <f>+'Public H.S. Grad Rates (ACGR)'!CM58</f>
        <v>89.4</v>
      </c>
      <c r="K64" s="196">
        <f>+'Public H.S. Grad Rates (ACGR)'!CU58</f>
        <v>75</v>
      </c>
      <c r="L64" s="196">
        <f>+'Public H.S. Grad Rates (ACGR)'!CP58</f>
        <v>92</v>
      </c>
      <c r="M64" s="196">
        <f>+'Public H.S. Grad Rates (ACGR)'!CS58</f>
        <v>73</v>
      </c>
      <c r="N64" s="196">
        <f>('NCES-Private Grads-all races'!AT58/'NCES-Total Grads-all races'!AT57)*100</f>
        <v>13.683240191277294</v>
      </c>
      <c r="O64" s="246">
        <f>('NCES-Private Grads-all races'!BD58/'NCES-Total Grads-all races'!BD57)*100</f>
        <v>17.344726437954343</v>
      </c>
      <c r="P64" s="197" t="s">
        <v>81</v>
      </c>
      <c r="Q64" s="46"/>
    </row>
    <row r="65" spans="1:21" ht="12.6">
      <c r="A65" s="7" t="s">
        <v>82</v>
      </c>
      <c r="B65" s="7"/>
      <c r="C65" s="524">
        <f>+'Public H.S. Grad Rates (ACGR)'!CL59</f>
        <v>91</v>
      </c>
      <c r="D65" s="245">
        <f>+'Public H.S. Grad Rates (ACGR)'!BZ59</f>
        <v>90.6</v>
      </c>
      <c r="E65" s="245">
        <f>+'Public H.S. Grad Rates (ACGR)'!BN59</f>
        <v>90.9</v>
      </c>
      <c r="F65" s="384">
        <f>+'Public H.S. Grad Rates (ACGR)'!CQ59</f>
        <v>89</v>
      </c>
      <c r="G65" s="195">
        <f>+'Public H.S. Grad Rates (ACGR)'!CP59</f>
        <v>96.8</v>
      </c>
      <c r="H65" s="195">
        <f>+'Public H.S. Grad Rates (ACGR)'!CO59</f>
        <v>84.8</v>
      </c>
      <c r="I65" s="195">
        <f>+'Public H.S. Grad Rates (ACGR)'!CN59</f>
        <v>85.7</v>
      </c>
      <c r="J65" s="195">
        <f>+'Public H.S. Grad Rates (ACGR)'!CM59</f>
        <v>95</v>
      </c>
      <c r="K65" s="195">
        <f>+'Public H.S. Grad Rates (ACGR)'!CU59</f>
        <v>85</v>
      </c>
      <c r="L65" s="195">
        <f>+'Public H.S. Grad Rates (ACGR)'!CP59</f>
        <v>96.8</v>
      </c>
      <c r="M65" s="195">
        <f>+'Public H.S. Grad Rates (ACGR)'!CS59</f>
        <v>80.400000000000006</v>
      </c>
      <c r="N65" s="195">
        <f>('NCES-Private Grads-all races'!AT59/'NCES-Total Grads-all races'!AT58)*100</f>
        <v>12.720624041014711</v>
      </c>
      <c r="O65" s="245">
        <f>('NCES-Private Grads-all races'!BD59/'NCES-Total Grads-all races'!BD58)*100</f>
        <v>13.304060318737646</v>
      </c>
      <c r="P65" s="12" t="s">
        <v>82</v>
      </c>
      <c r="Q65" s="46"/>
    </row>
    <row r="66" spans="1:21" ht="12.6">
      <c r="A66" s="7" t="s">
        <v>83</v>
      </c>
      <c r="B66" s="7"/>
      <c r="C66" s="524">
        <f>+'Public H.S. Grad Rates (ACGR)'!CL60</f>
        <v>83.5</v>
      </c>
      <c r="D66" s="245">
        <f>+'Public H.S. Grad Rates (ACGR)'!BZ60</f>
        <v>82.8</v>
      </c>
      <c r="E66" s="245">
        <f>+'Public H.S. Grad Rates (ACGR)'!BN60</f>
        <v>82.3</v>
      </c>
      <c r="F66" s="384">
        <f>+'Public H.S. Grad Rates (ACGR)'!CQ60</f>
        <v>75</v>
      </c>
      <c r="G66" s="195">
        <f>+'Public H.S. Grad Rates (ACGR)'!CP60</f>
        <v>89.8</v>
      </c>
      <c r="H66" s="195">
        <f>+'Public H.S. Grad Rates (ACGR)'!CO60</f>
        <v>74.599999999999994</v>
      </c>
      <c r="I66" s="195">
        <f>+'Public H.S. Grad Rates (ACGR)'!CN60</f>
        <v>75.3</v>
      </c>
      <c r="J66" s="195">
        <f>+'Public H.S. Grad Rates (ACGR)'!CM60</f>
        <v>90.4</v>
      </c>
      <c r="K66" s="195">
        <f>+'Public H.S. Grad Rates (ACGR)'!CU60</f>
        <v>77.2</v>
      </c>
      <c r="L66" s="195">
        <f>+'Public H.S. Grad Rates (ACGR)'!CP60</f>
        <v>89.8</v>
      </c>
      <c r="M66" s="195">
        <f>+'Public H.S. Grad Rates (ACGR)'!CS60</f>
        <v>60.7</v>
      </c>
      <c r="N66" s="195">
        <f>('NCES-Private Grads-all races'!AT60/'NCES-Total Grads-all races'!AT59)*100</f>
        <v>14.782860871456535</v>
      </c>
      <c r="O66" s="245">
        <f>('NCES-Private Grads-all races'!BD60/'NCES-Total Grads-all races'!BD59)*100</f>
        <v>14.43994412755362</v>
      </c>
      <c r="P66" s="12" t="s">
        <v>83</v>
      </c>
      <c r="Q66" s="46"/>
    </row>
    <row r="67" spans="1:21" ht="12.6">
      <c r="A67" s="7" t="s">
        <v>84</v>
      </c>
      <c r="B67" s="7"/>
      <c r="C67" s="524">
        <f>+'Public H.S. Grad Rates (ACGR)'!CL61</f>
        <v>87.4</v>
      </c>
      <c r="D67" s="245">
        <f>+'Public H.S. Grad Rates (ACGR)'!BZ61</f>
        <v>86.5</v>
      </c>
      <c r="E67" s="245">
        <f>+'Public H.S. Grad Rates (ACGR)'!BN61</f>
        <v>85.9</v>
      </c>
      <c r="F67" s="384">
        <f>+'Public H.S. Grad Rates (ACGR)'!CQ61</f>
        <v>78</v>
      </c>
      <c r="G67" s="195">
        <f>+'Public H.S. Grad Rates (ACGR)'!CP61</f>
        <v>92.7</v>
      </c>
      <c r="H67" s="195">
        <f>+'Public H.S. Grad Rates (ACGR)'!CO61</f>
        <v>77.2</v>
      </c>
      <c r="I67" s="195">
        <f>+'Public H.S. Grad Rates (ACGR)'!CN61</f>
        <v>76.5</v>
      </c>
      <c r="J67" s="195">
        <f>+'Public H.S. Grad Rates (ACGR)'!CM61</f>
        <v>91.4</v>
      </c>
      <c r="K67" s="195">
        <f>+'Public H.S. Grad Rates (ACGR)'!CU61</f>
        <v>79.599999999999994</v>
      </c>
      <c r="L67" s="195">
        <f>+'Public H.S. Grad Rates (ACGR)'!CP61</f>
        <v>92.7</v>
      </c>
      <c r="M67" s="195">
        <f>+'Public H.S. Grad Rates (ACGR)'!CS61</f>
        <v>72.8</v>
      </c>
      <c r="N67" s="195">
        <f>('NCES-Private Grads-all races'!AT61/'NCES-Total Grads-all races'!AT60)*100</f>
        <v>12.179176102663646</v>
      </c>
      <c r="O67" s="245">
        <f>('NCES-Private Grads-all races'!BD61/'NCES-Total Grads-all races'!BD60)*100</f>
        <v>12.903806726879813</v>
      </c>
      <c r="P67" s="12" t="s">
        <v>84</v>
      </c>
      <c r="Q67" s="46"/>
    </row>
    <row r="68" spans="1:21" ht="12.6">
      <c r="A68" s="7" t="s">
        <v>85</v>
      </c>
      <c r="B68" s="7"/>
      <c r="C68" s="524">
        <f>+'Public H.S. Grad Rates (ACGR)'!CL62</f>
        <v>83.6</v>
      </c>
      <c r="D68" s="245">
        <f>+'Public H.S. Grad Rates (ACGR)'!BZ62</f>
        <v>83.9</v>
      </c>
      <c r="E68" s="245">
        <f>+'Public H.S. Grad Rates (ACGR)'!BN62</f>
        <v>84</v>
      </c>
      <c r="F68" s="384">
        <f>+'Public H.S. Grad Rates (ACGR)'!CQ62</f>
        <v>69</v>
      </c>
      <c r="G68" s="195">
        <f>+'Public H.S. Grad Rates (ACGR)'!CP62</f>
        <v>91</v>
      </c>
      <c r="H68" s="195">
        <f>+'Public H.S. Grad Rates (ACGR)'!CO62</f>
        <v>75.900000000000006</v>
      </c>
      <c r="I68" s="195">
        <f>+'Public H.S. Grad Rates (ACGR)'!CN62</f>
        <v>80</v>
      </c>
      <c r="J68" s="195">
        <f>+'Public H.S. Grad Rates (ACGR)'!CM62</f>
        <v>87.9</v>
      </c>
      <c r="K68" s="195">
        <f>+'Public H.S. Grad Rates (ACGR)'!CU62</f>
        <v>75.900000000000006</v>
      </c>
      <c r="L68" s="195">
        <f>+'Public H.S. Grad Rates (ACGR)'!CP62</f>
        <v>91</v>
      </c>
      <c r="M68" s="195">
        <f>+'Public H.S. Grad Rates (ACGR)'!CS62</f>
        <v>63</v>
      </c>
      <c r="N68" s="195">
        <f>('NCES-Private Grads-all races'!AT62/'NCES-Total Grads-all races'!AT61)*100</f>
        <v>14.111397028305802</v>
      </c>
      <c r="O68" s="245">
        <f>('NCES-Private Grads-all races'!BD62/'NCES-Total Grads-all races'!BD61)*100</f>
        <v>15.748031496062993</v>
      </c>
      <c r="P68" s="12" t="s">
        <v>85</v>
      </c>
      <c r="Q68" s="46"/>
    </row>
    <row r="69" spans="1:21" ht="12.6">
      <c r="A69" s="7" t="s">
        <v>86</v>
      </c>
      <c r="B69" s="7"/>
      <c r="C69" s="550">
        <f>+'Public H.S. Grad Rates (ACGR)'!CL63</f>
        <v>83.1</v>
      </c>
      <c r="D69" s="244">
        <f>+'Public H.S. Grad Rates (ACGR)'!BZ63</f>
        <v>84.5</v>
      </c>
      <c r="E69" s="244">
        <f>+'Public H.S. Grad Rates (ACGR)'!BN63</f>
        <v>85.1</v>
      </c>
      <c r="F69" s="423" t="str">
        <f>+'Public H.S. Grad Rates (ACGR)'!CQ63</f>
        <v>≥50</v>
      </c>
      <c r="G69" s="195">
        <f>+'Public H.S. Grad Rates (ACGR)'!CP63</f>
        <v>74</v>
      </c>
      <c r="H69" s="195">
        <f>+'Public H.S. Grad Rates (ACGR)'!CO63</f>
        <v>82</v>
      </c>
      <c r="I69" s="195">
        <f>+'Public H.S. Grad Rates (ACGR)'!CN63</f>
        <v>70</v>
      </c>
      <c r="J69" s="195">
        <f>+'Public H.S. Grad Rates (ACGR)'!CM63</f>
        <v>84.6</v>
      </c>
      <c r="K69" s="195">
        <f>+'Public H.S. Grad Rates (ACGR)'!CU63</f>
        <v>75</v>
      </c>
      <c r="L69" s="195">
        <f>+'Public H.S. Grad Rates (ACGR)'!CP63</f>
        <v>74</v>
      </c>
      <c r="M69" s="195">
        <f>+'Public H.S. Grad Rates (ACGR)'!CS63</f>
        <v>69</v>
      </c>
      <c r="N69" s="195">
        <f>('NCES-Private Grads-all races'!AT63/'NCES-Total Grads-all races'!AT62)*100</f>
        <v>16.540589364344584</v>
      </c>
      <c r="O69" s="245">
        <f>('NCES-Private Grads-all races'!BD63/'NCES-Total Grads-all races'!BD62)*100</f>
        <v>13.452914798206278</v>
      </c>
      <c r="P69" s="12" t="s">
        <v>86</v>
      </c>
      <c r="Q69" s="46"/>
    </row>
    <row r="70" spans="1:21" ht="12.6">
      <c r="A70" s="191" t="s">
        <v>87</v>
      </c>
      <c r="B70" s="191"/>
      <c r="C70" s="526">
        <f>+'Public H.S. Grad Rates (ACGR)'!CL64</f>
        <v>73</v>
      </c>
      <c r="D70" s="479">
        <f>+'Public H.S. Grad Rates (ACGR)'!BZ64</f>
        <v>68.900000000000006</v>
      </c>
      <c r="E70" s="479">
        <f>+'Public H.S. Grad Rates (ACGR)'!BN64</f>
        <v>68.5</v>
      </c>
      <c r="F70" s="483" t="str">
        <f>+'Public H.S. Grad Rates (ACGR)'!CQ64</f>
        <v>≥50</v>
      </c>
      <c r="G70" s="419">
        <f>+'Public H.S. Grad Rates (ACGR)'!CP64</f>
        <v>88</v>
      </c>
      <c r="H70" s="420">
        <f>+'Public H.S. Grad Rates (ACGR)'!CO64</f>
        <v>64</v>
      </c>
      <c r="I70" s="420">
        <f>+'Public H.S. Grad Rates (ACGR)'!CN64</f>
        <v>72.900000000000006</v>
      </c>
      <c r="J70" s="420">
        <f>+'Public H.S. Grad Rates (ACGR)'!CM64</f>
        <v>93</v>
      </c>
      <c r="K70" s="420">
        <f>+'Public H.S. Grad Rates (ACGR)'!CU64</f>
        <v>62</v>
      </c>
      <c r="L70" s="420">
        <f>+'Public H.S. Grad Rates (ACGR)'!CP64</f>
        <v>88</v>
      </c>
      <c r="M70" s="420">
        <f>+'Public H.S. Grad Rates (ACGR)'!CS64</f>
        <v>56</v>
      </c>
      <c r="N70" s="420">
        <f>('NCES-Private Grads-all races'!AT64/'NCES-Total Grads-all races'!AT63)*100</f>
        <v>30.915086562242372</v>
      </c>
      <c r="O70" s="421">
        <f>('NCES-Private Grads-all races'!BD64/'NCES-Total Grads-all races'!BD63)*100</f>
        <v>26.282853566958696</v>
      </c>
      <c r="P70" s="199" t="s">
        <v>87</v>
      </c>
      <c r="Q70" s="46"/>
    </row>
    <row r="71" spans="1:21" ht="12.6">
      <c r="A71" s="7"/>
      <c r="B71" s="7"/>
      <c r="C71" s="200"/>
      <c r="D71" s="200"/>
      <c r="E71" s="200"/>
      <c r="F71" s="391"/>
      <c r="G71" s="391"/>
      <c r="H71" s="200"/>
      <c r="I71" s="200"/>
      <c r="J71" s="200"/>
      <c r="K71" s="200"/>
      <c r="L71" s="200"/>
      <c r="M71" s="200"/>
      <c r="N71" s="200"/>
      <c r="O71" s="200"/>
      <c r="P71" s="12"/>
      <c r="Q71" s="46"/>
    </row>
    <row r="72" spans="1:21" ht="12.95">
      <c r="A72" s="7" t="s">
        <v>88</v>
      </c>
      <c r="B72" s="7"/>
      <c r="C72" s="200"/>
      <c r="D72" s="200"/>
      <c r="E72" s="200"/>
      <c r="F72" s="391"/>
      <c r="G72" s="391"/>
      <c r="H72" s="200"/>
      <c r="I72" s="200"/>
      <c r="J72" s="200"/>
      <c r="K72" s="200"/>
      <c r="L72" s="200"/>
      <c r="M72" s="200"/>
      <c r="N72" s="200"/>
      <c r="O72" s="200"/>
      <c r="P72" s="12"/>
      <c r="Q72" s="46"/>
    </row>
    <row r="73" spans="1:21" ht="12.6">
      <c r="A73" s="7" t="s">
        <v>89</v>
      </c>
      <c r="B73" s="7"/>
      <c r="C73" s="200"/>
      <c r="D73" s="200"/>
      <c r="E73" s="200"/>
      <c r="F73" s="391"/>
      <c r="G73" s="391"/>
      <c r="H73" s="200"/>
      <c r="I73" s="200"/>
      <c r="J73" s="200"/>
      <c r="K73" s="200"/>
      <c r="L73" s="200"/>
      <c r="M73" s="200"/>
      <c r="N73" s="200"/>
      <c r="O73" s="200"/>
      <c r="P73" s="12"/>
      <c r="Q73" s="46"/>
    </row>
    <row r="74" spans="1:21" ht="26.25" customHeight="1">
      <c r="A74" s="554" t="s">
        <v>90</v>
      </c>
      <c r="B74" s="555"/>
      <c r="C74" s="555"/>
      <c r="D74" s="555"/>
      <c r="E74" s="555"/>
      <c r="F74" s="555"/>
      <c r="G74" s="555"/>
      <c r="H74" s="555"/>
      <c r="I74" s="555"/>
      <c r="J74" s="555"/>
      <c r="K74" s="555"/>
      <c r="L74" s="555"/>
      <c r="M74" s="555"/>
      <c r="N74" s="200"/>
      <c r="O74" s="200"/>
      <c r="P74" s="12"/>
      <c r="Q74" s="46"/>
    </row>
    <row r="75" spans="1:21" ht="12.6">
      <c r="A75" s="7" t="s">
        <v>91</v>
      </c>
      <c r="B75" s="519"/>
      <c r="C75" s="519"/>
      <c r="D75" s="519"/>
      <c r="E75" s="519"/>
      <c r="F75" s="519"/>
      <c r="G75" s="519"/>
      <c r="H75" s="519"/>
      <c r="I75" s="519"/>
      <c r="J75" s="519"/>
      <c r="K75" s="519"/>
      <c r="L75" s="519"/>
      <c r="M75" s="519"/>
      <c r="N75" s="200"/>
      <c r="O75" s="200"/>
      <c r="P75" s="12"/>
      <c r="Q75" s="46"/>
    </row>
    <row r="76" spans="1:21" s="17" customFormat="1" ht="71.099999999999994" customHeight="1">
      <c r="A76" s="17" t="s">
        <v>92</v>
      </c>
      <c r="B76" s="552" t="s">
        <v>93</v>
      </c>
      <c r="C76" s="553"/>
      <c r="D76" s="553"/>
      <c r="E76" s="553"/>
      <c r="F76" s="553"/>
      <c r="G76" s="553"/>
      <c r="H76" s="553"/>
      <c r="I76" s="553"/>
      <c r="J76" s="553"/>
      <c r="K76" s="511"/>
      <c r="L76" s="511"/>
      <c r="M76" s="511"/>
      <c r="N76" s="512"/>
      <c r="O76" s="512"/>
      <c r="P76" s="471"/>
    </row>
    <row r="77" spans="1:21" s="17" customFormat="1" ht="45" customHeight="1">
      <c r="B77" s="551"/>
      <c r="C77" s="551"/>
      <c r="D77" s="551"/>
      <c r="E77" s="551"/>
      <c r="F77" s="551"/>
      <c r="G77" s="551"/>
      <c r="H77" s="551"/>
      <c r="I77" s="551"/>
      <c r="J77" s="551"/>
      <c r="K77" s="551"/>
      <c r="L77" s="551"/>
      <c r="M77" s="551"/>
      <c r="N77" s="551"/>
      <c r="O77" s="551"/>
      <c r="P77" s="551"/>
      <c r="Q77" s="551"/>
      <c r="R77" s="551"/>
      <c r="S77" s="551"/>
      <c r="T77" s="551"/>
      <c r="U77" s="551"/>
    </row>
    <row r="78" spans="1:21" ht="12.75" customHeight="1">
      <c r="P78" s="643">
        <v>45536</v>
      </c>
      <c r="Q78"/>
    </row>
    <row r="79" spans="1:21" ht="12.75" customHeight="1">
      <c r="Q79"/>
    </row>
    <row r="80" spans="1:21" ht="12.75" customHeight="1">
      <c r="Q80"/>
    </row>
    <row r="81" spans="3:17" ht="12.75" customHeight="1">
      <c r="D81" s="17"/>
      <c r="E81" s="17"/>
      <c r="F81" s="471"/>
      <c r="G81" s="17"/>
      <c r="N81" s="17"/>
      <c r="O81" s="17"/>
      <c r="Q81"/>
    </row>
    <row r="82" spans="3:17" ht="12.75" customHeight="1">
      <c r="D82" s="17"/>
      <c r="E82" s="17"/>
      <c r="F82" s="471"/>
      <c r="G82" s="17"/>
      <c r="N82" s="17"/>
      <c r="O82" s="17"/>
      <c r="Q82"/>
    </row>
    <row r="83" spans="3:17" ht="12.75" customHeight="1">
      <c r="C83" s="17"/>
      <c r="D83" s="17"/>
      <c r="E83" s="17"/>
      <c r="F83" s="471"/>
      <c r="G83" s="17"/>
      <c r="N83" s="17"/>
      <c r="O83" s="17"/>
      <c r="Q83"/>
    </row>
    <row r="84" spans="3:17" ht="12.75" customHeight="1">
      <c r="C84" s="17"/>
      <c r="Q84"/>
    </row>
    <row r="85" spans="3:17" ht="12.75" customHeight="1">
      <c r="C85" s="17"/>
      <c r="Q85"/>
    </row>
    <row r="86" spans="3:17" ht="12.75" customHeight="1">
      <c r="C86" s="23"/>
      <c r="Q86"/>
    </row>
    <row r="87" spans="3:17" ht="12.75" customHeight="1">
      <c r="Q87"/>
    </row>
    <row r="88" spans="3:17" ht="12.75" customHeight="1">
      <c r="Q88"/>
    </row>
    <row r="89" spans="3:17" ht="12.75" customHeight="1">
      <c r="Q89"/>
    </row>
    <row r="90" spans="3:17" ht="12.75" customHeight="1">
      <c r="Q90"/>
    </row>
    <row r="91" spans="3:17" ht="12.75" customHeight="1">
      <c r="Q91"/>
    </row>
    <row r="92" spans="3:17" ht="12.75" customHeight="1">
      <c r="Q92"/>
    </row>
    <row r="93" spans="3:17" ht="12.75" customHeight="1">
      <c r="Q93"/>
    </row>
    <row r="94" spans="3:17" ht="12.75" customHeight="1">
      <c r="Q94"/>
    </row>
    <row r="95" spans="3:17" ht="12.75" customHeight="1">
      <c r="Q95"/>
    </row>
    <row r="96" spans="3:17" ht="12.75" customHeight="1">
      <c r="Q96"/>
    </row>
    <row r="97" spans="17:17" ht="12.75" customHeight="1">
      <c r="Q97"/>
    </row>
    <row r="98" spans="17:17" ht="12.75" customHeight="1">
      <c r="Q98"/>
    </row>
    <row r="99" spans="17:17" ht="12.75" customHeight="1">
      <c r="Q99"/>
    </row>
    <row r="100" spans="17:17" ht="12.75" customHeight="1">
      <c r="Q100"/>
    </row>
    <row r="101" spans="17:17" ht="12.75" customHeight="1">
      <c r="Q101"/>
    </row>
    <row r="102" spans="17:17" ht="12.75" customHeight="1">
      <c r="Q102"/>
    </row>
    <row r="103" spans="17:17" ht="12.75" customHeight="1">
      <c r="Q103"/>
    </row>
    <row r="104" spans="17:17" ht="12.75" customHeight="1">
      <c r="Q104"/>
    </row>
    <row r="105" spans="17:17" ht="12.75" customHeight="1">
      <c r="Q105"/>
    </row>
  </sheetData>
  <mergeCells count="13">
    <mergeCell ref="S2:Y2"/>
    <mergeCell ref="F2:J2"/>
    <mergeCell ref="F3:J3"/>
    <mergeCell ref="F6:M6"/>
    <mergeCell ref="F5:M5"/>
    <mergeCell ref="B77:U77"/>
    <mergeCell ref="B76:J76"/>
    <mergeCell ref="A74:M74"/>
    <mergeCell ref="C5:E5"/>
    <mergeCell ref="B4:E4"/>
    <mergeCell ref="C9:E9"/>
    <mergeCell ref="C8:E8"/>
    <mergeCell ref="C7:E7"/>
  </mergeCells>
  <phoneticPr fontId="0" type="noConversion"/>
  <pageMargins left="0.5" right="0.5" top="0.64" bottom="0.5" header="0.5" footer="0.25"/>
  <pageSetup scale="68" orientation="portrait" r:id="rId1"/>
  <headerFooter alignWithMargins="0">
    <oddFooter>&amp;LSREB Fact Book&amp;R&amp;D</oddFooter>
  </headerFooter>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A1:N119"/>
  <sheetViews>
    <sheetView topLeftCell="A57" zoomScale="70" zoomScaleNormal="70" workbookViewId="0">
      <selection activeCell="N59" sqref="N59:N70"/>
    </sheetView>
  </sheetViews>
  <sheetFormatPr defaultRowHeight="12.6"/>
  <cols>
    <col min="1" max="1" width="13" customWidth="1"/>
    <col min="2" max="2" width="12.42578125" customWidth="1"/>
    <col min="3" max="3" width="12.28515625" customWidth="1"/>
    <col min="4" max="4" width="11.42578125" customWidth="1"/>
    <col min="5" max="5" width="11.5703125" customWidth="1"/>
    <col min="6" max="6" width="11.42578125" customWidth="1"/>
    <col min="7" max="7" width="11.140625" customWidth="1"/>
    <col min="8" max="9" width="10.5703125" customWidth="1"/>
    <col min="10" max="12" width="10.42578125" customWidth="1"/>
    <col min="13" max="13" width="10.140625" customWidth="1"/>
    <col min="14" max="14" width="65.140625" customWidth="1"/>
  </cols>
  <sheetData>
    <row r="1" spans="1:14" ht="132.6" customHeight="1">
      <c r="A1" s="608" t="s">
        <v>428</v>
      </c>
      <c r="B1" s="608"/>
      <c r="C1" s="608"/>
      <c r="D1" s="608"/>
      <c r="E1" s="608"/>
      <c r="F1" s="608"/>
      <c r="G1" s="608"/>
      <c r="H1" s="608"/>
      <c r="I1" s="608"/>
      <c r="J1" s="608"/>
      <c r="K1" s="608"/>
      <c r="L1" s="608"/>
      <c r="M1" s="608"/>
      <c r="N1" s="608"/>
    </row>
    <row r="2" spans="1:14" ht="29.1">
      <c r="A2" s="294" t="s">
        <v>346</v>
      </c>
      <c r="B2" s="295" t="s">
        <v>347</v>
      </c>
      <c r="C2" s="295" t="s">
        <v>347</v>
      </c>
      <c r="D2" s="295" t="s">
        <v>347</v>
      </c>
      <c r="E2" s="295" t="s">
        <v>347</v>
      </c>
      <c r="F2" s="295" t="s">
        <v>347</v>
      </c>
      <c r="G2" s="295" t="s">
        <v>347</v>
      </c>
      <c r="H2" s="295" t="s">
        <v>347</v>
      </c>
      <c r="I2" s="295" t="s">
        <v>347</v>
      </c>
      <c r="J2" s="295" t="s">
        <v>347</v>
      </c>
      <c r="K2" s="295" t="s">
        <v>347</v>
      </c>
      <c r="L2" s="295" t="s">
        <v>347</v>
      </c>
      <c r="M2" s="295" t="s">
        <v>347</v>
      </c>
      <c r="N2" s="295"/>
    </row>
    <row r="3" spans="1:14" ht="24.95">
      <c r="A3" s="294" t="s">
        <v>348</v>
      </c>
      <c r="B3" s="295" t="s">
        <v>349</v>
      </c>
      <c r="C3" s="295" t="s">
        <v>349</v>
      </c>
      <c r="D3" s="295" t="s">
        <v>349</v>
      </c>
      <c r="E3" s="295" t="s">
        <v>349</v>
      </c>
      <c r="F3" s="295" t="s">
        <v>349</v>
      </c>
      <c r="G3" s="295" t="s">
        <v>349</v>
      </c>
      <c r="H3" s="295" t="s">
        <v>349</v>
      </c>
      <c r="I3" s="295" t="s">
        <v>349</v>
      </c>
      <c r="J3" s="295" t="s">
        <v>349</v>
      </c>
      <c r="K3" s="295" t="s">
        <v>349</v>
      </c>
      <c r="L3" s="295" t="s">
        <v>349</v>
      </c>
      <c r="M3" s="295" t="s">
        <v>349</v>
      </c>
      <c r="N3" s="295"/>
    </row>
    <row r="4" spans="1:14" ht="75">
      <c r="A4" s="294" t="s">
        <v>350</v>
      </c>
      <c r="B4" s="295" t="s">
        <v>352</v>
      </c>
      <c r="C4" s="295" t="s">
        <v>352</v>
      </c>
      <c r="D4" s="295" t="s">
        <v>352</v>
      </c>
      <c r="E4" s="295" t="s">
        <v>352</v>
      </c>
      <c r="F4" s="295" t="s">
        <v>352</v>
      </c>
      <c r="G4" s="295" t="s">
        <v>352</v>
      </c>
      <c r="H4" s="295" t="s">
        <v>352</v>
      </c>
      <c r="I4" s="295" t="s">
        <v>352</v>
      </c>
      <c r="J4" s="295" t="s">
        <v>352</v>
      </c>
      <c r="K4" s="295" t="s">
        <v>352</v>
      </c>
      <c r="L4" s="295" t="s">
        <v>352</v>
      </c>
      <c r="M4" s="295" t="s">
        <v>352</v>
      </c>
      <c r="N4" s="295"/>
    </row>
    <row r="5" spans="1:14" ht="137.44999999999999">
      <c r="A5" s="294" t="s">
        <v>353</v>
      </c>
      <c r="B5" s="295" t="s">
        <v>356</v>
      </c>
      <c r="C5" s="295" t="s">
        <v>429</v>
      </c>
      <c r="D5" s="295" t="s">
        <v>430</v>
      </c>
      <c r="E5" s="295" t="s">
        <v>431</v>
      </c>
      <c r="F5" s="295" t="s">
        <v>432</v>
      </c>
      <c r="G5" s="295" t="s">
        <v>433</v>
      </c>
      <c r="H5" s="295" t="s">
        <v>434</v>
      </c>
      <c r="I5" s="295" t="s">
        <v>435</v>
      </c>
      <c r="J5" s="295" t="s">
        <v>436</v>
      </c>
      <c r="K5" s="295" t="s">
        <v>437</v>
      </c>
      <c r="L5" s="295" t="s">
        <v>438</v>
      </c>
      <c r="M5" s="295" t="s">
        <v>439</v>
      </c>
      <c r="N5" s="295" t="s">
        <v>355</v>
      </c>
    </row>
    <row r="6" spans="1:14" ht="14.45">
      <c r="A6" s="294" t="s">
        <v>357</v>
      </c>
      <c r="B6" s="296">
        <v>0.75</v>
      </c>
      <c r="C6" s="296">
        <v>0.84</v>
      </c>
      <c r="D6" s="296">
        <v>0.85</v>
      </c>
      <c r="E6" s="295" t="s">
        <v>415</v>
      </c>
      <c r="F6" s="296">
        <v>0.67</v>
      </c>
      <c r="G6" s="296">
        <v>0.54</v>
      </c>
      <c r="H6" s="296">
        <v>0.69</v>
      </c>
      <c r="I6" s="296">
        <v>0.36</v>
      </c>
      <c r="J6" s="296">
        <v>0.66</v>
      </c>
      <c r="K6" s="295" t="s">
        <v>415</v>
      </c>
      <c r="L6" s="296">
        <v>0.89</v>
      </c>
      <c r="M6" s="296">
        <v>0.81</v>
      </c>
      <c r="N6" s="295"/>
    </row>
    <row r="7" spans="1:14" ht="14.45">
      <c r="A7" s="294" t="s">
        <v>358</v>
      </c>
      <c r="B7" s="296">
        <v>0.7</v>
      </c>
      <c r="C7" s="296">
        <v>0.54</v>
      </c>
      <c r="D7" s="296">
        <v>0.76</v>
      </c>
      <c r="E7" s="295" t="s">
        <v>415</v>
      </c>
      <c r="F7" s="296">
        <v>0.61</v>
      </c>
      <c r="G7" s="296">
        <v>0.46</v>
      </c>
      <c r="H7" s="296">
        <v>0.7</v>
      </c>
      <c r="I7" s="296">
        <v>0.47</v>
      </c>
      <c r="J7" s="296">
        <v>0.59</v>
      </c>
      <c r="K7" s="295" t="s">
        <v>415</v>
      </c>
      <c r="L7" s="296">
        <v>0.67</v>
      </c>
      <c r="M7" s="296">
        <v>0.76</v>
      </c>
      <c r="N7" s="295"/>
    </row>
    <row r="8" spans="1:14" ht="14.45">
      <c r="A8" s="294" t="s">
        <v>359</v>
      </c>
      <c r="B8" s="296">
        <v>0.76</v>
      </c>
      <c r="C8" s="296">
        <v>0.63</v>
      </c>
      <c r="D8" s="296">
        <v>0.85</v>
      </c>
      <c r="E8" s="295" t="s">
        <v>415</v>
      </c>
      <c r="F8" s="296">
        <v>0.71</v>
      </c>
      <c r="G8" s="296">
        <v>0.65</v>
      </c>
      <c r="H8" s="296">
        <v>0.7</v>
      </c>
      <c r="I8" s="296">
        <v>0.24</v>
      </c>
      <c r="J8" s="296">
        <v>0.71</v>
      </c>
      <c r="K8" s="295" t="s">
        <v>415</v>
      </c>
      <c r="L8" s="295" t="s">
        <v>415</v>
      </c>
      <c r="M8" s="296">
        <v>0.84</v>
      </c>
      <c r="N8" s="295"/>
    </row>
    <row r="9" spans="1:14" ht="50.1">
      <c r="A9" s="294" t="s">
        <v>360</v>
      </c>
      <c r="B9" s="296">
        <v>0.84</v>
      </c>
      <c r="C9" s="296">
        <v>0.78</v>
      </c>
      <c r="D9" s="296">
        <v>0.84</v>
      </c>
      <c r="E9" s="296">
        <v>0.88</v>
      </c>
      <c r="F9" s="296">
        <v>0.78</v>
      </c>
      <c r="G9" s="296">
        <v>0.79</v>
      </c>
      <c r="H9" s="296">
        <v>0.78</v>
      </c>
      <c r="I9" s="296">
        <v>0.77</v>
      </c>
      <c r="J9" s="296">
        <v>0.79</v>
      </c>
      <c r="K9" s="296">
        <v>0.63</v>
      </c>
      <c r="L9" s="296">
        <v>0.84</v>
      </c>
      <c r="M9" s="296">
        <v>0.87</v>
      </c>
      <c r="N9" s="295" t="s">
        <v>440</v>
      </c>
    </row>
    <row r="10" spans="1:14" ht="14.45">
      <c r="A10" s="294" t="s">
        <v>361</v>
      </c>
      <c r="B10" s="296">
        <v>0.79</v>
      </c>
      <c r="C10" s="296">
        <v>0.72</v>
      </c>
      <c r="D10" s="296">
        <v>0.9</v>
      </c>
      <c r="E10" s="296">
        <v>0.91</v>
      </c>
      <c r="F10" s="296">
        <v>0.66</v>
      </c>
      <c r="G10" s="296">
        <v>0.61</v>
      </c>
      <c r="H10" s="296">
        <v>0.74</v>
      </c>
      <c r="I10" s="296">
        <v>0.62</v>
      </c>
      <c r="J10" s="296">
        <v>0.73</v>
      </c>
      <c r="K10" s="296">
        <v>0.77</v>
      </c>
      <c r="L10" s="296">
        <v>0.77</v>
      </c>
      <c r="M10" s="296">
        <v>0.87</v>
      </c>
      <c r="N10" s="295"/>
    </row>
    <row r="11" spans="1:14" ht="50.1">
      <c r="A11" s="294" t="s">
        <v>362</v>
      </c>
      <c r="B11" s="296">
        <v>0.75</v>
      </c>
      <c r="C11" s="296">
        <v>0.57999999999999996</v>
      </c>
      <c r="D11" s="296">
        <v>0.82</v>
      </c>
      <c r="E11" s="296">
        <v>0.83</v>
      </c>
      <c r="F11" s="296">
        <v>0.66</v>
      </c>
      <c r="G11" s="296">
        <v>0.54</v>
      </c>
      <c r="H11" s="296">
        <v>0.62</v>
      </c>
      <c r="I11" s="296">
        <v>0.53</v>
      </c>
      <c r="J11" s="296">
        <v>0.61</v>
      </c>
      <c r="K11" s="296">
        <v>0.7</v>
      </c>
      <c r="L11" s="296">
        <v>0.8</v>
      </c>
      <c r="M11" s="296">
        <v>0.82</v>
      </c>
      <c r="N11" s="295" t="s">
        <v>440</v>
      </c>
    </row>
    <row r="12" spans="1:14" ht="50.1">
      <c r="A12" s="294" t="s">
        <v>363</v>
      </c>
      <c r="B12" s="296">
        <v>0.85</v>
      </c>
      <c r="C12" s="296">
        <v>0.85</v>
      </c>
      <c r="D12" s="296">
        <v>0.92</v>
      </c>
      <c r="E12" s="295" t="s">
        <v>441</v>
      </c>
      <c r="F12" s="296">
        <v>0.73</v>
      </c>
      <c r="G12" s="296">
        <v>0.64</v>
      </c>
      <c r="H12" s="296">
        <v>0.69</v>
      </c>
      <c r="I12" s="296">
        <v>0.63</v>
      </c>
      <c r="J12" s="296">
        <v>0.7</v>
      </c>
      <c r="K12" s="295" t="s">
        <v>442</v>
      </c>
      <c r="L12" s="296">
        <v>0.83</v>
      </c>
      <c r="M12" s="296">
        <v>0.91</v>
      </c>
      <c r="N12" s="295" t="s">
        <v>440</v>
      </c>
    </row>
    <row r="13" spans="1:14" ht="50.1">
      <c r="A13" s="294" t="s">
        <v>364</v>
      </c>
      <c r="B13" s="296">
        <v>0.8</v>
      </c>
      <c r="C13" s="296">
        <v>0.72</v>
      </c>
      <c r="D13" s="296">
        <v>0.93</v>
      </c>
      <c r="E13" s="295" t="s">
        <v>441</v>
      </c>
      <c r="F13" s="296">
        <v>0.74</v>
      </c>
      <c r="G13" s="296">
        <v>0.56999999999999995</v>
      </c>
      <c r="H13" s="296">
        <v>0.74</v>
      </c>
      <c r="I13" s="296">
        <v>0.71</v>
      </c>
      <c r="J13" s="296">
        <v>0.72</v>
      </c>
      <c r="K13" s="295" t="s">
        <v>441</v>
      </c>
      <c r="L13" s="296">
        <v>0.87</v>
      </c>
      <c r="M13" s="296">
        <v>0.83</v>
      </c>
      <c r="N13" s="295" t="s">
        <v>440</v>
      </c>
    </row>
    <row r="14" spans="1:14" ht="50.1">
      <c r="A14" s="294" t="s">
        <v>365</v>
      </c>
      <c r="B14" s="296">
        <v>0.59</v>
      </c>
      <c r="C14" s="295" t="s">
        <v>441</v>
      </c>
      <c r="D14" s="296">
        <v>0.74</v>
      </c>
      <c r="E14" s="296">
        <v>0.79</v>
      </c>
      <c r="F14" s="296">
        <v>0.57999999999999996</v>
      </c>
      <c r="G14" s="296">
        <v>0.44</v>
      </c>
      <c r="H14" s="296">
        <v>0.54</v>
      </c>
      <c r="I14" s="296">
        <v>0.52</v>
      </c>
      <c r="J14" s="296">
        <v>0.7</v>
      </c>
      <c r="K14" s="296">
        <v>0.55000000000000004</v>
      </c>
      <c r="L14" s="295" t="s">
        <v>441</v>
      </c>
      <c r="M14" s="296">
        <v>0.86</v>
      </c>
      <c r="N14" s="295" t="s">
        <v>440</v>
      </c>
    </row>
    <row r="15" spans="1:14" ht="50.1">
      <c r="A15" s="294" t="s">
        <v>366</v>
      </c>
      <c r="B15" s="296">
        <v>0.75</v>
      </c>
      <c r="C15" s="296">
        <v>0.7</v>
      </c>
      <c r="D15" s="296">
        <v>0.88</v>
      </c>
      <c r="E15" s="296">
        <v>0.88</v>
      </c>
      <c r="F15" s="296">
        <v>0.64</v>
      </c>
      <c r="G15" s="296">
        <v>0.48</v>
      </c>
      <c r="H15" s="296">
        <v>0.73</v>
      </c>
      <c r="I15" s="296">
        <v>0.56999999999999995</v>
      </c>
      <c r="J15" s="296">
        <v>0.65</v>
      </c>
      <c r="K15" s="295" t="s">
        <v>415</v>
      </c>
      <c r="L15" s="295" t="s">
        <v>415</v>
      </c>
      <c r="M15" s="296">
        <v>0.79</v>
      </c>
      <c r="N15" s="295" t="s">
        <v>440</v>
      </c>
    </row>
    <row r="16" spans="1:14" ht="14.45">
      <c r="A16" s="294" t="s">
        <v>367</v>
      </c>
      <c r="B16" s="296">
        <v>0.7</v>
      </c>
      <c r="C16" s="296">
        <v>0.67</v>
      </c>
      <c r="D16" s="296">
        <v>0.82</v>
      </c>
      <c r="E16" s="295" t="s">
        <v>415</v>
      </c>
      <c r="F16" s="296">
        <v>0.62</v>
      </c>
      <c r="G16" s="296">
        <v>0.35</v>
      </c>
      <c r="H16" s="296">
        <v>0.6</v>
      </c>
      <c r="I16" s="296">
        <v>0.44</v>
      </c>
      <c r="J16" s="296">
        <v>0.61</v>
      </c>
      <c r="K16" s="295" t="s">
        <v>415</v>
      </c>
      <c r="L16" s="296">
        <v>0.72</v>
      </c>
      <c r="M16" s="296">
        <v>0.78</v>
      </c>
      <c r="N16" s="295"/>
    </row>
    <row r="17" spans="1:14" ht="14.45">
      <c r="A17" s="294" t="s">
        <v>368</v>
      </c>
      <c r="B17" s="296">
        <v>0.82</v>
      </c>
      <c r="C17" s="296">
        <v>0.65</v>
      </c>
      <c r="D17" s="296">
        <v>0.84</v>
      </c>
      <c r="E17" s="295" t="s">
        <v>415</v>
      </c>
      <c r="F17" s="296">
        <v>0.76</v>
      </c>
      <c r="G17" s="296">
        <v>0.74</v>
      </c>
      <c r="H17" s="296">
        <v>0.76</v>
      </c>
      <c r="I17" s="296">
        <v>0.56000000000000005</v>
      </c>
      <c r="J17" s="296">
        <v>0.8</v>
      </c>
      <c r="K17" s="295" t="s">
        <v>415</v>
      </c>
      <c r="L17" s="295" t="s">
        <v>415</v>
      </c>
      <c r="M17" s="296">
        <v>0.79</v>
      </c>
      <c r="N17" s="295"/>
    </row>
    <row r="18" spans="1:14" ht="75">
      <c r="A18" s="602" t="s">
        <v>369</v>
      </c>
      <c r="B18" s="599" t="s">
        <v>141</v>
      </c>
      <c r="C18" s="599" t="s">
        <v>141</v>
      </c>
      <c r="D18" s="599" t="s">
        <v>141</v>
      </c>
      <c r="E18" s="599" t="s">
        <v>141</v>
      </c>
      <c r="F18" s="599" t="s">
        <v>141</v>
      </c>
      <c r="G18" s="599" t="s">
        <v>141</v>
      </c>
      <c r="H18" s="599" t="s">
        <v>141</v>
      </c>
      <c r="I18" s="599" t="s">
        <v>141</v>
      </c>
      <c r="J18" s="599" t="s">
        <v>141</v>
      </c>
      <c r="K18" s="599" t="s">
        <v>141</v>
      </c>
      <c r="L18" s="599" t="s">
        <v>141</v>
      </c>
      <c r="M18" s="599" t="s">
        <v>141</v>
      </c>
      <c r="N18" s="500" t="s">
        <v>371</v>
      </c>
    </row>
    <row r="19" spans="1:14" ht="87.6">
      <c r="A19" s="603"/>
      <c r="B19" s="600"/>
      <c r="C19" s="600"/>
      <c r="D19" s="600"/>
      <c r="E19" s="600"/>
      <c r="F19" s="600"/>
      <c r="G19" s="600"/>
      <c r="H19" s="600"/>
      <c r="I19" s="600"/>
      <c r="J19" s="600"/>
      <c r="K19" s="600"/>
      <c r="L19" s="600"/>
      <c r="M19" s="600"/>
      <c r="N19" s="501" t="s">
        <v>443</v>
      </c>
    </row>
    <row r="20" spans="1:14" ht="87.6">
      <c r="A20" s="603"/>
      <c r="B20" s="600"/>
      <c r="C20" s="600"/>
      <c r="D20" s="600"/>
      <c r="E20" s="600"/>
      <c r="F20" s="600"/>
      <c r="G20" s="600"/>
      <c r="H20" s="600"/>
      <c r="I20" s="600"/>
      <c r="J20" s="600"/>
      <c r="K20" s="600"/>
      <c r="L20" s="600"/>
      <c r="M20" s="600"/>
      <c r="N20" s="501" t="s">
        <v>444</v>
      </c>
    </row>
    <row r="21" spans="1:14" ht="75">
      <c r="A21" s="603"/>
      <c r="B21" s="600"/>
      <c r="C21" s="600"/>
      <c r="D21" s="600"/>
      <c r="E21" s="600"/>
      <c r="F21" s="600"/>
      <c r="G21" s="600"/>
      <c r="H21" s="600"/>
      <c r="I21" s="600"/>
      <c r="J21" s="600"/>
      <c r="K21" s="600"/>
      <c r="L21" s="600"/>
      <c r="M21" s="600"/>
      <c r="N21" s="501" t="s">
        <v>445</v>
      </c>
    </row>
    <row r="22" spans="1:14" ht="75">
      <c r="A22" s="603"/>
      <c r="B22" s="600"/>
      <c r="C22" s="600"/>
      <c r="D22" s="600"/>
      <c r="E22" s="600"/>
      <c r="F22" s="600"/>
      <c r="G22" s="600"/>
      <c r="H22" s="600"/>
      <c r="I22" s="600"/>
      <c r="J22" s="600"/>
      <c r="K22" s="600"/>
      <c r="L22" s="600"/>
      <c r="M22" s="600"/>
      <c r="N22" s="501" t="s">
        <v>446</v>
      </c>
    </row>
    <row r="23" spans="1:14" ht="87.6">
      <c r="A23" s="603"/>
      <c r="B23" s="600"/>
      <c r="C23" s="600"/>
      <c r="D23" s="600"/>
      <c r="E23" s="600"/>
      <c r="F23" s="600"/>
      <c r="G23" s="600"/>
      <c r="H23" s="600"/>
      <c r="I23" s="600"/>
      <c r="J23" s="600"/>
      <c r="K23" s="600"/>
      <c r="L23" s="600"/>
      <c r="M23" s="600"/>
      <c r="N23" s="501" t="s">
        <v>447</v>
      </c>
    </row>
    <row r="24" spans="1:14" ht="75">
      <c r="A24" s="603"/>
      <c r="B24" s="600"/>
      <c r="C24" s="600"/>
      <c r="D24" s="600"/>
      <c r="E24" s="600"/>
      <c r="F24" s="600"/>
      <c r="G24" s="600"/>
      <c r="H24" s="600"/>
      <c r="I24" s="600"/>
      <c r="J24" s="600"/>
      <c r="K24" s="600"/>
      <c r="L24" s="600"/>
      <c r="M24" s="600"/>
      <c r="N24" s="501" t="s">
        <v>448</v>
      </c>
    </row>
    <row r="25" spans="1:14" ht="87.6">
      <c r="A25" s="603"/>
      <c r="B25" s="600"/>
      <c r="C25" s="600"/>
      <c r="D25" s="600"/>
      <c r="E25" s="600"/>
      <c r="F25" s="600"/>
      <c r="G25" s="600"/>
      <c r="H25" s="600"/>
      <c r="I25" s="600"/>
      <c r="J25" s="600"/>
      <c r="K25" s="600"/>
      <c r="L25" s="600"/>
      <c r="M25" s="600"/>
      <c r="N25" s="501" t="s">
        <v>449</v>
      </c>
    </row>
    <row r="26" spans="1:14" ht="75">
      <c r="A26" s="603"/>
      <c r="B26" s="600"/>
      <c r="C26" s="600"/>
      <c r="D26" s="600"/>
      <c r="E26" s="600"/>
      <c r="F26" s="600"/>
      <c r="G26" s="600"/>
      <c r="H26" s="600"/>
      <c r="I26" s="600"/>
      <c r="J26" s="600"/>
      <c r="K26" s="600"/>
      <c r="L26" s="600"/>
      <c r="M26" s="600"/>
      <c r="N26" s="501" t="s">
        <v>450</v>
      </c>
    </row>
    <row r="27" spans="1:14" ht="87.6">
      <c r="A27" s="603"/>
      <c r="B27" s="600"/>
      <c r="C27" s="600"/>
      <c r="D27" s="600"/>
      <c r="E27" s="600"/>
      <c r="F27" s="600"/>
      <c r="G27" s="600"/>
      <c r="H27" s="600"/>
      <c r="I27" s="600"/>
      <c r="J27" s="600"/>
      <c r="K27" s="600"/>
      <c r="L27" s="600"/>
      <c r="M27" s="600"/>
      <c r="N27" s="501" t="s">
        <v>451</v>
      </c>
    </row>
    <row r="28" spans="1:14" ht="87.6">
      <c r="A28" s="603"/>
      <c r="B28" s="600"/>
      <c r="C28" s="600"/>
      <c r="D28" s="600"/>
      <c r="E28" s="600"/>
      <c r="F28" s="600"/>
      <c r="G28" s="600"/>
      <c r="H28" s="600"/>
      <c r="I28" s="600"/>
      <c r="J28" s="600"/>
      <c r="K28" s="600"/>
      <c r="L28" s="600"/>
      <c r="M28" s="600"/>
      <c r="N28" s="501" t="s">
        <v>452</v>
      </c>
    </row>
    <row r="29" spans="1:14" ht="75">
      <c r="A29" s="604"/>
      <c r="B29" s="601"/>
      <c r="C29" s="601"/>
      <c r="D29" s="601"/>
      <c r="E29" s="601"/>
      <c r="F29" s="601"/>
      <c r="G29" s="601"/>
      <c r="H29" s="601"/>
      <c r="I29" s="601"/>
      <c r="J29" s="601"/>
      <c r="K29" s="601"/>
      <c r="L29" s="601"/>
      <c r="M29" s="601"/>
      <c r="N29" s="502" t="s">
        <v>453</v>
      </c>
    </row>
    <row r="30" spans="1:14" ht="50.1">
      <c r="A30" s="294" t="s">
        <v>372</v>
      </c>
      <c r="B30" s="296">
        <v>0.82</v>
      </c>
      <c r="C30" s="296">
        <v>0.79</v>
      </c>
      <c r="D30" s="296">
        <v>0.93</v>
      </c>
      <c r="E30" s="296">
        <v>0.93</v>
      </c>
      <c r="F30" s="296">
        <v>0.68</v>
      </c>
      <c r="G30" s="296">
        <v>0.69</v>
      </c>
      <c r="H30" s="296">
        <v>0.76</v>
      </c>
      <c r="I30" s="296">
        <v>0.66</v>
      </c>
      <c r="J30" s="296">
        <v>0.73</v>
      </c>
      <c r="K30" s="296">
        <v>0.87</v>
      </c>
      <c r="L30" s="296">
        <v>0.83</v>
      </c>
      <c r="M30" s="296">
        <v>0.89</v>
      </c>
      <c r="N30" s="295" t="s">
        <v>440</v>
      </c>
    </row>
    <row r="31" spans="1:14" ht="50.1">
      <c r="A31" s="294" t="s">
        <v>373</v>
      </c>
      <c r="B31" s="296">
        <v>0.86</v>
      </c>
      <c r="C31" s="296">
        <v>0.78</v>
      </c>
      <c r="D31" s="296">
        <v>0.89</v>
      </c>
      <c r="E31" s="296">
        <v>0.89</v>
      </c>
      <c r="F31" s="296">
        <v>0.73</v>
      </c>
      <c r="G31" s="296">
        <v>0.71</v>
      </c>
      <c r="H31" s="296">
        <v>0.8</v>
      </c>
      <c r="I31" s="296">
        <v>0.78</v>
      </c>
      <c r="J31" s="296">
        <v>0.85</v>
      </c>
      <c r="K31" s="296">
        <v>0.88</v>
      </c>
      <c r="L31" s="296">
        <v>0.84</v>
      </c>
      <c r="M31" s="296">
        <v>0.89</v>
      </c>
      <c r="N31" s="295" t="s">
        <v>440</v>
      </c>
    </row>
    <row r="32" spans="1:14" ht="50.1">
      <c r="A32" s="294" t="s">
        <v>374</v>
      </c>
      <c r="B32" s="296">
        <v>0.89</v>
      </c>
      <c r="C32" s="296">
        <v>0.73</v>
      </c>
      <c r="D32" s="296">
        <v>0.89</v>
      </c>
      <c r="E32" s="296">
        <v>0.9</v>
      </c>
      <c r="F32" s="296">
        <v>0.74</v>
      </c>
      <c r="G32" s="296">
        <v>0.73</v>
      </c>
      <c r="H32" s="296">
        <v>0.77</v>
      </c>
      <c r="I32" s="296">
        <v>0.74</v>
      </c>
      <c r="J32" s="296">
        <v>0.8</v>
      </c>
      <c r="K32" s="296">
        <v>0.77</v>
      </c>
      <c r="L32" s="296">
        <v>0.84</v>
      </c>
      <c r="M32" s="296">
        <v>0.91</v>
      </c>
      <c r="N32" s="295" t="s">
        <v>440</v>
      </c>
    </row>
    <row r="33" spans="1:14" ht="50.1">
      <c r="A33" s="294" t="s">
        <v>375</v>
      </c>
      <c r="B33" s="296">
        <v>0.85</v>
      </c>
      <c r="C33" s="296">
        <v>0.78</v>
      </c>
      <c r="D33" s="296">
        <v>0.86</v>
      </c>
      <c r="E33" s="296">
        <v>0.88</v>
      </c>
      <c r="F33" s="296">
        <v>0.75</v>
      </c>
      <c r="G33" s="296">
        <v>0.77</v>
      </c>
      <c r="H33" s="296">
        <v>0.77</v>
      </c>
      <c r="I33" s="296">
        <v>0.74</v>
      </c>
      <c r="J33" s="296">
        <v>0.76</v>
      </c>
      <c r="K33" s="296">
        <v>0.62</v>
      </c>
      <c r="L33" s="296">
        <v>0.84</v>
      </c>
      <c r="M33" s="296">
        <v>0.88</v>
      </c>
      <c r="N33" s="295" t="s">
        <v>440</v>
      </c>
    </row>
    <row r="34" spans="1:14" ht="75">
      <c r="A34" s="602" t="s">
        <v>376</v>
      </c>
      <c r="B34" s="599" t="s">
        <v>141</v>
      </c>
      <c r="C34" s="599" t="s">
        <v>141</v>
      </c>
      <c r="D34" s="599" t="s">
        <v>141</v>
      </c>
      <c r="E34" s="599" t="s">
        <v>141</v>
      </c>
      <c r="F34" s="599" t="s">
        <v>141</v>
      </c>
      <c r="G34" s="599" t="s">
        <v>141</v>
      </c>
      <c r="H34" s="599" t="s">
        <v>141</v>
      </c>
      <c r="I34" s="599" t="s">
        <v>141</v>
      </c>
      <c r="J34" s="599" t="s">
        <v>141</v>
      </c>
      <c r="K34" s="599" t="s">
        <v>141</v>
      </c>
      <c r="L34" s="599" t="s">
        <v>141</v>
      </c>
      <c r="M34" s="599" t="s">
        <v>141</v>
      </c>
      <c r="N34" s="500" t="s">
        <v>371</v>
      </c>
    </row>
    <row r="35" spans="1:14" ht="87.6">
      <c r="A35" s="603"/>
      <c r="B35" s="600"/>
      <c r="C35" s="600"/>
      <c r="D35" s="600"/>
      <c r="E35" s="600"/>
      <c r="F35" s="600"/>
      <c r="G35" s="600"/>
      <c r="H35" s="600"/>
      <c r="I35" s="600"/>
      <c r="J35" s="600"/>
      <c r="K35" s="600"/>
      <c r="L35" s="600"/>
      <c r="M35" s="600"/>
      <c r="N35" s="501" t="s">
        <v>443</v>
      </c>
    </row>
    <row r="36" spans="1:14" ht="87.6">
      <c r="A36" s="603"/>
      <c r="B36" s="600"/>
      <c r="C36" s="600"/>
      <c r="D36" s="600"/>
      <c r="E36" s="600"/>
      <c r="F36" s="600"/>
      <c r="G36" s="600"/>
      <c r="H36" s="600"/>
      <c r="I36" s="600"/>
      <c r="J36" s="600"/>
      <c r="K36" s="600"/>
      <c r="L36" s="600"/>
      <c r="M36" s="600"/>
      <c r="N36" s="501" t="s">
        <v>444</v>
      </c>
    </row>
    <row r="37" spans="1:14" ht="75">
      <c r="A37" s="603"/>
      <c r="B37" s="600"/>
      <c r="C37" s="600"/>
      <c r="D37" s="600"/>
      <c r="E37" s="600"/>
      <c r="F37" s="600"/>
      <c r="G37" s="600"/>
      <c r="H37" s="600"/>
      <c r="I37" s="600"/>
      <c r="J37" s="600"/>
      <c r="K37" s="600"/>
      <c r="L37" s="600"/>
      <c r="M37" s="600"/>
      <c r="N37" s="501" t="s">
        <v>445</v>
      </c>
    </row>
    <row r="38" spans="1:14" ht="75">
      <c r="A38" s="603"/>
      <c r="B38" s="600"/>
      <c r="C38" s="600"/>
      <c r="D38" s="600"/>
      <c r="E38" s="600"/>
      <c r="F38" s="600"/>
      <c r="G38" s="600"/>
      <c r="H38" s="600"/>
      <c r="I38" s="600"/>
      <c r="J38" s="600"/>
      <c r="K38" s="600"/>
      <c r="L38" s="600"/>
      <c r="M38" s="600"/>
      <c r="N38" s="501" t="s">
        <v>446</v>
      </c>
    </row>
    <row r="39" spans="1:14" ht="87.6">
      <c r="A39" s="603"/>
      <c r="B39" s="600"/>
      <c r="C39" s="600"/>
      <c r="D39" s="600"/>
      <c r="E39" s="600"/>
      <c r="F39" s="600"/>
      <c r="G39" s="600"/>
      <c r="H39" s="600"/>
      <c r="I39" s="600"/>
      <c r="J39" s="600"/>
      <c r="K39" s="600"/>
      <c r="L39" s="600"/>
      <c r="M39" s="600"/>
      <c r="N39" s="501" t="s">
        <v>447</v>
      </c>
    </row>
    <row r="40" spans="1:14" ht="75">
      <c r="A40" s="603"/>
      <c r="B40" s="600"/>
      <c r="C40" s="600"/>
      <c r="D40" s="600"/>
      <c r="E40" s="600"/>
      <c r="F40" s="600"/>
      <c r="G40" s="600"/>
      <c r="H40" s="600"/>
      <c r="I40" s="600"/>
      <c r="J40" s="600"/>
      <c r="K40" s="600"/>
      <c r="L40" s="600"/>
      <c r="M40" s="600"/>
      <c r="N40" s="501" t="s">
        <v>448</v>
      </c>
    </row>
    <row r="41" spans="1:14" ht="87.6">
      <c r="A41" s="603"/>
      <c r="B41" s="600"/>
      <c r="C41" s="600"/>
      <c r="D41" s="600"/>
      <c r="E41" s="600"/>
      <c r="F41" s="600"/>
      <c r="G41" s="600"/>
      <c r="H41" s="600"/>
      <c r="I41" s="600"/>
      <c r="J41" s="600"/>
      <c r="K41" s="600"/>
      <c r="L41" s="600"/>
      <c r="M41" s="600"/>
      <c r="N41" s="501" t="s">
        <v>449</v>
      </c>
    </row>
    <row r="42" spans="1:14" ht="75">
      <c r="A42" s="603"/>
      <c r="B42" s="600"/>
      <c r="C42" s="600"/>
      <c r="D42" s="600"/>
      <c r="E42" s="600"/>
      <c r="F42" s="600"/>
      <c r="G42" s="600"/>
      <c r="H42" s="600"/>
      <c r="I42" s="600"/>
      <c r="J42" s="600"/>
      <c r="K42" s="600"/>
      <c r="L42" s="600"/>
      <c r="M42" s="600"/>
      <c r="N42" s="501" t="s">
        <v>450</v>
      </c>
    </row>
    <row r="43" spans="1:14" ht="87.6">
      <c r="A43" s="603"/>
      <c r="B43" s="600"/>
      <c r="C43" s="600"/>
      <c r="D43" s="600"/>
      <c r="E43" s="600"/>
      <c r="F43" s="600"/>
      <c r="G43" s="600"/>
      <c r="H43" s="600"/>
      <c r="I43" s="600"/>
      <c r="J43" s="600"/>
      <c r="K43" s="600"/>
      <c r="L43" s="600"/>
      <c r="M43" s="600"/>
      <c r="N43" s="501" t="s">
        <v>451</v>
      </c>
    </row>
    <row r="44" spans="1:14" ht="87.6">
      <c r="A44" s="603"/>
      <c r="B44" s="600"/>
      <c r="C44" s="600"/>
      <c r="D44" s="600"/>
      <c r="E44" s="600"/>
      <c r="F44" s="600"/>
      <c r="G44" s="600"/>
      <c r="H44" s="600"/>
      <c r="I44" s="600"/>
      <c r="J44" s="600"/>
      <c r="K44" s="600"/>
      <c r="L44" s="600"/>
      <c r="M44" s="600"/>
      <c r="N44" s="501" t="s">
        <v>452</v>
      </c>
    </row>
    <row r="45" spans="1:14" ht="75">
      <c r="A45" s="604"/>
      <c r="B45" s="601"/>
      <c r="C45" s="601"/>
      <c r="D45" s="601"/>
      <c r="E45" s="601"/>
      <c r="F45" s="601"/>
      <c r="G45" s="601"/>
      <c r="H45" s="601"/>
      <c r="I45" s="601"/>
      <c r="J45" s="601"/>
      <c r="K45" s="601"/>
      <c r="L45" s="601"/>
      <c r="M45" s="601"/>
      <c r="N45" s="502" t="s">
        <v>453</v>
      </c>
    </row>
    <row r="46" spans="1:14" ht="50.1">
      <c r="A46" s="294" t="s">
        <v>378</v>
      </c>
      <c r="B46" s="296">
        <v>0.72</v>
      </c>
      <c r="C46" s="296">
        <v>0.73</v>
      </c>
      <c r="D46" s="296">
        <v>0.86</v>
      </c>
      <c r="E46" s="296">
        <v>0.86</v>
      </c>
      <c r="F46" s="296">
        <v>0.65</v>
      </c>
      <c r="G46" s="296">
        <v>0.33</v>
      </c>
      <c r="H46" s="296">
        <v>0.71</v>
      </c>
      <c r="I46" s="296">
        <v>0.49</v>
      </c>
      <c r="J46" s="296">
        <v>0.66</v>
      </c>
      <c r="K46" s="296">
        <v>0.57999999999999996</v>
      </c>
      <c r="L46" s="296">
        <v>0.79</v>
      </c>
      <c r="M46" s="296">
        <v>0.78</v>
      </c>
      <c r="N46" s="295" t="s">
        <v>440</v>
      </c>
    </row>
    <row r="47" spans="1:14" ht="50.1">
      <c r="A47" s="294" t="s">
        <v>379</v>
      </c>
      <c r="B47" s="296">
        <v>0.85</v>
      </c>
      <c r="C47" s="296">
        <v>0.72</v>
      </c>
      <c r="D47" s="296">
        <v>0.89</v>
      </c>
      <c r="E47" s="296">
        <v>0.89</v>
      </c>
      <c r="F47" s="296">
        <v>0.72</v>
      </c>
      <c r="G47" s="296">
        <v>0.7</v>
      </c>
      <c r="H47" s="296">
        <v>0.8</v>
      </c>
      <c r="I47" s="296">
        <v>0.74</v>
      </c>
      <c r="J47" s="296">
        <v>0.76</v>
      </c>
      <c r="K47" s="296">
        <v>0.86</v>
      </c>
      <c r="L47" s="296">
        <v>0.73</v>
      </c>
      <c r="M47" s="296">
        <v>0.86</v>
      </c>
      <c r="N47" s="295" t="s">
        <v>440</v>
      </c>
    </row>
    <row r="48" spans="1:14" ht="50.1">
      <c r="A48" s="294" t="s">
        <v>380</v>
      </c>
      <c r="B48" s="296">
        <v>0.84</v>
      </c>
      <c r="C48" s="296">
        <v>0.79</v>
      </c>
      <c r="D48" s="296">
        <v>0.93</v>
      </c>
      <c r="E48" s="296">
        <v>0.93</v>
      </c>
      <c r="F48" s="296">
        <v>0.77</v>
      </c>
      <c r="G48" s="296">
        <v>0.56999999999999995</v>
      </c>
      <c r="H48" s="296">
        <v>0.73</v>
      </c>
      <c r="I48" s="296">
        <v>0.55000000000000004</v>
      </c>
      <c r="J48" s="296">
        <v>0.75</v>
      </c>
      <c r="K48" s="296">
        <v>0.75</v>
      </c>
      <c r="L48" s="296">
        <v>0.89</v>
      </c>
      <c r="M48" s="296">
        <v>0.9</v>
      </c>
      <c r="N48" s="295" t="s">
        <v>440</v>
      </c>
    </row>
    <row r="49" spans="1:14" ht="50.1">
      <c r="A49" s="294" t="s">
        <v>381</v>
      </c>
      <c r="B49" s="296">
        <v>0.85</v>
      </c>
      <c r="C49" s="296">
        <v>0.7</v>
      </c>
      <c r="D49" s="296">
        <v>0.89</v>
      </c>
      <c r="E49" s="296">
        <v>0.9</v>
      </c>
      <c r="F49" s="296">
        <v>0.73</v>
      </c>
      <c r="G49" s="296">
        <v>0.69</v>
      </c>
      <c r="H49" s="296">
        <v>0.66</v>
      </c>
      <c r="I49" s="296">
        <v>0.61</v>
      </c>
      <c r="J49" s="296">
        <v>0.72</v>
      </c>
      <c r="K49" s="296">
        <v>0.71</v>
      </c>
      <c r="L49" s="296">
        <v>0.83</v>
      </c>
      <c r="M49" s="296">
        <v>0.9</v>
      </c>
      <c r="N49" s="295" t="s">
        <v>440</v>
      </c>
    </row>
    <row r="50" spans="1:14" ht="50.1">
      <c r="A50" s="294" t="s">
        <v>382</v>
      </c>
      <c r="B50" s="296">
        <v>0.76</v>
      </c>
      <c r="C50" s="296">
        <v>0.66</v>
      </c>
      <c r="D50" s="296">
        <v>0.87</v>
      </c>
      <c r="E50" s="296">
        <v>0.87</v>
      </c>
      <c r="F50" s="296">
        <v>0.6</v>
      </c>
      <c r="G50" s="296">
        <v>0.54</v>
      </c>
      <c r="H50" s="296">
        <v>0.64</v>
      </c>
      <c r="I50" s="296">
        <v>0.63</v>
      </c>
      <c r="J50" s="296">
        <v>0.64</v>
      </c>
      <c r="K50" s="296">
        <v>0.73</v>
      </c>
      <c r="L50" s="296">
        <v>0.74</v>
      </c>
      <c r="M50" s="296">
        <v>0.82</v>
      </c>
      <c r="N50" s="295" t="s">
        <v>440</v>
      </c>
    </row>
    <row r="51" spans="1:14" ht="14.45">
      <c r="A51" s="294" t="s">
        <v>383</v>
      </c>
      <c r="B51" s="296">
        <v>0.78</v>
      </c>
      <c r="C51" s="296">
        <v>0.45</v>
      </c>
      <c r="D51" s="296">
        <v>0.74</v>
      </c>
      <c r="E51" s="295" t="s">
        <v>415</v>
      </c>
      <c r="F51" s="296">
        <v>0.51</v>
      </c>
      <c r="G51" s="296">
        <v>0.56000000000000005</v>
      </c>
      <c r="H51" s="296">
        <v>0.53</v>
      </c>
      <c r="I51" s="296">
        <v>0.51</v>
      </c>
      <c r="J51" s="296">
        <v>0.59</v>
      </c>
      <c r="K51" s="295" t="s">
        <v>415</v>
      </c>
      <c r="L51" s="295" t="s">
        <v>415</v>
      </c>
      <c r="M51" s="296">
        <v>0.84</v>
      </c>
      <c r="N51" s="295"/>
    </row>
    <row r="52" spans="1:14" ht="50.1">
      <c r="A52" s="294" t="s">
        <v>384</v>
      </c>
      <c r="B52" s="296">
        <v>0.75</v>
      </c>
      <c r="C52" s="296">
        <v>0.71</v>
      </c>
      <c r="D52" s="296">
        <v>0.9</v>
      </c>
      <c r="E52" s="296">
        <v>0.9</v>
      </c>
      <c r="F52" s="296">
        <v>0.69</v>
      </c>
      <c r="G52" s="296">
        <v>0.32</v>
      </c>
      <c r="H52" s="296">
        <v>0.79</v>
      </c>
      <c r="I52" s="296">
        <v>0.54</v>
      </c>
      <c r="J52" s="296">
        <v>0.7</v>
      </c>
      <c r="K52" s="295" t="s">
        <v>415</v>
      </c>
      <c r="L52" s="295" t="s">
        <v>415</v>
      </c>
      <c r="M52" s="296">
        <v>0.82</v>
      </c>
      <c r="N52" s="295" t="s">
        <v>440</v>
      </c>
    </row>
    <row r="53" spans="1:14" ht="50.1">
      <c r="A53" s="294" t="s">
        <v>385</v>
      </c>
      <c r="B53" s="296">
        <v>0.86</v>
      </c>
      <c r="C53" s="296">
        <v>0.87</v>
      </c>
      <c r="D53" s="296">
        <v>0.9</v>
      </c>
      <c r="E53" s="296">
        <v>0.9</v>
      </c>
      <c r="F53" s="296">
        <v>0.73</v>
      </c>
      <c r="G53" s="296">
        <v>0.73</v>
      </c>
      <c r="H53" s="296">
        <v>0.8</v>
      </c>
      <c r="I53" s="296">
        <v>0.67</v>
      </c>
      <c r="J53" s="296">
        <v>0.79</v>
      </c>
      <c r="K53" s="296">
        <v>0.9</v>
      </c>
      <c r="L53" s="296">
        <v>0.87</v>
      </c>
      <c r="M53" s="296">
        <v>0.89</v>
      </c>
      <c r="N53" s="295" t="s">
        <v>440</v>
      </c>
    </row>
    <row r="54" spans="1:14" ht="50.1">
      <c r="A54" s="294" t="s">
        <v>386</v>
      </c>
      <c r="B54" s="296">
        <v>0.84</v>
      </c>
      <c r="C54" s="296">
        <v>0.63</v>
      </c>
      <c r="D54" s="296">
        <v>0.92</v>
      </c>
      <c r="E54" s="296">
        <v>0.95</v>
      </c>
      <c r="F54" s="296">
        <v>0.79</v>
      </c>
      <c r="G54" s="296">
        <v>0.81</v>
      </c>
      <c r="H54" s="296">
        <v>0.79</v>
      </c>
      <c r="I54" s="296">
        <v>0.53</v>
      </c>
      <c r="J54" s="296">
        <v>0.73</v>
      </c>
      <c r="K54" s="296">
        <v>0.82</v>
      </c>
      <c r="L54" s="295" t="s">
        <v>415</v>
      </c>
      <c r="M54" s="296">
        <v>0.87</v>
      </c>
      <c r="N54" s="295" t="s">
        <v>440</v>
      </c>
    </row>
    <row r="55" spans="1:14" ht="50.1">
      <c r="A55" s="294" t="s">
        <v>387</v>
      </c>
      <c r="B55" s="296">
        <v>0.88</v>
      </c>
      <c r="C55" s="296">
        <v>0.67</v>
      </c>
      <c r="D55" s="296">
        <v>0.83</v>
      </c>
      <c r="E55" s="296">
        <v>0.84</v>
      </c>
      <c r="F55" s="296">
        <v>0.74</v>
      </c>
      <c r="G55" s="296">
        <v>0.72</v>
      </c>
      <c r="H55" s="296">
        <v>0.78</v>
      </c>
      <c r="I55" s="296">
        <v>0.64</v>
      </c>
      <c r="J55" s="296">
        <v>0.8</v>
      </c>
      <c r="K55" s="296">
        <v>0.82</v>
      </c>
      <c r="L55" s="296">
        <v>0.85</v>
      </c>
      <c r="M55" s="296">
        <v>0.91</v>
      </c>
      <c r="N55" s="295" t="s">
        <v>440</v>
      </c>
    </row>
    <row r="56" spans="1:14" ht="50.1">
      <c r="A56" s="294" t="s">
        <v>388</v>
      </c>
      <c r="B56" s="296">
        <v>0.63</v>
      </c>
      <c r="C56" s="296">
        <v>0.54</v>
      </c>
      <c r="D56" s="296">
        <v>0.74</v>
      </c>
      <c r="E56" s="296">
        <v>0.75</v>
      </c>
      <c r="F56" s="296">
        <v>0.48</v>
      </c>
      <c r="G56" s="296">
        <v>0.24</v>
      </c>
      <c r="H56" s="296">
        <v>0.55000000000000004</v>
      </c>
      <c r="I56" s="296">
        <v>0.23</v>
      </c>
      <c r="J56" s="296">
        <v>0.57999999999999996</v>
      </c>
      <c r="K56" s="296">
        <v>0.72</v>
      </c>
      <c r="L56" s="296">
        <v>0.78</v>
      </c>
      <c r="M56" s="296">
        <v>0.72</v>
      </c>
      <c r="N56" s="295" t="s">
        <v>440</v>
      </c>
    </row>
    <row r="57" spans="1:14" ht="50.1">
      <c r="A57" s="294" t="s">
        <v>389</v>
      </c>
      <c r="B57" s="296">
        <v>0.86</v>
      </c>
      <c r="C57" s="296">
        <v>0.73</v>
      </c>
      <c r="D57" s="296">
        <v>0.86</v>
      </c>
      <c r="E57" s="296">
        <v>0.87</v>
      </c>
      <c r="F57" s="296">
        <v>0.76</v>
      </c>
      <c r="G57" s="296">
        <v>0.7</v>
      </c>
      <c r="H57" s="296">
        <v>0.74</v>
      </c>
      <c r="I57" s="296">
        <v>0.68</v>
      </c>
      <c r="J57" s="296">
        <v>0.73</v>
      </c>
      <c r="K57" s="296">
        <v>0.55000000000000004</v>
      </c>
      <c r="L57" s="296">
        <v>0.85</v>
      </c>
      <c r="M57" s="296">
        <v>0.87</v>
      </c>
      <c r="N57" s="295" t="s">
        <v>440</v>
      </c>
    </row>
    <row r="58" spans="1:14" ht="50.1">
      <c r="A58" s="294" t="s">
        <v>390</v>
      </c>
      <c r="B58" s="296">
        <v>0.86</v>
      </c>
      <c r="C58" s="296">
        <v>0.84</v>
      </c>
      <c r="D58" s="296">
        <v>0.95</v>
      </c>
      <c r="E58" s="296">
        <v>0.95</v>
      </c>
      <c r="F58" s="296">
        <v>0.75</v>
      </c>
      <c r="G58" s="296">
        <v>0.74</v>
      </c>
      <c r="H58" s="296">
        <v>0.77</v>
      </c>
      <c r="I58" s="296">
        <v>0.73</v>
      </c>
      <c r="J58" s="296">
        <v>0.75</v>
      </c>
      <c r="K58" s="296">
        <v>0.91</v>
      </c>
      <c r="L58" s="296">
        <v>0.9</v>
      </c>
      <c r="M58" s="296">
        <v>0.93</v>
      </c>
      <c r="N58" s="295" t="s">
        <v>440</v>
      </c>
    </row>
    <row r="59" spans="1:14" ht="37.5">
      <c r="A59" s="602" t="s">
        <v>391</v>
      </c>
      <c r="B59" s="605">
        <v>0.7</v>
      </c>
      <c r="C59" s="605">
        <v>0.65</v>
      </c>
      <c r="D59" s="605">
        <v>0.84</v>
      </c>
      <c r="E59" s="599" t="s">
        <v>415</v>
      </c>
      <c r="F59" s="605">
        <v>0.69</v>
      </c>
      <c r="G59" s="605">
        <v>0.56000000000000005</v>
      </c>
      <c r="H59" s="605">
        <v>0.68</v>
      </c>
      <c r="I59" s="605">
        <v>0.66</v>
      </c>
      <c r="J59" s="605">
        <v>0.65</v>
      </c>
      <c r="K59" s="599" t="s">
        <v>415</v>
      </c>
      <c r="L59" s="599" t="s">
        <v>415</v>
      </c>
      <c r="M59" s="605">
        <v>0.77</v>
      </c>
      <c r="N59" s="500" t="s">
        <v>392</v>
      </c>
    </row>
    <row r="60" spans="1:14" ht="37.5">
      <c r="A60" s="603"/>
      <c r="B60" s="606"/>
      <c r="C60" s="606"/>
      <c r="D60" s="606"/>
      <c r="E60" s="600"/>
      <c r="F60" s="606"/>
      <c r="G60" s="606"/>
      <c r="H60" s="606"/>
      <c r="I60" s="606"/>
      <c r="J60" s="606"/>
      <c r="K60" s="600"/>
      <c r="L60" s="600"/>
      <c r="M60" s="606"/>
      <c r="N60" s="501" t="s">
        <v>454</v>
      </c>
    </row>
    <row r="61" spans="1:14" ht="37.5">
      <c r="A61" s="603"/>
      <c r="B61" s="606"/>
      <c r="C61" s="606"/>
      <c r="D61" s="606"/>
      <c r="E61" s="600"/>
      <c r="F61" s="606"/>
      <c r="G61" s="606"/>
      <c r="H61" s="606"/>
      <c r="I61" s="606"/>
      <c r="J61" s="606"/>
      <c r="K61" s="600"/>
      <c r="L61" s="600"/>
      <c r="M61" s="606"/>
      <c r="N61" s="501" t="s">
        <v>455</v>
      </c>
    </row>
    <row r="62" spans="1:14" ht="37.5">
      <c r="A62" s="603"/>
      <c r="B62" s="606"/>
      <c r="C62" s="606"/>
      <c r="D62" s="606"/>
      <c r="E62" s="600"/>
      <c r="F62" s="606"/>
      <c r="G62" s="606"/>
      <c r="H62" s="606"/>
      <c r="I62" s="606"/>
      <c r="J62" s="606"/>
      <c r="K62" s="600"/>
      <c r="L62" s="600"/>
      <c r="M62" s="606"/>
      <c r="N62" s="501" t="s">
        <v>456</v>
      </c>
    </row>
    <row r="63" spans="1:14" ht="37.5">
      <c r="A63" s="603"/>
      <c r="B63" s="606"/>
      <c r="C63" s="606"/>
      <c r="D63" s="606"/>
      <c r="E63" s="600"/>
      <c r="F63" s="606"/>
      <c r="G63" s="606"/>
      <c r="H63" s="606"/>
      <c r="I63" s="606"/>
      <c r="J63" s="606"/>
      <c r="K63" s="600"/>
      <c r="L63" s="600"/>
      <c r="M63" s="606"/>
      <c r="N63" s="501" t="s">
        <v>457</v>
      </c>
    </row>
    <row r="64" spans="1:14" ht="37.5">
      <c r="A64" s="603"/>
      <c r="B64" s="606"/>
      <c r="C64" s="606"/>
      <c r="D64" s="606"/>
      <c r="E64" s="600"/>
      <c r="F64" s="606"/>
      <c r="G64" s="606"/>
      <c r="H64" s="606"/>
      <c r="I64" s="606"/>
      <c r="J64" s="606"/>
      <c r="K64" s="600"/>
      <c r="L64" s="600"/>
      <c r="M64" s="606"/>
      <c r="N64" s="501" t="s">
        <v>458</v>
      </c>
    </row>
    <row r="65" spans="1:14" ht="37.5">
      <c r="A65" s="603"/>
      <c r="B65" s="606"/>
      <c r="C65" s="606"/>
      <c r="D65" s="606"/>
      <c r="E65" s="600"/>
      <c r="F65" s="606"/>
      <c r="G65" s="606"/>
      <c r="H65" s="606"/>
      <c r="I65" s="606"/>
      <c r="J65" s="606"/>
      <c r="K65" s="600"/>
      <c r="L65" s="600"/>
      <c r="M65" s="606"/>
      <c r="N65" s="501" t="s">
        <v>459</v>
      </c>
    </row>
    <row r="66" spans="1:14" ht="37.5">
      <c r="A66" s="603"/>
      <c r="B66" s="606"/>
      <c r="C66" s="606"/>
      <c r="D66" s="606"/>
      <c r="E66" s="600"/>
      <c r="F66" s="606"/>
      <c r="G66" s="606"/>
      <c r="H66" s="606"/>
      <c r="I66" s="606"/>
      <c r="J66" s="606"/>
      <c r="K66" s="600"/>
      <c r="L66" s="600"/>
      <c r="M66" s="606"/>
      <c r="N66" s="501" t="s">
        <v>460</v>
      </c>
    </row>
    <row r="67" spans="1:14" ht="37.5">
      <c r="A67" s="603"/>
      <c r="B67" s="606"/>
      <c r="C67" s="606"/>
      <c r="D67" s="606"/>
      <c r="E67" s="600"/>
      <c r="F67" s="606"/>
      <c r="G67" s="606"/>
      <c r="H67" s="606"/>
      <c r="I67" s="606"/>
      <c r="J67" s="606"/>
      <c r="K67" s="600"/>
      <c r="L67" s="600"/>
      <c r="M67" s="606"/>
      <c r="N67" s="501" t="s">
        <v>461</v>
      </c>
    </row>
    <row r="68" spans="1:14" ht="37.5">
      <c r="A68" s="603"/>
      <c r="B68" s="606"/>
      <c r="C68" s="606"/>
      <c r="D68" s="606"/>
      <c r="E68" s="600"/>
      <c r="F68" s="606"/>
      <c r="G68" s="606"/>
      <c r="H68" s="606"/>
      <c r="I68" s="606"/>
      <c r="J68" s="606"/>
      <c r="K68" s="600"/>
      <c r="L68" s="600"/>
      <c r="M68" s="606"/>
      <c r="N68" s="501" t="s">
        <v>462</v>
      </c>
    </row>
    <row r="69" spans="1:14" ht="37.5">
      <c r="A69" s="603"/>
      <c r="B69" s="606"/>
      <c r="C69" s="606"/>
      <c r="D69" s="606"/>
      <c r="E69" s="600"/>
      <c r="F69" s="606"/>
      <c r="G69" s="606"/>
      <c r="H69" s="606"/>
      <c r="I69" s="606"/>
      <c r="J69" s="606"/>
      <c r="K69" s="600"/>
      <c r="L69" s="600"/>
      <c r="M69" s="606"/>
      <c r="N69" s="501" t="s">
        <v>463</v>
      </c>
    </row>
    <row r="70" spans="1:14" ht="37.5">
      <c r="A70" s="604"/>
      <c r="B70" s="607"/>
      <c r="C70" s="607"/>
      <c r="D70" s="607"/>
      <c r="E70" s="601"/>
      <c r="F70" s="607"/>
      <c r="G70" s="607"/>
      <c r="H70" s="607"/>
      <c r="I70" s="607"/>
      <c r="J70" s="607"/>
      <c r="K70" s="601"/>
      <c r="L70" s="601"/>
      <c r="M70" s="607"/>
      <c r="N70" s="502" t="s">
        <v>464</v>
      </c>
    </row>
    <row r="71" spans="1:14" ht="14.45">
      <c r="A71" s="294" t="s">
        <v>393</v>
      </c>
      <c r="B71" s="296">
        <v>0.77</v>
      </c>
      <c r="C71" s="296">
        <v>0.63</v>
      </c>
      <c r="D71" s="296">
        <v>0.86</v>
      </c>
      <c r="E71" s="295" t="s">
        <v>415</v>
      </c>
      <c r="F71" s="296">
        <v>0.63</v>
      </c>
      <c r="G71" s="296">
        <v>0.48</v>
      </c>
      <c r="H71" s="296">
        <v>0.63</v>
      </c>
      <c r="I71" s="296">
        <v>0.44</v>
      </c>
      <c r="J71" s="296">
        <v>0.68</v>
      </c>
      <c r="K71" s="295" t="s">
        <v>415</v>
      </c>
      <c r="L71" s="296">
        <v>0.8</v>
      </c>
      <c r="M71" s="296">
        <v>0.87</v>
      </c>
      <c r="N71" s="295"/>
    </row>
    <row r="72" spans="1:14" ht="14.45">
      <c r="A72" s="294" t="s">
        <v>394</v>
      </c>
      <c r="B72" s="296">
        <v>0.8</v>
      </c>
      <c r="C72" s="296">
        <v>0.74</v>
      </c>
      <c r="D72" s="296">
        <v>0.88</v>
      </c>
      <c r="E72" s="295" t="s">
        <v>415</v>
      </c>
      <c r="F72" s="296">
        <v>0.75</v>
      </c>
      <c r="G72" s="296">
        <v>0.6</v>
      </c>
      <c r="H72" s="296">
        <v>0.73</v>
      </c>
      <c r="I72" s="296">
        <v>0.5</v>
      </c>
      <c r="J72" s="296">
        <v>0.75</v>
      </c>
      <c r="K72" s="295" t="s">
        <v>415</v>
      </c>
      <c r="L72" s="296">
        <v>0.81</v>
      </c>
      <c r="M72" s="296">
        <v>0.85</v>
      </c>
      <c r="N72" s="295"/>
    </row>
    <row r="73" spans="1:14" ht="50.1">
      <c r="A73" s="294" t="s">
        <v>395</v>
      </c>
      <c r="B73" s="296">
        <v>0.87</v>
      </c>
      <c r="C73" s="296">
        <v>0.63</v>
      </c>
      <c r="D73" s="296">
        <v>0.86</v>
      </c>
      <c r="E73" s="296">
        <v>0.86</v>
      </c>
      <c r="F73" s="296">
        <v>0.76</v>
      </c>
      <c r="G73" s="296">
        <v>0.68</v>
      </c>
      <c r="H73" s="296">
        <v>0.73</v>
      </c>
      <c r="I73" s="296">
        <v>0.68</v>
      </c>
      <c r="J73" s="296">
        <v>0.74</v>
      </c>
      <c r="K73" s="295" t="s">
        <v>415</v>
      </c>
      <c r="L73" s="295" t="s">
        <v>415</v>
      </c>
      <c r="M73" s="296">
        <v>0.9</v>
      </c>
      <c r="N73" s="295" t="s">
        <v>440</v>
      </c>
    </row>
    <row r="74" spans="1:14" ht="14.45">
      <c r="A74" s="294" t="s">
        <v>396</v>
      </c>
      <c r="B74" s="296">
        <v>0.81</v>
      </c>
      <c r="C74" s="296">
        <v>0.65</v>
      </c>
      <c r="D74" s="296">
        <v>0.9</v>
      </c>
      <c r="E74" s="295" t="s">
        <v>415</v>
      </c>
      <c r="F74" s="296">
        <v>0.61</v>
      </c>
      <c r="G74" s="296">
        <v>0.68</v>
      </c>
      <c r="H74" s="296">
        <v>0.68</v>
      </c>
      <c r="I74" s="296">
        <v>0.62</v>
      </c>
      <c r="J74" s="296">
        <v>0.68</v>
      </c>
      <c r="K74" s="295" t="s">
        <v>415</v>
      </c>
      <c r="L74" s="296">
        <v>0.75</v>
      </c>
      <c r="M74" s="296">
        <v>0.86</v>
      </c>
      <c r="N74" s="295"/>
    </row>
    <row r="75" spans="1:14" ht="75">
      <c r="A75" s="602" t="s">
        <v>397</v>
      </c>
      <c r="B75" s="599" t="s">
        <v>141</v>
      </c>
      <c r="C75" s="599" t="s">
        <v>141</v>
      </c>
      <c r="D75" s="599" t="s">
        <v>141</v>
      </c>
      <c r="E75" s="599" t="s">
        <v>141</v>
      </c>
      <c r="F75" s="599" t="s">
        <v>141</v>
      </c>
      <c r="G75" s="599" t="s">
        <v>141</v>
      </c>
      <c r="H75" s="599" t="s">
        <v>141</v>
      </c>
      <c r="I75" s="599" t="s">
        <v>141</v>
      </c>
      <c r="J75" s="599" t="s">
        <v>141</v>
      </c>
      <c r="K75" s="599" t="s">
        <v>141</v>
      </c>
      <c r="L75" s="599" t="s">
        <v>141</v>
      </c>
      <c r="M75" s="599" t="s">
        <v>141</v>
      </c>
      <c r="N75" s="500" t="s">
        <v>371</v>
      </c>
    </row>
    <row r="76" spans="1:14" ht="87.6">
      <c r="A76" s="603"/>
      <c r="B76" s="600"/>
      <c r="C76" s="600"/>
      <c r="D76" s="600"/>
      <c r="E76" s="600"/>
      <c r="F76" s="600"/>
      <c r="G76" s="600"/>
      <c r="H76" s="600"/>
      <c r="I76" s="600"/>
      <c r="J76" s="600"/>
      <c r="K76" s="600"/>
      <c r="L76" s="600"/>
      <c r="M76" s="600"/>
      <c r="N76" s="501" t="s">
        <v>443</v>
      </c>
    </row>
    <row r="77" spans="1:14" ht="87.6">
      <c r="A77" s="603"/>
      <c r="B77" s="600"/>
      <c r="C77" s="600"/>
      <c r="D77" s="600"/>
      <c r="E77" s="600"/>
      <c r="F77" s="600"/>
      <c r="G77" s="600"/>
      <c r="H77" s="600"/>
      <c r="I77" s="600"/>
      <c r="J77" s="600"/>
      <c r="K77" s="600"/>
      <c r="L77" s="600"/>
      <c r="M77" s="600"/>
      <c r="N77" s="501" t="s">
        <v>444</v>
      </c>
    </row>
    <row r="78" spans="1:14" ht="75">
      <c r="A78" s="603"/>
      <c r="B78" s="600"/>
      <c r="C78" s="600"/>
      <c r="D78" s="600"/>
      <c r="E78" s="600"/>
      <c r="F78" s="600"/>
      <c r="G78" s="600"/>
      <c r="H78" s="600"/>
      <c r="I78" s="600"/>
      <c r="J78" s="600"/>
      <c r="K78" s="600"/>
      <c r="L78" s="600"/>
      <c r="M78" s="600"/>
      <c r="N78" s="501" t="s">
        <v>445</v>
      </c>
    </row>
    <row r="79" spans="1:14" ht="75">
      <c r="A79" s="603"/>
      <c r="B79" s="600"/>
      <c r="C79" s="600"/>
      <c r="D79" s="600"/>
      <c r="E79" s="600"/>
      <c r="F79" s="600"/>
      <c r="G79" s="600"/>
      <c r="H79" s="600"/>
      <c r="I79" s="600"/>
      <c r="J79" s="600"/>
      <c r="K79" s="600"/>
      <c r="L79" s="600"/>
      <c r="M79" s="600"/>
      <c r="N79" s="501" t="s">
        <v>446</v>
      </c>
    </row>
    <row r="80" spans="1:14" ht="87.6">
      <c r="A80" s="603"/>
      <c r="B80" s="600"/>
      <c r="C80" s="600"/>
      <c r="D80" s="600"/>
      <c r="E80" s="600"/>
      <c r="F80" s="600"/>
      <c r="G80" s="600"/>
      <c r="H80" s="600"/>
      <c r="I80" s="600"/>
      <c r="J80" s="600"/>
      <c r="K80" s="600"/>
      <c r="L80" s="600"/>
      <c r="M80" s="600"/>
      <c r="N80" s="501" t="s">
        <v>447</v>
      </c>
    </row>
    <row r="81" spans="1:14" ht="75">
      <c r="A81" s="603"/>
      <c r="B81" s="600"/>
      <c r="C81" s="600"/>
      <c r="D81" s="600"/>
      <c r="E81" s="600"/>
      <c r="F81" s="600"/>
      <c r="G81" s="600"/>
      <c r="H81" s="600"/>
      <c r="I81" s="600"/>
      <c r="J81" s="600"/>
      <c r="K81" s="600"/>
      <c r="L81" s="600"/>
      <c r="M81" s="600"/>
      <c r="N81" s="501" t="s">
        <v>448</v>
      </c>
    </row>
    <row r="82" spans="1:14" ht="87.6">
      <c r="A82" s="603"/>
      <c r="B82" s="600"/>
      <c r="C82" s="600"/>
      <c r="D82" s="600"/>
      <c r="E82" s="600"/>
      <c r="F82" s="600"/>
      <c r="G82" s="600"/>
      <c r="H82" s="600"/>
      <c r="I82" s="600"/>
      <c r="J82" s="600"/>
      <c r="K82" s="600"/>
      <c r="L82" s="600"/>
      <c r="M82" s="600"/>
      <c r="N82" s="501" t="s">
        <v>449</v>
      </c>
    </row>
    <row r="83" spans="1:14" ht="75">
      <c r="A83" s="603"/>
      <c r="B83" s="600"/>
      <c r="C83" s="600"/>
      <c r="D83" s="600"/>
      <c r="E83" s="600"/>
      <c r="F83" s="600"/>
      <c r="G83" s="600"/>
      <c r="H83" s="600"/>
      <c r="I83" s="600"/>
      <c r="J83" s="600"/>
      <c r="K83" s="600"/>
      <c r="L83" s="600"/>
      <c r="M83" s="600"/>
      <c r="N83" s="501" t="s">
        <v>450</v>
      </c>
    </row>
    <row r="84" spans="1:14" ht="87.6">
      <c r="A84" s="603"/>
      <c r="B84" s="600"/>
      <c r="C84" s="600"/>
      <c r="D84" s="600"/>
      <c r="E84" s="600"/>
      <c r="F84" s="600"/>
      <c r="G84" s="600"/>
      <c r="H84" s="600"/>
      <c r="I84" s="600"/>
      <c r="J84" s="600"/>
      <c r="K84" s="600"/>
      <c r="L84" s="600"/>
      <c r="M84" s="600"/>
      <c r="N84" s="501" t="s">
        <v>451</v>
      </c>
    </row>
    <row r="85" spans="1:14" ht="87.6">
      <c r="A85" s="603"/>
      <c r="B85" s="600"/>
      <c r="C85" s="600"/>
      <c r="D85" s="600"/>
      <c r="E85" s="600"/>
      <c r="F85" s="600"/>
      <c r="G85" s="600"/>
      <c r="H85" s="600"/>
      <c r="I85" s="600"/>
      <c r="J85" s="600"/>
      <c r="K85" s="600"/>
      <c r="L85" s="600"/>
      <c r="M85" s="600"/>
      <c r="N85" s="501" t="s">
        <v>452</v>
      </c>
    </row>
    <row r="86" spans="1:14" ht="75">
      <c r="A86" s="604"/>
      <c r="B86" s="601"/>
      <c r="C86" s="601"/>
      <c r="D86" s="601"/>
      <c r="E86" s="601"/>
      <c r="F86" s="601"/>
      <c r="G86" s="601"/>
      <c r="H86" s="601"/>
      <c r="I86" s="601"/>
      <c r="J86" s="601"/>
      <c r="K86" s="601"/>
      <c r="L86" s="601"/>
      <c r="M86" s="601"/>
      <c r="N86" s="502" t="s">
        <v>453</v>
      </c>
    </row>
    <row r="87" spans="1:14" ht="50.1">
      <c r="A87" s="294" t="s">
        <v>398</v>
      </c>
      <c r="B87" s="296">
        <v>0.68</v>
      </c>
      <c r="C87" s="296">
        <v>0.51</v>
      </c>
      <c r="D87" s="296">
        <v>0.79</v>
      </c>
      <c r="E87" s="296">
        <v>0.81</v>
      </c>
      <c r="F87" s="296">
        <v>0.53</v>
      </c>
      <c r="G87" s="296">
        <v>0.38</v>
      </c>
      <c r="H87" s="296">
        <v>0.6</v>
      </c>
      <c r="I87" s="296">
        <v>0.49</v>
      </c>
      <c r="J87" s="296">
        <v>0.61</v>
      </c>
      <c r="K87" s="296">
        <v>0.66</v>
      </c>
      <c r="L87" s="296">
        <v>0.69</v>
      </c>
      <c r="M87" s="296">
        <v>0.71</v>
      </c>
      <c r="N87" s="295" t="s">
        <v>440</v>
      </c>
    </row>
    <row r="88" spans="1:14" ht="14.45">
      <c r="A88" s="294" t="s">
        <v>399</v>
      </c>
      <c r="B88" s="296">
        <v>0.84</v>
      </c>
      <c r="C88" s="296">
        <v>0.74</v>
      </c>
      <c r="D88" s="296">
        <v>0.89</v>
      </c>
      <c r="E88" s="295" t="s">
        <v>415</v>
      </c>
      <c r="F88" s="296">
        <v>0.68</v>
      </c>
      <c r="G88" s="296">
        <v>0.7</v>
      </c>
      <c r="H88" s="296">
        <v>0.68</v>
      </c>
      <c r="I88" s="296">
        <v>0.64</v>
      </c>
      <c r="J88" s="296">
        <v>0.74</v>
      </c>
      <c r="K88" s="295" t="s">
        <v>415</v>
      </c>
      <c r="L88" s="296">
        <v>0.76</v>
      </c>
      <c r="M88" s="296">
        <v>0.89</v>
      </c>
      <c r="N88" s="295"/>
    </row>
    <row r="89" spans="1:14" ht="37.5">
      <c r="A89" s="602" t="s">
        <v>400</v>
      </c>
      <c r="B89" s="599" t="s">
        <v>141</v>
      </c>
      <c r="C89" s="599" t="s">
        <v>141</v>
      </c>
      <c r="D89" s="599" t="s">
        <v>141</v>
      </c>
      <c r="E89" s="599" t="s">
        <v>141</v>
      </c>
      <c r="F89" s="599" t="s">
        <v>141</v>
      </c>
      <c r="G89" s="599" t="s">
        <v>141</v>
      </c>
      <c r="H89" s="599" t="s">
        <v>141</v>
      </c>
      <c r="I89" s="599" t="s">
        <v>141</v>
      </c>
      <c r="J89" s="599" t="s">
        <v>141</v>
      </c>
      <c r="K89" s="599" t="s">
        <v>141</v>
      </c>
      <c r="L89" s="599" t="s">
        <v>141</v>
      </c>
      <c r="M89" s="599" t="s">
        <v>141</v>
      </c>
      <c r="N89" s="500" t="s">
        <v>465</v>
      </c>
    </row>
    <row r="90" spans="1:14" ht="37.5">
      <c r="A90" s="603"/>
      <c r="B90" s="600"/>
      <c r="C90" s="600"/>
      <c r="D90" s="600"/>
      <c r="E90" s="600"/>
      <c r="F90" s="600"/>
      <c r="G90" s="600"/>
      <c r="H90" s="600"/>
      <c r="I90" s="600"/>
      <c r="J90" s="600"/>
      <c r="K90" s="600"/>
      <c r="L90" s="600"/>
      <c r="M90" s="600"/>
      <c r="N90" s="501" t="s">
        <v>466</v>
      </c>
    </row>
    <row r="91" spans="1:14" ht="37.5">
      <c r="A91" s="603"/>
      <c r="B91" s="600"/>
      <c r="C91" s="600"/>
      <c r="D91" s="600"/>
      <c r="E91" s="600"/>
      <c r="F91" s="600"/>
      <c r="G91" s="600"/>
      <c r="H91" s="600"/>
      <c r="I91" s="600"/>
      <c r="J91" s="600"/>
      <c r="K91" s="600"/>
      <c r="L91" s="600"/>
      <c r="M91" s="600"/>
      <c r="N91" s="501" t="s">
        <v>467</v>
      </c>
    </row>
    <row r="92" spans="1:14" ht="37.5">
      <c r="A92" s="603"/>
      <c r="B92" s="600"/>
      <c r="C92" s="600"/>
      <c r="D92" s="600"/>
      <c r="E92" s="600"/>
      <c r="F92" s="600"/>
      <c r="G92" s="600"/>
      <c r="H92" s="600"/>
      <c r="I92" s="600"/>
      <c r="J92" s="600"/>
      <c r="K92" s="600"/>
      <c r="L92" s="600"/>
      <c r="M92" s="600"/>
      <c r="N92" s="501" t="s">
        <v>468</v>
      </c>
    </row>
    <row r="93" spans="1:14" ht="37.5">
      <c r="A93" s="603"/>
      <c r="B93" s="600"/>
      <c r="C93" s="600"/>
      <c r="D93" s="600"/>
      <c r="E93" s="600"/>
      <c r="F93" s="600"/>
      <c r="G93" s="600"/>
      <c r="H93" s="600"/>
      <c r="I93" s="600"/>
      <c r="J93" s="600"/>
      <c r="K93" s="600"/>
      <c r="L93" s="600"/>
      <c r="M93" s="600"/>
      <c r="N93" s="501" t="s">
        <v>469</v>
      </c>
    </row>
    <row r="94" spans="1:14" ht="37.5">
      <c r="A94" s="603"/>
      <c r="B94" s="600"/>
      <c r="C94" s="600"/>
      <c r="D94" s="600"/>
      <c r="E94" s="600"/>
      <c r="F94" s="600"/>
      <c r="G94" s="600"/>
      <c r="H94" s="600"/>
      <c r="I94" s="600"/>
      <c r="J94" s="600"/>
      <c r="K94" s="600"/>
      <c r="L94" s="600"/>
      <c r="M94" s="600"/>
      <c r="N94" s="501" t="s">
        <v>470</v>
      </c>
    </row>
    <row r="95" spans="1:14" ht="37.5">
      <c r="A95" s="603"/>
      <c r="B95" s="600"/>
      <c r="C95" s="600"/>
      <c r="D95" s="600"/>
      <c r="E95" s="600"/>
      <c r="F95" s="600"/>
      <c r="G95" s="600"/>
      <c r="H95" s="600"/>
      <c r="I95" s="600"/>
      <c r="J95" s="600"/>
      <c r="K95" s="600"/>
      <c r="L95" s="600"/>
      <c r="M95" s="600"/>
      <c r="N95" s="501" t="s">
        <v>471</v>
      </c>
    </row>
    <row r="96" spans="1:14" ht="37.5">
      <c r="A96" s="603"/>
      <c r="B96" s="600"/>
      <c r="C96" s="600"/>
      <c r="D96" s="600"/>
      <c r="E96" s="600"/>
      <c r="F96" s="600"/>
      <c r="G96" s="600"/>
      <c r="H96" s="600"/>
      <c r="I96" s="600"/>
      <c r="J96" s="600"/>
      <c r="K96" s="600"/>
      <c r="L96" s="600"/>
      <c r="M96" s="600"/>
      <c r="N96" s="501" t="s">
        <v>472</v>
      </c>
    </row>
    <row r="97" spans="1:14" ht="37.5">
      <c r="A97" s="603"/>
      <c r="B97" s="600"/>
      <c r="C97" s="600"/>
      <c r="D97" s="600"/>
      <c r="E97" s="600"/>
      <c r="F97" s="600"/>
      <c r="G97" s="600"/>
      <c r="H97" s="600"/>
      <c r="I97" s="600"/>
      <c r="J97" s="600"/>
      <c r="K97" s="600"/>
      <c r="L97" s="600"/>
      <c r="M97" s="600"/>
      <c r="N97" s="501" t="s">
        <v>473</v>
      </c>
    </row>
    <row r="98" spans="1:14" ht="37.5">
      <c r="A98" s="603"/>
      <c r="B98" s="600"/>
      <c r="C98" s="600"/>
      <c r="D98" s="600"/>
      <c r="E98" s="600"/>
      <c r="F98" s="600"/>
      <c r="G98" s="600"/>
      <c r="H98" s="600"/>
      <c r="I98" s="600"/>
      <c r="J98" s="600"/>
      <c r="K98" s="600"/>
      <c r="L98" s="600"/>
      <c r="M98" s="600"/>
      <c r="N98" s="501" t="s">
        <v>474</v>
      </c>
    </row>
    <row r="99" spans="1:14" ht="37.5">
      <c r="A99" s="603"/>
      <c r="B99" s="600"/>
      <c r="C99" s="600"/>
      <c r="D99" s="600"/>
      <c r="E99" s="600"/>
      <c r="F99" s="600"/>
      <c r="G99" s="600"/>
      <c r="H99" s="600"/>
      <c r="I99" s="600"/>
      <c r="J99" s="600"/>
      <c r="K99" s="600"/>
      <c r="L99" s="600"/>
      <c r="M99" s="600"/>
      <c r="N99" s="501" t="s">
        <v>475</v>
      </c>
    </row>
    <row r="100" spans="1:14" ht="37.5">
      <c r="A100" s="604"/>
      <c r="B100" s="601"/>
      <c r="C100" s="601"/>
      <c r="D100" s="601"/>
      <c r="E100" s="601"/>
      <c r="F100" s="601"/>
      <c r="G100" s="601"/>
      <c r="H100" s="601"/>
      <c r="I100" s="601"/>
      <c r="J100" s="601"/>
      <c r="K100" s="601"/>
      <c r="L100" s="601"/>
      <c r="M100" s="601"/>
      <c r="N100" s="502" t="s">
        <v>476</v>
      </c>
    </row>
    <row r="101" spans="1:14" ht="50.1">
      <c r="A101" s="294" t="s">
        <v>402</v>
      </c>
      <c r="B101" s="296">
        <v>0.77</v>
      </c>
      <c r="C101" s="296">
        <v>0.57999999999999996</v>
      </c>
      <c r="D101" s="296">
        <v>0.79</v>
      </c>
      <c r="E101" s="296">
        <v>0.8</v>
      </c>
      <c r="F101" s="296">
        <v>0.67</v>
      </c>
      <c r="G101" s="296">
        <v>0.59</v>
      </c>
      <c r="H101" s="296">
        <v>0.67</v>
      </c>
      <c r="I101" s="296">
        <v>0.69</v>
      </c>
      <c r="J101" s="296">
        <v>0.66</v>
      </c>
      <c r="K101" s="296">
        <v>0.73</v>
      </c>
      <c r="L101" s="296">
        <v>0.74</v>
      </c>
      <c r="M101" s="296">
        <v>0.82</v>
      </c>
      <c r="N101" s="295" t="s">
        <v>440</v>
      </c>
    </row>
    <row r="102" spans="1:14" ht="14.45">
      <c r="A102" s="294" t="s">
        <v>403</v>
      </c>
      <c r="B102" s="296">
        <v>0.75</v>
      </c>
      <c r="C102" s="296">
        <v>0.71</v>
      </c>
      <c r="D102" s="296">
        <v>0.85</v>
      </c>
      <c r="E102" s="295" t="s">
        <v>415</v>
      </c>
      <c r="F102" s="296">
        <v>0.71</v>
      </c>
      <c r="G102" s="296">
        <v>0.4</v>
      </c>
      <c r="H102" s="296">
        <v>0.69</v>
      </c>
      <c r="I102" s="296">
        <v>0.64</v>
      </c>
      <c r="J102" s="296">
        <v>0.68</v>
      </c>
      <c r="K102" s="295" t="s">
        <v>415</v>
      </c>
      <c r="L102" s="295" t="s">
        <v>415</v>
      </c>
      <c r="M102" s="296">
        <v>0.78</v>
      </c>
      <c r="N102" s="295"/>
    </row>
    <row r="103" spans="1:14" ht="50.1">
      <c r="A103" s="294" t="s">
        <v>404</v>
      </c>
      <c r="B103" s="296">
        <v>0.83</v>
      </c>
      <c r="C103" s="296">
        <v>0.47</v>
      </c>
      <c r="D103" s="296">
        <v>0.84</v>
      </c>
      <c r="E103" s="296">
        <v>0.86</v>
      </c>
      <c r="F103" s="296">
        <v>0.67</v>
      </c>
      <c r="G103" s="296">
        <v>0.64</v>
      </c>
      <c r="H103" s="296">
        <v>0.67</v>
      </c>
      <c r="I103" s="296">
        <v>0.6</v>
      </c>
      <c r="J103" s="296">
        <v>0.67</v>
      </c>
      <c r="K103" s="296">
        <v>0.64</v>
      </c>
      <c r="L103" s="296">
        <v>0.81</v>
      </c>
      <c r="M103" s="296">
        <v>0.89</v>
      </c>
      <c r="N103" s="295" t="s">
        <v>440</v>
      </c>
    </row>
    <row r="104" spans="1:14" ht="50.1">
      <c r="A104" s="294" t="s">
        <v>405</v>
      </c>
      <c r="B104" s="296">
        <v>0.87</v>
      </c>
      <c r="C104" s="296">
        <v>0.88</v>
      </c>
      <c r="D104" s="296">
        <v>0.91</v>
      </c>
      <c r="E104" s="296">
        <v>0.91</v>
      </c>
      <c r="F104" s="296">
        <v>0.79</v>
      </c>
      <c r="G104" s="296">
        <v>0.73</v>
      </c>
      <c r="H104" s="296">
        <v>0.8</v>
      </c>
      <c r="I104" s="296">
        <v>0.72</v>
      </c>
      <c r="J104" s="296">
        <v>0.82</v>
      </c>
      <c r="K104" s="296">
        <v>0.95</v>
      </c>
      <c r="L104" s="295" t="s">
        <v>415</v>
      </c>
      <c r="M104" s="296">
        <v>0.91</v>
      </c>
      <c r="N104" s="295" t="s">
        <v>440</v>
      </c>
    </row>
    <row r="105" spans="1:14" ht="50.1">
      <c r="A105" s="294" t="s">
        <v>406</v>
      </c>
      <c r="B105" s="296">
        <v>0.88</v>
      </c>
      <c r="C105" s="296">
        <v>0.87</v>
      </c>
      <c r="D105" s="296">
        <v>0.94</v>
      </c>
      <c r="E105" s="296">
        <v>0.94</v>
      </c>
      <c r="F105" s="296">
        <v>0.84</v>
      </c>
      <c r="G105" s="296">
        <v>0.77</v>
      </c>
      <c r="H105" s="296">
        <v>0.84</v>
      </c>
      <c r="I105" s="296">
        <v>0.59</v>
      </c>
      <c r="J105" s="296">
        <v>0.85</v>
      </c>
      <c r="K105" s="296">
        <v>0.89</v>
      </c>
      <c r="L105" s="296">
        <v>0.92</v>
      </c>
      <c r="M105" s="296">
        <v>0.93</v>
      </c>
      <c r="N105" s="295" t="s">
        <v>440</v>
      </c>
    </row>
    <row r="106" spans="1:14" ht="50.1">
      <c r="A106" s="294" t="s">
        <v>407</v>
      </c>
      <c r="B106" s="296">
        <v>0.8</v>
      </c>
      <c r="C106" s="296">
        <v>0.64</v>
      </c>
      <c r="D106" s="296">
        <v>0.78</v>
      </c>
      <c r="E106" s="296">
        <v>0.79</v>
      </c>
      <c r="F106" s="296">
        <v>0.64</v>
      </c>
      <c r="G106" s="296">
        <v>0.64</v>
      </c>
      <c r="H106" s="296">
        <v>0.66</v>
      </c>
      <c r="I106" s="296">
        <v>0.51</v>
      </c>
      <c r="J106" s="296">
        <v>0.7</v>
      </c>
      <c r="K106" s="296">
        <v>0.76</v>
      </c>
      <c r="L106" s="296">
        <v>0.81</v>
      </c>
      <c r="M106" s="296">
        <v>0.83</v>
      </c>
      <c r="N106" s="295" t="s">
        <v>440</v>
      </c>
    </row>
    <row r="107" spans="1:14" ht="50.1">
      <c r="A107" s="294" t="s">
        <v>408</v>
      </c>
      <c r="B107" s="296">
        <v>0.88</v>
      </c>
      <c r="C107" s="295" t="s">
        <v>442</v>
      </c>
      <c r="D107" s="296">
        <v>0.94</v>
      </c>
      <c r="E107" s="295" t="s">
        <v>441</v>
      </c>
      <c r="F107" s="296">
        <v>0.72</v>
      </c>
      <c r="G107" s="296">
        <v>0.71</v>
      </c>
      <c r="H107" s="295" t="s">
        <v>441</v>
      </c>
      <c r="I107" s="296">
        <v>0.75</v>
      </c>
      <c r="J107" s="296">
        <v>0.77</v>
      </c>
      <c r="K107" s="295" t="s">
        <v>441</v>
      </c>
      <c r="L107" s="296">
        <v>0.76</v>
      </c>
      <c r="M107" s="296">
        <v>0.88</v>
      </c>
      <c r="N107" s="295" t="s">
        <v>440</v>
      </c>
    </row>
    <row r="108" spans="1:14" ht="50.1">
      <c r="A108" s="294" t="s">
        <v>409</v>
      </c>
      <c r="B108" s="296">
        <v>0.83</v>
      </c>
      <c r="C108" s="295" t="s">
        <v>415</v>
      </c>
      <c r="D108" s="295" t="s">
        <v>415</v>
      </c>
      <c r="E108" s="296">
        <v>0.9</v>
      </c>
      <c r="F108" s="296">
        <v>0.75</v>
      </c>
      <c r="G108" s="296">
        <v>0.49</v>
      </c>
      <c r="H108" s="296">
        <v>0.73</v>
      </c>
      <c r="I108" s="296">
        <v>0.55000000000000004</v>
      </c>
      <c r="J108" s="296">
        <v>0.72</v>
      </c>
      <c r="K108" s="295" t="s">
        <v>415</v>
      </c>
      <c r="L108" s="295" t="s">
        <v>415</v>
      </c>
      <c r="M108" s="296">
        <v>0.87</v>
      </c>
      <c r="N108" s="295" t="s">
        <v>440</v>
      </c>
    </row>
    <row r="109" spans="1:14" ht="50.1">
      <c r="A109" s="294" t="s">
        <v>410</v>
      </c>
      <c r="B109" s="296">
        <v>0.77</v>
      </c>
      <c r="C109" s="296">
        <v>0.56999999999999995</v>
      </c>
      <c r="D109" s="296">
        <v>0.83</v>
      </c>
      <c r="E109" s="296">
        <v>0.84</v>
      </c>
      <c r="F109" s="296">
        <v>0.67</v>
      </c>
      <c r="G109" s="296">
        <v>0.57999999999999996</v>
      </c>
      <c r="H109" s="296">
        <v>0.67</v>
      </c>
      <c r="I109" s="296">
        <v>0.54</v>
      </c>
      <c r="J109" s="296">
        <v>0.66</v>
      </c>
      <c r="K109" s="296">
        <v>0.65</v>
      </c>
      <c r="L109" s="296">
        <v>0.78</v>
      </c>
      <c r="M109" s="296">
        <v>0.8</v>
      </c>
      <c r="N109" s="295" t="s">
        <v>440</v>
      </c>
    </row>
    <row r="110" spans="1:14" ht="14.45">
      <c r="A110" s="294" t="s">
        <v>411</v>
      </c>
      <c r="B110" s="296">
        <v>0.79</v>
      </c>
      <c r="C110" s="296">
        <v>0.67</v>
      </c>
      <c r="D110" s="296">
        <v>0.94</v>
      </c>
      <c r="E110" s="295" t="s">
        <v>415</v>
      </c>
      <c r="F110" s="296">
        <v>0.74</v>
      </c>
      <c r="G110" s="296">
        <v>0.6</v>
      </c>
      <c r="H110" s="296">
        <v>0.79</v>
      </c>
      <c r="I110" s="296">
        <v>0.83</v>
      </c>
      <c r="J110" s="296">
        <v>0.72</v>
      </c>
      <c r="K110" s="295" t="s">
        <v>415</v>
      </c>
      <c r="L110" s="296">
        <v>0.73</v>
      </c>
      <c r="M110" s="296">
        <v>0.8</v>
      </c>
      <c r="N110" s="295"/>
    </row>
    <row r="111" spans="1:14" ht="14.45">
      <c r="A111" s="294" t="s">
        <v>412</v>
      </c>
      <c r="B111" s="296">
        <v>0.88</v>
      </c>
      <c r="C111" s="296">
        <v>0.77</v>
      </c>
      <c r="D111" s="296">
        <v>0.89</v>
      </c>
      <c r="E111" s="295" t="s">
        <v>415</v>
      </c>
      <c r="F111" s="296">
        <v>0.64</v>
      </c>
      <c r="G111" s="296">
        <v>0.69</v>
      </c>
      <c r="H111" s="296">
        <v>0.74</v>
      </c>
      <c r="I111" s="296">
        <v>0.66</v>
      </c>
      <c r="J111" s="296">
        <v>0.75</v>
      </c>
      <c r="K111" s="295" t="s">
        <v>415</v>
      </c>
      <c r="L111" s="295" t="s">
        <v>415</v>
      </c>
      <c r="M111" s="296">
        <v>0.92</v>
      </c>
      <c r="N111" s="295"/>
    </row>
    <row r="112" spans="1:14" ht="50.1">
      <c r="A112" s="294" t="s">
        <v>413</v>
      </c>
      <c r="B112" s="296">
        <v>0.79</v>
      </c>
      <c r="C112" s="296">
        <v>0.5</v>
      </c>
      <c r="D112" s="296">
        <v>0.86</v>
      </c>
      <c r="E112" s="295" t="s">
        <v>441</v>
      </c>
      <c r="F112" s="296">
        <v>0.66</v>
      </c>
      <c r="G112" s="296">
        <v>0.59</v>
      </c>
      <c r="H112" s="296">
        <v>0.67</v>
      </c>
      <c r="I112" s="296">
        <v>0.56000000000000005</v>
      </c>
      <c r="J112" s="296">
        <v>0.65</v>
      </c>
      <c r="K112" s="295" t="s">
        <v>441</v>
      </c>
      <c r="L112" s="296">
        <v>0.74</v>
      </c>
      <c r="M112" s="296">
        <v>0.82</v>
      </c>
      <c r="N112" s="295" t="s">
        <v>440</v>
      </c>
    </row>
    <row r="113" spans="1:14" ht="14.45">
      <c r="A113" s="294" t="s">
        <v>414</v>
      </c>
      <c r="B113" s="295" t="s">
        <v>415</v>
      </c>
      <c r="C113" s="295" t="s">
        <v>415</v>
      </c>
      <c r="D113" s="295" t="s">
        <v>415</v>
      </c>
      <c r="E113" s="295" t="s">
        <v>415</v>
      </c>
      <c r="F113" s="295" t="s">
        <v>415</v>
      </c>
      <c r="G113" s="295" t="s">
        <v>415</v>
      </c>
      <c r="H113" s="295" t="s">
        <v>415</v>
      </c>
      <c r="I113" s="295" t="s">
        <v>415</v>
      </c>
      <c r="J113" s="295" t="s">
        <v>415</v>
      </c>
      <c r="K113" s="295" t="s">
        <v>415</v>
      </c>
      <c r="L113" s="295" t="s">
        <v>415</v>
      </c>
      <c r="M113" s="295" t="s">
        <v>415</v>
      </c>
      <c r="N113" s="295"/>
    </row>
    <row r="114" spans="1:14" ht="212.45">
      <c r="A114" s="294" t="s">
        <v>416</v>
      </c>
      <c r="B114" s="295" t="s">
        <v>417</v>
      </c>
      <c r="C114" s="295" t="s">
        <v>477</v>
      </c>
      <c r="D114" s="295" t="s">
        <v>478</v>
      </c>
      <c r="E114" s="295" t="s">
        <v>479</v>
      </c>
      <c r="F114" s="295" t="s">
        <v>480</v>
      </c>
      <c r="G114" s="295" t="s">
        <v>481</v>
      </c>
      <c r="H114" s="295" t="s">
        <v>482</v>
      </c>
      <c r="I114" s="295" t="s">
        <v>483</v>
      </c>
      <c r="J114" s="295" t="s">
        <v>484</v>
      </c>
      <c r="K114" s="295" t="s">
        <v>485</v>
      </c>
      <c r="L114" s="295" t="s">
        <v>486</v>
      </c>
      <c r="M114" s="295" t="s">
        <v>487</v>
      </c>
      <c r="N114" s="295"/>
    </row>
    <row r="115" spans="1:14" ht="29.1">
      <c r="A115" s="294" t="s">
        <v>418</v>
      </c>
      <c r="B115" s="295" t="s">
        <v>96</v>
      </c>
      <c r="C115" s="295" t="s">
        <v>96</v>
      </c>
      <c r="D115" s="295" t="s">
        <v>96</v>
      </c>
      <c r="E115" s="295" t="s">
        <v>96</v>
      </c>
      <c r="F115" s="295" t="s">
        <v>96</v>
      </c>
      <c r="G115" s="295" t="s">
        <v>96</v>
      </c>
      <c r="H115" s="295" t="s">
        <v>96</v>
      </c>
      <c r="I115" s="295" t="s">
        <v>96</v>
      </c>
      <c r="J115" s="295" t="s">
        <v>96</v>
      </c>
      <c r="K115" s="295" t="s">
        <v>96</v>
      </c>
      <c r="L115" s="295" t="s">
        <v>96</v>
      </c>
      <c r="M115" s="295" t="s">
        <v>96</v>
      </c>
      <c r="N115" s="295"/>
    </row>
    <row r="116" spans="1:14" ht="14.45">
      <c r="A116" s="294" t="s">
        <v>419</v>
      </c>
      <c r="B116" s="295" t="s">
        <v>415</v>
      </c>
      <c r="C116" s="295" t="s">
        <v>415</v>
      </c>
      <c r="D116" s="295" t="s">
        <v>415</v>
      </c>
      <c r="E116" s="295" t="s">
        <v>415</v>
      </c>
      <c r="F116" s="295" t="s">
        <v>415</v>
      </c>
      <c r="G116" s="295" t="s">
        <v>415</v>
      </c>
      <c r="H116" s="295" t="s">
        <v>415</v>
      </c>
      <c r="I116" s="295" t="s">
        <v>415</v>
      </c>
      <c r="J116" s="295" t="s">
        <v>415</v>
      </c>
      <c r="K116" s="295" t="s">
        <v>415</v>
      </c>
      <c r="L116" s="295" t="s">
        <v>415</v>
      </c>
      <c r="M116" s="295" t="s">
        <v>415</v>
      </c>
      <c r="N116" s="295"/>
    </row>
    <row r="117" spans="1:14" ht="409.5">
      <c r="A117" s="294" t="s">
        <v>420</v>
      </c>
      <c r="B117" s="295" t="s">
        <v>488</v>
      </c>
      <c r="C117" s="295" t="s">
        <v>488</v>
      </c>
      <c r="D117" s="295" t="s">
        <v>489</v>
      </c>
      <c r="E117" s="295" t="s">
        <v>488</v>
      </c>
      <c r="F117" s="295" t="s">
        <v>488</v>
      </c>
      <c r="G117" s="295" t="s">
        <v>488</v>
      </c>
      <c r="H117" s="295" t="s">
        <v>488</v>
      </c>
      <c r="I117" s="295" t="s">
        <v>488</v>
      </c>
      <c r="J117" s="295" t="s">
        <v>488</v>
      </c>
      <c r="K117" s="295" t="s">
        <v>488</v>
      </c>
      <c r="L117" s="295" t="s">
        <v>488</v>
      </c>
      <c r="M117" s="295" t="s">
        <v>488</v>
      </c>
      <c r="N117" s="295"/>
    </row>
    <row r="118" spans="1:14" ht="150">
      <c r="A118" s="294" t="s">
        <v>423</v>
      </c>
      <c r="B118" s="295" t="s">
        <v>425</v>
      </c>
      <c r="C118" s="295" t="s">
        <v>425</v>
      </c>
      <c r="D118" s="295" t="s">
        <v>425</v>
      </c>
      <c r="E118" s="295" t="s">
        <v>425</v>
      </c>
      <c r="F118" s="295" t="s">
        <v>425</v>
      </c>
      <c r="G118" s="295" t="s">
        <v>425</v>
      </c>
      <c r="H118" s="295" t="s">
        <v>425</v>
      </c>
      <c r="I118" s="295" t="s">
        <v>425</v>
      </c>
      <c r="J118" s="295" t="s">
        <v>425</v>
      </c>
      <c r="K118" s="295" t="s">
        <v>425</v>
      </c>
      <c r="L118" s="295" t="s">
        <v>425</v>
      </c>
      <c r="M118" s="295" t="s">
        <v>425</v>
      </c>
      <c r="N118" s="295"/>
    </row>
    <row r="119" spans="1:14" ht="29.1">
      <c r="A119" s="294" t="s">
        <v>426</v>
      </c>
      <c r="B119" s="297">
        <v>41731</v>
      </c>
      <c r="C119" s="297">
        <v>41731</v>
      </c>
      <c r="D119" s="297">
        <v>41731</v>
      </c>
      <c r="E119" s="297">
        <v>41731</v>
      </c>
      <c r="F119" s="297">
        <v>41731</v>
      </c>
      <c r="G119" s="297">
        <v>41731</v>
      </c>
      <c r="H119" s="297">
        <v>41731</v>
      </c>
      <c r="I119" s="297">
        <v>41731</v>
      </c>
      <c r="J119" s="297">
        <v>41731</v>
      </c>
      <c r="K119" s="297">
        <v>41731</v>
      </c>
      <c r="L119" s="297">
        <v>41731</v>
      </c>
      <c r="M119" s="297">
        <v>41731</v>
      </c>
      <c r="N119" s="295"/>
    </row>
  </sheetData>
  <mergeCells count="66">
    <mergeCell ref="A1:N1"/>
    <mergeCell ref="M75:M86"/>
    <mergeCell ref="A89:A100"/>
    <mergeCell ref="B89:B100"/>
    <mergeCell ref="C89:C100"/>
    <mergeCell ref="D89:D100"/>
    <mergeCell ref="E89:E100"/>
    <mergeCell ref="F89:F100"/>
    <mergeCell ref="M89:M100"/>
    <mergeCell ref="G89:G100"/>
    <mergeCell ref="H89:H100"/>
    <mergeCell ref="I89:I100"/>
    <mergeCell ref="J89:J100"/>
    <mergeCell ref="K89:K100"/>
    <mergeCell ref="L89:L100"/>
    <mergeCell ref="F75:F86"/>
    <mergeCell ref="L75:L86"/>
    <mergeCell ref="I59:I70"/>
    <mergeCell ref="A75:A86"/>
    <mergeCell ref="B75:B86"/>
    <mergeCell ref="C75:C86"/>
    <mergeCell ref="D75:D86"/>
    <mergeCell ref="E75:E86"/>
    <mergeCell ref="G75:G86"/>
    <mergeCell ref="H75:H86"/>
    <mergeCell ref="I75:I86"/>
    <mergeCell ref="J75:J86"/>
    <mergeCell ref="K75:K86"/>
    <mergeCell ref="J34:J45"/>
    <mergeCell ref="K34:K45"/>
    <mergeCell ref="L34:L45"/>
    <mergeCell ref="M34:M45"/>
    <mergeCell ref="A59:A70"/>
    <mergeCell ref="B59:B70"/>
    <mergeCell ref="C59:C70"/>
    <mergeCell ref="D59:D70"/>
    <mergeCell ref="E59:E70"/>
    <mergeCell ref="F59:F70"/>
    <mergeCell ref="M59:M70"/>
    <mergeCell ref="J59:J70"/>
    <mergeCell ref="K59:K70"/>
    <mergeCell ref="L59:L70"/>
    <mergeCell ref="G59:G70"/>
    <mergeCell ref="H59:H70"/>
    <mergeCell ref="M18:M29"/>
    <mergeCell ref="A34:A45"/>
    <mergeCell ref="B34:B45"/>
    <mergeCell ref="C34:C45"/>
    <mergeCell ref="D34:D45"/>
    <mergeCell ref="E34:E45"/>
    <mergeCell ref="F34:F45"/>
    <mergeCell ref="G34:G45"/>
    <mergeCell ref="H34:H45"/>
    <mergeCell ref="I34:I45"/>
    <mergeCell ref="G18:G29"/>
    <mergeCell ref="H18:H29"/>
    <mergeCell ref="I18:I29"/>
    <mergeCell ref="J18:J29"/>
    <mergeCell ref="K18:K29"/>
    <mergeCell ref="L18:L29"/>
    <mergeCell ref="F18:F29"/>
    <mergeCell ref="A18:A29"/>
    <mergeCell ref="B18:B29"/>
    <mergeCell ref="C18:C29"/>
    <mergeCell ref="D18:D29"/>
    <mergeCell ref="E18:E29"/>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1"/>
  </sheetPr>
  <dimension ref="A1:BJ29"/>
  <sheetViews>
    <sheetView showGridLines="0" zoomScale="80" zoomScaleNormal="80" workbookViewId="0">
      <selection activeCell="BA40" sqref="BA40"/>
    </sheetView>
  </sheetViews>
  <sheetFormatPr defaultRowHeight="12.6"/>
  <cols>
    <col min="1" max="1" width="11" customWidth="1"/>
    <col min="2" max="62" width="2" customWidth="1"/>
  </cols>
  <sheetData>
    <row r="1" spans="1:62" ht="12.95">
      <c r="A1" s="4" t="s">
        <v>490</v>
      </c>
      <c r="B1" s="4"/>
    </row>
    <row r="2" spans="1:62" ht="12.95">
      <c r="A2" s="4" t="s">
        <v>491</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row>
    <row r="3" spans="1:62" ht="12.9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row>
    <row r="5" spans="1:62">
      <c r="A5" s="39"/>
      <c r="B5" s="206" t="s">
        <v>492</v>
      </c>
      <c r="C5" s="207" t="s">
        <v>492</v>
      </c>
      <c r="D5" s="207" t="s">
        <v>492</v>
      </c>
      <c r="E5" s="207" t="s">
        <v>492</v>
      </c>
      <c r="F5" s="207" t="s">
        <v>492</v>
      </c>
      <c r="G5" s="207" t="s">
        <v>492</v>
      </c>
      <c r="H5" s="207" t="s">
        <v>492</v>
      </c>
      <c r="I5" s="207" t="s">
        <v>492</v>
      </c>
      <c r="J5" s="207" t="s">
        <v>492</v>
      </c>
      <c r="K5" s="207" t="s">
        <v>492</v>
      </c>
      <c r="L5" s="206" t="s">
        <v>492</v>
      </c>
      <c r="M5" s="207" t="s">
        <v>492</v>
      </c>
      <c r="N5" s="207" t="s">
        <v>492</v>
      </c>
      <c r="O5" s="207" t="s">
        <v>492</v>
      </c>
      <c r="P5" s="207" t="s">
        <v>492</v>
      </c>
      <c r="Q5" s="207" t="s">
        <v>492</v>
      </c>
      <c r="R5" s="207" t="s">
        <v>492</v>
      </c>
      <c r="S5" s="207" t="s">
        <v>492</v>
      </c>
      <c r="T5" s="207" t="s">
        <v>492</v>
      </c>
      <c r="U5" s="207" t="s">
        <v>492</v>
      </c>
      <c r="V5" s="206" t="s">
        <v>492</v>
      </c>
      <c r="W5" s="207" t="s">
        <v>492</v>
      </c>
      <c r="X5" s="207" t="s">
        <v>492</v>
      </c>
      <c r="Y5" s="207" t="s">
        <v>492</v>
      </c>
      <c r="Z5" s="207" t="s">
        <v>492</v>
      </c>
      <c r="AA5" s="207" t="s">
        <v>492</v>
      </c>
      <c r="AB5" s="207" t="s">
        <v>492</v>
      </c>
      <c r="AC5" s="207" t="s">
        <v>492</v>
      </c>
      <c r="AD5" s="207" t="s">
        <v>492</v>
      </c>
      <c r="AE5" s="207" t="s">
        <v>492</v>
      </c>
      <c r="AF5" s="206" t="s">
        <v>492</v>
      </c>
      <c r="AG5" s="207" t="s">
        <v>492</v>
      </c>
      <c r="AH5" s="207" t="s">
        <v>492</v>
      </c>
      <c r="AI5" s="207" t="s">
        <v>492</v>
      </c>
      <c r="AJ5" s="207" t="s">
        <v>492</v>
      </c>
      <c r="AK5" s="207" t="s">
        <v>492</v>
      </c>
      <c r="AL5" s="207" t="s">
        <v>492</v>
      </c>
      <c r="AM5" s="207" t="s">
        <v>492</v>
      </c>
      <c r="AN5" s="207" t="s">
        <v>492</v>
      </c>
      <c r="AO5" s="207" t="s">
        <v>492</v>
      </c>
      <c r="AP5" s="208" t="s">
        <v>492</v>
      </c>
      <c r="AQ5" s="207" t="s">
        <v>492</v>
      </c>
      <c r="AR5" s="207" t="s">
        <v>492</v>
      </c>
      <c r="AS5" s="207" t="s">
        <v>492</v>
      </c>
      <c r="AT5" s="207" t="s">
        <v>492</v>
      </c>
      <c r="AU5" s="207" t="s">
        <v>492</v>
      </c>
      <c r="AV5" s="207" t="s">
        <v>492</v>
      </c>
      <c r="AW5" s="207" t="s">
        <v>492</v>
      </c>
      <c r="AX5" s="207" t="s">
        <v>492</v>
      </c>
      <c r="AY5" s="207" t="s">
        <v>492</v>
      </c>
      <c r="AZ5" s="208" t="s">
        <v>492</v>
      </c>
      <c r="BA5" s="207" t="s">
        <v>492</v>
      </c>
      <c r="BB5" s="207" t="s">
        <v>492</v>
      </c>
      <c r="BC5" s="207" t="s">
        <v>492</v>
      </c>
      <c r="BD5" s="207" t="s">
        <v>492</v>
      </c>
      <c r="BE5" s="207" t="s">
        <v>492</v>
      </c>
      <c r="BF5" s="207" t="s">
        <v>492</v>
      </c>
      <c r="BG5" s="207" t="s">
        <v>492</v>
      </c>
      <c r="BH5" s="207" t="s">
        <v>492</v>
      </c>
      <c r="BI5" s="207" t="s">
        <v>492</v>
      </c>
      <c r="BJ5" s="208" t="s">
        <v>492</v>
      </c>
    </row>
    <row r="6" spans="1:62">
      <c r="A6" s="209" t="s">
        <v>31</v>
      </c>
      <c r="B6" s="210"/>
      <c r="C6" s="211"/>
      <c r="D6" s="211"/>
      <c r="E6" s="211"/>
      <c r="F6" s="211"/>
      <c r="G6" s="211"/>
      <c r="H6" s="211"/>
      <c r="I6" s="211"/>
      <c r="J6" s="211"/>
      <c r="K6" s="211"/>
      <c r="L6" s="210"/>
      <c r="M6" s="211"/>
      <c r="N6" s="211"/>
      <c r="O6" s="211"/>
      <c r="P6" s="211"/>
      <c r="Q6" s="211"/>
      <c r="R6" s="211"/>
      <c r="S6" s="211"/>
      <c r="T6" s="211"/>
      <c r="U6" s="211"/>
      <c r="V6" s="210"/>
      <c r="W6" s="211"/>
      <c r="X6" s="211"/>
      <c r="Y6" s="211"/>
      <c r="Z6" s="211"/>
      <c r="AA6" s="211"/>
      <c r="AB6" s="211"/>
      <c r="AC6" s="211"/>
      <c r="AD6" s="211"/>
      <c r="AE6" s="211"/>
      <c r="AF6" s="210"/>
      <c r="AG6" s="211"/>
      <c r="AH6" s="211"/>
      <c r="AI6" s="211"/>
      <c r="AJ6" s="211"/>
      <c r="AK6" s="211"/>
      <c r="AL6" s="211"/>
      <c r="AM6" s="211"/>
      <c r="AN6" s="211"/>
      <c r="AO6" s="212"/>
      <c r="AP6" s="213"/>
      <c r="AQ6" s="214"/>
      <c r="AR6" s="214"/>
      <c r="AS6" s="214"/>
      <c r="AT6" s="214"/>
      <c r="AU6" s="214"/>
      <c r="AV6" s="214"/>
      <c r="AW6" s="214"/>
      <c r="AX6" s="215"/>
      <c r="AY6" s="216" t="s">
        <v>493</v>
      </c>
      <c r="AZ6" s="217"/>
      <c r="BA6" s="215"/>
      <c r="BB6" s="214"/>
      <c r="BC6" s="214"/>
      <c r="BD6" s="214"/>
      <c r="BE6" s="214"/>
      <c r="BF6" s="214"/>
      <c r="BG6" s="214"/>
      <c r="BH6" s="214"/>
      <c r="BI6" s="214"/>
      <c r="BJ6" s="218"/>
    </row>
    <row r="7" spans="1:62" ht="12.95">
      <c r="A7" s="219" t="s">
        <v>50</v>
      </c>
      <c r="B7" s="220"/>
      <c r="C7" s="221"/>
      <c r="D7" s="221"/>
      <c r="E7" s="221"/>
      <c r="F7" s="221"/>
      <c r="G7" s="221"/>
      <c r="H7" s="221"/>
      <c r="I7" s="221"/>
      <c r="J7" s="221"/>
      <c r="K7" s="221"/>
      <c r="L7" s="220"/>
      <c r="M7" s="221"/>
      <c r="N7" s="221"/>
      <c r="O7" s="221"/>
      <c r="P7" s="221"/>
      <c r="Q7" s="221"/>
      <c r="R7" s="221"/>
      <c r="S7" s="221"/>
      <c r="T7" s="221"/>
      <c r="U7" s="221"/>
      <c r="V7" s="220"/>
      <c r="W7" s="221"/>
      <c r="X7" s="221"/>
      <c r="Y7" s="221"/>
      <c r="Z7" s="221"/>
      <c r="AA7" s="221"/>
      <c r="AB7" s="221"/>
      <c r="AC7" s="221"/>
      <c r="AD7" s="221"/>
      <c r="AE7" s="221"/>
      <c r="AF7" s="220"/>
      <c r="AG7" s="221"/>
      <c r="AH7" s="221"/>
      <c r="AI7" s="221"/>
      <c r="AJ7" s="221"/>
      <c r="AK7" s="221"/>
      <c r="AL7" s="221"/>
      <c r="AM7" s="221"/>
      <c r="AN7" s="221"/>
      <c r="AO7" s="222"/>
      <c r="AP7" s="223"/>
      <c r="AQ7" s="224"/>
      <c r="AR7" s="224"/>
      <c r="AS7" s="224"/>
      <c r="AT7" s="224"/>
      <c r="AU7" s="224"/>
      <c r="AV7" s="224"/>
      <c r="AW7" s="224"/>
      <c r="AX7" s="225"/>
      <c r="AY7" s="226"/>
      <c r="AZ7" s="227" t="s">
        <v>494</v>
      </c>
      <c r="BA7" s="225"/>
      <c r="BB7" s="225"/>
      <c r="BC7" s="225"/>
      <c r="BD7" s="225"/>
      <c r="BE7" s="225"/>
      <c r="BF7" s="226"/>
      <c r="BG7" s="226" t="s">
        <v>493</v>
      </c>
      <c r="BH7" s="226" t="s">
        <v>493</v>
      </c>
      <c r="BI7" s="226" t="s">
        <v>493</v>
      </c>
      <c r="BJ7" s="228" t="s">
        <v>493</v>
      </c>
    </row>
    <row r="8" spans="1:62" ht="12.95">
      <c r="A8" s="219" t="s">
        <v>64</v>
      </c>
      <c r="B8" s="220"/>
      <c r="C8" s="221"/>
      <c r="D8" s="221"/>
      <c r="E8" s="221"/>
      <c r="F8" s="221"/>
      <c r="G8" s="221"/>
      <c r="H8" s="221"/>
      <c r="I8" s="221"/>
      <c r="J8" s="221"/>
      <c r="K8" s="221"/>
      <c r="L8" s="220"/>
      <c r="M8" s="221"/>
      <c r="N8" s="221"/>
      <c r="O8" s="221"/>
      <c r="P8" s="221"/>
      <c r="Q8" s="221"/>
      <c r="R8" s="221"/>
      <c r="S8" s="221"/>
      <c r="T8" s="221"/>
      <c r="U8" s="221"/>
      <c r="V8" s="220"/>
      <c r="W8" s="221"/>
      <c r="X8" s="221"/>
      <c r="Y8" s="221"/>
      <c r="Z8" s="221"/>
      <c r="AA8" s="221"/>
      <c r="AB8" s="221"/>
      <c r="AC8" s="221"/>
      <c r="AD8" s="221"/>
      <c r="AE8" s="221"/>
      <c r="AF8" s="220"/>
      <c r="AG8" s="221"/>
      <c r="AH8" s="221"/>
      <c r="AI8" s="221"/>
      <c r="AJ8" s="221"/>
      <c r="AK8" s="221"/>
      <c r="AL8" s="221"/>
      <c r="AM8" s="221"/>
      <c r="AN8" s="221"/>
      <c r="AO8" s="222"/>
      <c r="AP8" s="223"/>
      <c r="AQ8" s="224"/>
      <c r="AR8" s="224"/>
      <c r="AS8" s="224"/>
      <c r="AT8" s="224"/>
      <c r="AU8" s="224"/>
      <c r="AV8" s="224"/>
      <c r="AW8" s="224"/>
      <c r="AX8" s="225" t="s">
        <v>494</v>
      </c>
      <c r="AY8" s="226"/>
      <c r="AZ8" s="227"/>
      <c r="BA8" s="225"/>
      <c r="BB8" s="225"/>
      <c r="BC8" s="225"/>
      <c r="BD8" s="225"/>
      <c r="BE8" s="225"/>
      <c r="BF8" s="226"/>
      <c r="BG8" s="226"/>
      <c r="BH8" s="226"/>
      <c r="BI8" s="226"/>
      <c r="BJ8" s="229"/>
    </row>
    <row r="9" spans="1:62" ht="12.95">
      <c r="A9" s="219" t="s">
        <v>77</v>
      </c>
      <c r="B9" s="220"/>
      <c r="C9" s="221"/>
      <c r="D9" s="221"/>
      <c r="E9" s="221"/>
      <c r="F9" s="221"/>
      <c r="G9" s="221"/>
      <c r="H9" s="221"/>
      <c r="I9" s="221"/>
      <c r="J9" s="221"/>
      <c r="K9" s="221"/>
      <c r="L9" s="220"/>
      <c r="M9" s="221"/>
      <c r="N9" s="221"/>
      <c r="O9" s="221"/>
      <c r="P9" s="221"/>
      <c r="Q9" s="221"/>
      <c r="R9" s="221"/>
      <c r="S9" s="221"/>
      <c r="T9" s="221"/>
      <c r="U9" s="221"/>
      <c r="V9" s="220"/>
      <c r="W9" s="221"/>
      <c r="X9" s="221"/>
      <c r="Y9" s="221"/>
      <c r="Z9" s="221"/>
      <c r="AA9" s="221"/>
      <c r="AB9" s="221"/>
      <c r="AC9" s="221"/>
      <c r="AD9" s="221"/>
      <c r="AE9" s="221"/>
      <c r="AF9" s="220"/>
      <c r="AG9" s="221"/>
      <c r="AH9" s="221"/>
      <c r="AI9" s="221"/>
      <c r="AJ9" s="221"/>
      <c r="AK9" s="221"/>
      <c r="AL9" s="221"/>
      <c r="AM9" s="221"/>
      <c r="AN9" s="221"/>
      <c r="AO9" s="222"/>
      <c r="AP9" s="223"/>
      <c r="AQ9" s="224"/>
      <c r="AR9" s="224"/>
      <c r="AS9" s="224"/>
      <c r="AT9" s="224"/>
      <c r="AU9" s="224"/>
      <c r="AV9" s="224"/>
      <c r="AW9" s="224"/>
      <c r="AX9" s="225"/>
      <c r="AY9" s="226" t="s">
        <v>493</v>
      </c>
      <c r="AZ9" s="227"/>
      <c r="BA9" s="225"/>
      <c r="BB9" s="225"/>
      <c r="BC9" s="225"/>
      <c r="BD9" s="225"/>
      <c r="BE9" s="225"/>
      <c r="BF9" s="226"/>
      <c r="BG9" s="226"/>
      <c r="BH9" s="226"/>
      <c r="BI9" s="226"/>
      <c r="BJ9" s="229"/>
    </row>
    <row r="10" spans="1:62" ht="12.95">
      <c r="A10" s="219"/>
      <c r="B10" s="220"/>
      <c r="C10" s="221"/>
      <c r="D10" s="221"/>
      <c r="E10" s="221"/>
      <c r="F10" s="221"/>
      <c r="G10" s="221"/>
      <c r="H10" s="221"/>
      <c r="I10" s="221"/>
      <c r="J10" s="221"/>
      <c r="K10" s="221"/>
      <c r="L10" s="220"/>
      <c r="M10" s="221"/>
      <c r="N10" s="221"/>
      <c r="O10" s="221"/>
      <c r="P10" s="221"/>
      <c r="Q10" s="221"/>
      <c r="R10" s="221"/>
      <c r="S10" s="221"/>
      <c r="T10" s="221"/>
      <c r="U10" s="221"/>
      <c r="V10" s="220"/>
      <c r="W10" s="221"/>
      <c r="X10" s="221"/>
      <c r="Y10" s="221"/>
      <c r="Z10" s="221"/>
      <c r="AA10" s="221"/>
      <c r="AB10" s="221"/>
      <c r="AC10" s="221"/>
      <c r="AD10" s="221"/>
      <c r="AE10" s="221"/>
      <c r="AF10" s="220"/>
      <c r="AG10" s="221"/>
      <c r="AH10" s="221"/>
      <c r="AI10" s="221"/>
      <c r="AJ10" s="221"/>
      <c r="AK10" s="221"/>
      <c r="AL10" s="221"/>
      <c r="AM10" s="221"/>
      <c r="AN10" s="221"/>
      <c r="AO10" s="222"/>
      <c r="AP10" s="223"/>
      <c r="AQ10" s="224"/>
      <c r="AR10" s="224"/>
      <c r="AS10" s="224"/>
      <c r="AT10" s="224"/>
      <c r="AU10" s="224"/>
      <c r="AV10" s="224"/>
      <c r="AW10" s="224"/>
      <c r="AX10" s="225"/>
      <c r="AY10" s="226"/>
      <c r="AZ10" s="227"/>
      <c r="BA10" s="225"/>
      <c r="BB10" s="225"/>
      <c r="BC10" s="225"/>
      <c r="BD10" s="225"/>
      <c r="BE10" s="225"/>
      <c r="BF10" s="226"/>
      <c r="BG10" s="226"/>
      <c r="BH10" s="226"/>
      <c r="BI10" s="226"/>
      <c r="BJ10" s="229"/>
    </row>
    <row r="11" spans="1:62" ht="12.95">
      <c r="A11" s="219" t="s">
        <v>495</v>
      </c>
      <c r="B11" s="220"/>
      <c r="C11" s="221"/>
      <c r="D11" s="221"/>
      <c r="E11" s="221"/>
      <c r="F11" s="221"/>
      <c r="G11" s="221"/>
      <c r="H11" s="221"/>
      <c r="I11" s="221"/>
      <c r="J11" s="221"/>
      <c r="K11" s="221"/>
      <c r="L11" s="220"/>
      <c r="M11" s="221"/>
      <c r="N11" s="221"/>
      <c r="O11" s="221"/>
      <c r="P11" s="221"/>
      <c r="Q11" s="221"/>
      <c r="R11" s="221"/>
      <c r="S11" s="221"/>
      <c r="T11" s="221"/>
      <c r="U11" s="221"/>
      <c r="V11" s="220"/>
      <c r="W11" s="221"/>
      <c r="X11" s="221"/>
      <c r="Y11" s="221"/>
      <c r="Z11" s="221"/>
      <c r="AA11" s="221"/>
      <c r="AB11" s="221"/>
      <c r="AC11" s="221"/>
      <c r="AD11" s="221"/>
      <c r="AE11" s="221"/>
      <c r="AF11" s="220"/>
      <c r="AG11" s="221"/>
      <c r="AH11" s="221"/>
      <c r="AI11" s="221"/>
      <c r="AJ11" s="221"/>
      <c r="AK11" s="221"/>
      <c r="AL11" s="221"/>
      <c r="AM11" s="221"/>
      <c r="AN11" s="221"/>
      <c r="AO11" s="222"/>
      <c r="AP11" s="223"/>
      <c r="AQ11" s="224"/>
      <c r="AR11" s="224"/>
      <c r="AS11" s="224"/>
      <c r="AT11" s="224"/>
      <c r="AU11" s="224"/>
      <c r="AV11" s="224"/>
      <c r="AW11" s="224"/>
      <c r="AX11" s="225"/>
      <c r="AY11" s="226" t="s">
        <v>493</v>
      </c>
      <c r="AZ11" s="227"/>
      <c r="BA11" s="225"/>
      <c r="BB11" s="230"/>
      <c r="BC11" s="230"/>
      <c r="BD11" s="230"/>
      <c r="BE11" s="230"/>
      <c r="BF11" s="230"/>
      <c r="BG11" s="226" t="s">
        <v>493</v>
      </c>
      <c r="BH11" s="226" t="s">
        <v>493</v>
      </c>
      <c r="BI11" s="226" t="s">
        <v>493</v>
      </c>
      <c r="BJ11" s="228" t="s">
        <v>493</v>
      </c>
    </row>
    <row r="12" spans="1:62" ht="12.95">
      <c r="A12" s="219" t="s">
        <v>357</v>
      </c>
      <c r="B12" s="220"/>
      <c r="C12" s="221"/>
      <c r="D12" s="221"/>
      <c r="E12" s="221"/>
      <c r="F12" s="221"/>
      <c r="G12" s="221"/>
      <c r="H12" s="221"/>
      <c r="I12" s="221"/>
      <c r="J12" s="221"/>
      <c r="K12" s="221"/>
      <c r="L12" s="220"/>
      <c r="M12" s="221"/>
      <c r="N12" s="221"/>
      <c r="O12" s="221"/>
      <c r="P12" s="221"/>
      <c r="Q12" s="221"/>
      <c r="R12" s="221"/>
      <c r="S12" s="221"/>
      <c r="T12" s="221"/>
      <c r="U12" s="221"/>
      <c r="V12" s="220"/>
      <c r="W12" s="221"/>
      <c r="X12" s="221"/>
      <c r="Y12" s="221"/>
      <c r="Z12" s="221"/>
      <c r="AA12" s="221"/>
      <c r="AB12" s="221"/>
      <c r="AC12" s="221"/>
      <c r="AD12" s="221"/>
      <c r="AE12" s="221"/>
      <c r="AF12" s="220"/>
      <c r="AG12" s="221"/>
      <c r="AH12" s="221"/>
      <c r="AI12" s="221"/>
      <c r="AJ12" s="221"/>
      <c r="AK12" s="221"/>
      <c r="AL12" s="221"/>
      <c r="AM12" s="221"/>
      <c r="AN12" s="221"/>
      <c r="AO12" s="222"/>
      <c r="AP12" s="223"/>
      <c r="AQ12" s="224"/>
      <c r="AR12" s="224"/>
      <c r="AS12" s="224"/>
      <c r="AT12" s="224"/>
      <c r="AU12" s="224"/>
      <c r="AV12" s="224"/>
      <c r="AW12" s="224"/>
      <c r="AX12" s="225"/>
      <c r="AY12" s="226" t="s">
        <v>493</v>
      </c>
      <c r="AZ12" s="227"/>
      <c r="BA12" s="225"/>
      <c r="BB12" s="230"/>
      <c r="BC12" s="230"/>
      <c r="BD12" s="230"/>
      <c r="BE12" s="230"/>
      <c r="BF12" s="230"/>
      <c r="BG12" s="230"/>
      <c r="BH12" s="230"/>
      <c r="BI12" s="230"/>
      <c r="BJ12" s="231"/>
    </row>
    <row r="13" spans="1:62" ht="12.95">
      <c r="A13" s="219" t="s">
        <v>360</v>
      </c>
      <c r="B13" s="220"/>
      <c r="C13" s="221"/>
      <c r="D13" s="221"/>
      <c r="E13" s="221"/>
      <c r="F13" s="221"/>
      <c r="G13" s="221"/>
      <c r="H13" s="221"/>
      <c r="I13" s="221"/>
      <c r="J13" s="221"/>
      <c r="K13" s="221"/>
      <c r="L13" s="220"/>
      <c r="M13" s="221"/>
      <c r="N13" s="221"/>
      <c r="O13" s="221"/>
      <c r="P13" s="221"/>
      <c r="Q13" s="221"/>
      <c r="R13" s="221"/>
      <c r="S13" s="221"/>
      <c r="T13" s="221"/>
      <c r="U13" s="221"/>
      <c r="V13" s="220"/>
      <c r="W13" s="221"/>
      <c r="X13" s="221"/>
      <c r="Y13" s="221"/>
      <c r="Z13" s="221"/>
      <c r="AA13" s="221"/>
      <c r="AB13" s="221"/>
      <c r="AC13" s="221"/>
      <c r="AD13" s="221"/>
      <c r="AE13" s="221"/>
      <c r="AF13" s="220"/>
      <c r="AG13" s="221"/>
      <c r="AH13" s="221"/>
      <c r="AI13" s="221"/>
      <c r="AJ13" s="221"/>
      <c r="AK13" s="221"/>
      <c r="AL13" s="221"/>
      <c r="AM13" s="221"/>
      <c r="AN13" s="221"/>
      <c r="AO13" s="222"/>
      <c r="AP13" s="223"/>
      <c r="AQ13" s="224"/>
      <c r="AR13" s="224"/>
      <c r="AS13" s="224"/>
      <c r="AT13" s="224"/>
      <c r="AU13" s="224"/>
      <c r="AV13" s="226" t="s">
        <v>493</v>
      </c>
      <c r="AW13" s="224"/>
      <c r="AX13" s="225"/>
      <c r="AY13" s="226"/>
      <c r="AZ13" s="227"/>
      <c r="BA13" s="225"/>
      <c r="BB13" s="230"/>
      <c r="BC13" s="230"/>
      <c r="BD13" s="230"/>
      <c r="BE13" s="230"/>
      <c r="BF13" s="230"/>
      <c r="BG13" s="226" t="s">
        <v>493</v>
      </c>
      <c r="BH13" s="226" t="s">
        <v>493</v>
      </c>
      <c r="BI13" s="226" t="s">
        <v>493</v>
      </c>
      <c r="BJ13" s="231"/>
    </row>
    <row r="14" spans="1:62" ht="12.95">
      <c r="A14" s="219" t="s">
        <v>364</v>
      </c>
      <c r="B14" s="220"/>
      <c r="C14" s="221"/>
      <c r="D14" s="221"/>
      <c r="E14" s="221"/>
      <c r="F14" s="221"/>
      <c r="G14" s="221"/>
      <c r="H14" s="221"/>
      <c r="I14" s="221"/>
      <c r="J14" s="221"/>
      <c r="K14" s="221"/>
      <c r="L14" s="220"/>
      <c r="M14" s="221"/>
      <c r="N14" s="221"/>
      <c r="O14" s="221"/>
      <c r="P14" s="221"/>
      <c r="Q14" s="221"/>
      <c r="R14" s="221"/>
      <c r="S14" s="221"/>
      <c r="T14" s="221"/>
      <c r="U14" s="221"/>
      <c r="V14" s="220"/>
      <c r="W14" s="221"/>
      <c r="X14" s="221"/>
      <c r="Y14" s="221"/>
      <c r="Z14" s="221"/>
      <c r="AA14" s="221"/>
      <c r="AB14" s="221"/>
      <c r="AC14" s="221"/>
      <c r="AD14" s="221"/>
      <c r="AE14" s="221"/>
      <c r="AF14" s="220"/>
      <c r="AG14" s="221"/>
      <c r="AH14" s="221"/>
      <c r="AI14" s="221"/>
      <c r="AJ14" s="221"/>
      <c r="AK14" s="221"/>
      <c r="AL14" s="221"/>
      <c r="AM14" s="221"/>
      <c r="AN14" s="221"/>
      <c r="AO14" s="222"/>
      <c r="AP14" s="223"/>
      <c r="AQ14" s="224"/>
      <c r="AR14" s="224"/>
      <c r="AS14" s="224"/>
      <c r="AT14" s="224"/>
      <c r="AU14" s="224"/>
      <c r="AV14" s="224"/>
      <c r="AW14" s="224"/>
      <c r="AX14" s="225"/>
      <c r="AY14" s="226"/>
      <c r="AZ14" s="227" t="s">
        <v>494</v>
      </c>
      <c r="BA14" s="225"/>
      <c r="BB14" s="230"/>
      <c r="BC14" s="230"/>
      <c r="BD14" s="230"/>
      <c r="BE14" s="230"/>
      <c r="BF14" s="230"/>
      <c r="BG14" s="230"/>
      <c r="BH14" s="230"/>
      <c r="BI14" s="226" t="s">
        <v>493</v>
      </c>
      <c r="BJ14" s="231"/>
    </row>
    <row r="15" spans="1:62" ht="12.95">
      <c r="A15" s="219" t="s">
        <v>366</v>
      </c>
      <c r="B15" s="220"/>
      <c r="C15" s="221"/>
      <c r="D15" s="221"/>
      <c r="E15" s="221"/>
      <c r="F15" s="221"/>
      <c r="G15" s="221"/>
      <c r="H15" s="221"/>
      <c r="I15" s="221"/>
      <c r="J15" s="221"/>
      <c r="K15" s="221"/>
      <c r="L15" s="220"/>
      <c r="M15" s="221"/>
      <c r="N15" s="221"/>
      <c r="O15" s="221"/>
      <c r="P15" s="221"/>
      <c r="Q15" s="221"/>
      <c r="R15" s="221"/>
      <c r="S15" s="221"/>
      <c r="T15" s="221"/>
      <c r="U15" s="221"/>
      <c r="V15" s="220"/>
      <c r="W15" s="221"/>
      <c r="X15" s="221"/>
      <c r="Y15" s="221"/>
      <c r="Z15" s="221"/>
      <c r="AA15" s="221"/>
      <c r="AB15" s="221"/>
      <c r="AC15" s="221"/>
      <c r="AD15" s="221"/>
      <c r="AE15" s="221"/>
      <c r="AF15" s="220"/>
      <c r="AG15" s="221"/>
      <c r="AH15" s="221"/>
      <c r="AI15" s="221"/>
      <c r="AJ15" s="221"/>
      <c r="AK15" s="221"/>
      <c r="AL15" s="221"/>
      <c r="AM15" s="221"/>
      <c r="AN15" s="221"/>
      <c r="AO15" s="222"/>
      <c r="AP15" s="223"/>
      <c r="AQ15" s="224"/>
      <c r="AR15" s="224"/>
      <c r="AS15" s="224"/>
      <c r="AT15" s="224"/>
      <c r="AU15" s="224"/>
      <c r="AV15" s="224"/>
      <c r="AW15" s="224"/>
      <c r="AX15" s="225"/>
      <c r="AY15" s="226" t="s">
        <v>493</v>
      </c>
      <c r="AZ15" s="227"/>
      <c r="BA15" s="225"/>
      <c r="BB15" s="230"/>
      <c r="BC15" s="230"/>
      <c r="BD15" s="230"/>
      <c r="BE15" s="230"/>
      <c r="BF15" s="230"/>
      <c r="BG15" s="226"/>
      <c r="BH15" s="226"/>
      <c r="BI15" s="226"/>
      <c r="BJ15" s="228"/>
    </row>
    <row r="16" spans="1:62" ht="12.95">
      <c r="A16" s="219" t="s">
        <v>367</v>
      </c>
      <c r="B16" s="220"/>
      <c r="C16" s="221"/>
      <c r="D16" s="221"/>
      <c r="E16" s="221"/>
      <c r="F16" s="221"/>
      <c r="G16" s="221"/>
      <c r="H16" s="221"/>
      <c r="I16" s="221"/>
      <c r="J16" s="221"/>
      <c r="K16" s="221"/>
      <c r="L16" s="220"/>
      <c r="M16" s="221"/>
      <c r="N16" s="221"/>
      <c r="O16" s="221"/>
      <c r="P16" s="221"/>
      <c r="Q16" s="221"/>
      <c r="R16" s="221"/>
      <c r="S16" s="221"/>
      <c r="T16" s="221"/>
      <c r="U16" s="221"/>
      <c r="V16" s="220"/>
      <c r="W16" s="221"/>
      <c r="X16" s="221"/>
      <c r="Y16" s="221"/>
      <c r="Z16" s="221"/>
      <c r="AA16" s="221"/>
      <c r="AB16" s="221"/>
      <c r="AC16" s="221"/>
      <c r="AD16" s="221"/>
      <c r="AE16" s="221"/>
      <c r="AF16" s="220"/>
      <c r="AG16" s="221"/>
      <c r="AH16" s="221"/>
      <c r="AI16" s="221"/>
      <c r="AJ16" s="221"/>
      <c r="AK16" s="221"/>
      <c r="AL16" s="221"/>
      <c r="AM16" s="221"/>
      <c r="AN16" s="221"/>
      <c r="AO16" s="222"/>
      <c r="AP16" s="223"/>
      <c r="AQ16" s="224"/>
      <c r="AR16" s="224"/>
      <c r="AS16" s="224"/>
      <c r="AT16" s="224"/>
      <c r="AU16" s="224"/>
      <c r="AV16" s="224"/>
      <c r="AW16" s="224"/>
      <c r="AX16" s="225"/>
      <c r="AY16" s="226" t="s">
        <v>493</v>
      </c>
      <c r="AZ16" s="227"/>
      <c r="BA16" s="225"/>
      <c r="BB16" s="230"/>
      <c r="BC16" s="230"/>
      <c r="BD16" s="230"/>
      <c r="BE16" s="230"/>
      <c r="BF16" s="230"/>
      <c r="BG16" s="226" t="s">
        <v>493</v>
      </c>
      <c r="BH16" s="226" t="s">
        <v>493</v>
      </c>
      <c r="BI16" s="226" t="s">
        <v>493</v>
      </c>
      <c r="BJ16" s="228" t="s">
        <v>493</v>
      </c>
    </row>
    <row r="17" spans="1:62" ht="12.95">
      <c r="A17" s="219" t="s">
        <v>376</v>
      </c>
      <c r="B17" s="220"/>
      <c r="C17" s="221"/>
      <c r="D17" s="221"/>
      <c r="E17" s="221"/>
      <c r="F17" s="221"/>
      <c r="G17" s="221"/>
      <c r="H17" s="221"/>
      <c r="I17" s="221"/>
      <c r="J17" s="221"/>
      <c r="K17" s="221"/>
      <c r="L17" s="220"/>
      <c r="M17" s="221"/>
      <c r="N17" s="221"/>
      <c r="O17" s="221"/>
      <c r="P17" s="221"/>
      <c r="Q17" s="221"/>
      <c r="R17" s="221"/>
      <c r="S17" s="221"/>
      <c r="T17" s="221"/>
      <c r="U17" s="221"/>
      <c r="V17" s="220"/>
      <c r="W17" s="221"/>
      <c r="X17" s="221"/>
      <c r="Y17" s="221"/>
      <c r="Z17" s="221"/>
      <c r="AA17" s="221"/>
      <c r="AB17" s="221"/>
      <c r="AC17" s="221"/>
      <c r="AD17" s="221"/>
      <c r="AE17" s="221"/>
      <c r="AF17" s="220"/>
      <c r="AG17" s="221"/>
      <c r="AH17" s="221"/>
      <c r="AI17" s="221"/>
      <c r="AJ17" s="221"/>
      <c r="AK17" s="221"/>
      <c r="AL17" s="221"/>
      <c r="AM17" s="221"/>
      <c r="AN17" s="221"/>
      <c r="AO17" s="222"/>
      <c r="AP17" s="223"/>
      <c r="AQ17" s="224"/>
      <c r="AR17" s="224"/>
      <c r="AS17" s="224"/>
      <c r="AT17" s="224"/>
      <c r="AU17" s="224"/>
      <c r="AV17" s="224"/>
      <c r="AW17" s="224"/>
      <c r="AX17" s="225"/>
      <c r="AY17" s="226" t="s">
        <v>493</v>
      </c>
      <c r="AZ17" s="227"/>
      <c r="BA17" s="225"/>
      <c r="BB17" s="230"/>
      <c r="BC17" s="230"/>
      <c r="BD17" s="230"/>
      <c r="BE17" s="230"/>
      <c r="BF17" s="230"/>
      <c r="BG17" s="226" t="s">
        <v>493</v>
      </c>
      <c r="BH17" s="226" t="s">
        <v>493</v>
      </c>
      <c r="BI17" s="230"/>
      <c r="BJ17" s="231"/>
    </row>
    <row r="18" spans="1:62" ht="12.95">
      <c r="A18" s="219" t="s">
        <v>378</v>
      </c>
      <c r="B18" s="220"/>
      <c r="C18" s="221"/>
      <c r="D18" s="221"/>
      <c r="E18" s="221"/>
      <c r="F18" s="221"/>
      <c r="G18" s="221"/>
      <c r="H18" s="221"/>
      <c r="I18" s="221"/>
      <c r="J18" s="221"/>
      <c r="K18" s="221"/>
      <c r="L18" s="220"/>
      <c r="M18" s="221"/>
      <c r="N18" s="221"/>
      <c r="O18" s="221"/>
      <c r="P18" s="221"/>
      <c r="Q18" s="221"/>
      <c r="R18" s="221"/>
      <c r="S18" s="221"/>
      <c r="T18" s="221"/>
      <c r="U18" s="221"/>
      <c r="V18" s="220"/>
      <c r="W18" s="221"/>
      <c r="X18" s="221"/>
      <c r="Y18" s="221"/>
      <c r="Z18" s="221"/>
      <c r="AA18" s="221"/>
      <c r="AB18" s="221"/>
      <c r="AC18" s="221"/>
      <c r="AD18" s="221"/>
      <c r="AE18" s="221"/>
      <c r="AF18" s="220"/>
      <c r="AG18" s="221"/>
      <c r="AH18" s="221"/>
      <c r="AI18" s="221"/>
      <c r="AJ18" s="221"/>
      <c r="AK18" s="221"/>
      <c r="AL18" s="221"/>
      <c r="AM18" s="221"/>
      <c r="AN18" s="221"/>
      <c r="AO18" s="222"/>
      <c r="AP18" s="232" t="s">
        <v>493</v>
      </c>
      <c r="AQ18" s="224"/>
      <c r="AR18" s="224"/>
      <c r="AS18" s="224"/>
      <c r="AT18" s="224"/>
      <c r="AU18" s="224"/>
      <c r="AV18" s="224"/>
      <c r="AW18" s="224"/>
      <c r="AX18" s="225"/>
      <c r="AY18" s="226"/>
      <c r="AZ18" s="227"/>
      <c r="BA18" s="225"/>
      <c r="BB18" s="230"/>
      <c r="BC18" s="230"/>
      <c r="BD18" s="230"/>
      <c r="BE18" s="230"/>
      <c r="BF18" s="230"/>
      <c r="BG18" s="230"/>
      <c r="BH18" s="230"/>
      <c r="BI18" s="230"/>
      <c r="BJ18" s="231"/>
    </row>
    <row r="19" spans="1:62" ht="12.95">
      <c r="A19" s="219" t="s">
        <v>380</v>
      </c>
      <c r="B19" s="220"/>
      <c r="C19" s="221"/>
      <c r="D19" s="221"/>
      <c r="E19" s="221"/>
      <c r="F19" s="221"/>
      <c r="G19" s="221"/>
      <c r="H19" s="221"/>
      <c r="I19" s="221"/>
      <c r="J19" s="221"/>
      <c r="K19" s="221"/>
      <c r="L19" s="220"/>
      <c r="M19" s="221"/>
      <c r="N19" s="221"/>
      <c r="O19" s="221"/>
      <c r="P19" s="221"/>
      <c r="Q19" s="221"/>
      <c r="R19" s="221"/>
      <c r="S19" s="221"/>
      <c r="T19" s="221"/>
      <c r="U19" s="221"/>
      <c r="V19" s="220"/>
      <c r="W19" s="221"/>
      <c r="X19" s="221"/>
      <c r="Y19" s="221"/>
      <c r="Z19" s="221"/>
      <c r="AA19" s="221"/>
      <c r="AB19" s="221"/>
      <c r="AC19" s="221"/>
      <c r="AD19" s="221"/>
      <c r="AE19" s="221"/>
      <c r="AF19" s="220"/>
      <c r="AG19" s="221"/>
      <c r="AH19" s="221"/>
      <c r="AI19" s="221"/>
      <c r="AJ19" s="221"/>
      <c r="AK19" s="221"/>
      <c r="AL19" s="221"/>
      <c r="AM19" s="221"/>
      <c r="AN19" s="221"/>
      <c r="AO19" s="222"/>
      <c r="AP19" s="223"/>
      <c r="AQ19" s="224"/>
      <c r="AR19" s="224"/>
      <c r="AS19" s="224"/>
      <c r="AT19" s="224"/>
      <c r="AU19" s="224"/>
      <c r="AV19" s="224"/>
      <c r="AW19" s="224"/>
      <c r="AX19" s="225" t="s">
        <v>494</v>
      </c>
      <c r="AY19" s="226"/>
      <c r="AZ19" s="227"/>
      <c r="BA19" s="225"/>
      <c r="BB19" s="230"/>
      <c r="BC19" s="230"/>
      <c r="BD19" s="230"/>
      <c r="BE19" s="230"/>
      <c r="BF19" s="230"/>
      <c r="BG19" s="230"/>
      <c r="BH19" s="230"/>
      <c r="BI19" s="230"/>
      <c r="BJ19" s="231"/>
    </row>
    <row r="20" spans="1:62" ht="12.95">
      <c r="A20" s="219" t="s">
        <v>384</v>
      </c>
      <c r="B20" s="220"/>
      <c r="C20" s="221"/>
      <c r="D20" s="221"/>
      <c r="E20" s="221"/>
      <c r="F20" s="221"/>
      <c r="G20" s="221"/>
      <c r="H20" s="221"/>
      <c r="I20" s="221"/>
      <c r="J20" s="221"/>
      <c r="K20" s="221"/>
      <c r="L20" s="220"/>
      <c r="M20" s="221"/>
      <c r="N20" s="221"/>
      <c r="O20" s="221"/>
      <c r="P20" s="221"/>
      <c r="Q20" s="221"/>
      <c r="R20" s="221"/>
      <c r="S20" s="221"/>
      <c r="T20" s="221"/>
      <c r="U20" s="221"/>
      <c r="V20" s="220"/>
      <c r="W20" s="221"/>
      <c r="X20" s="221"/>
      <c r="Y20" s="221"/>
      <c r="Z20" s="221"/>
      <c r="AA20" s="221"/>
      <c r="AB20" s="221"/>
      <c r="AC20" s="221"/>
      <c r="AD20" s="221"/>
      <c r="AE20" s="221"/>
      <c r="AF20" s="220"/>
      <c r="AG20" s="221"/>
      <c r="AH20" s="221"/>
      <c r="AI20" s="221"/>
      <c r="AJ20" s="221"/>
      <c r="AK20" s="221"/>
      <c r="AL20" s="221"/>
      <c r="AM20" s="221"/>
      <c r="AN20" s="221"/>
      <c r="AO20" s="222"/>
      <c r="AP20" s="223"/>
      <c r="AQ20" s="224"/>
      <c r="AR20" s="224"/>
      <c r="AS20" s="224"/>
      <c r="AT20" s="224"/>
      <c r="AU20" s="224"/>
      <c r="AV20" s="224"/>
      <c r="AW20" s="224"/>
      <c r="AX20" s="225"/>
      <c r="AY20" s="226"/>
      <c r="AZ20" s="227" t="s">
        <v>494</v>
      </c>
      <c r="BA20" s="225"/>
      <c r="BB20" s="230"/>
      <c r="BC20" s="230"/>
      <c r="BD20" s="230"/>
      <c r="BE20" s="230"/>
      <c r="BF20" s="230"/>
      <c r="BG20" s="230"/>
      <c r="BH20" s="230"/>
      <c r="BI20" s="230"/>
      <c r="BJ20" s="231"/>
    </row>
    <row r="21" spans="1:62" ht="12.95">
      <c r="A21" s="219" t="s">
        <v>394</v>
      </c>
      <c r="B21" s="220"/>
      <c r="C21" s="221"/>
      <c r="D21" s="221"/>
      <c r="E21" s="221"/>
      <c r="F21" s="221"/>
      <c r="G21" s="221"/>
      <c r="H21" s="221"/>
      <c r="I21" s="221"/>
      <c r="J21" s="221"/>
      <c r="K21" s="221"/>
      <c r="L21" s="220"/>
      <c r="M21" s="221"/>
      <c r="N21" s="221"/>
      <c r="O21" s="221"/>
      <c r="P21" s="221"/>
      <c r="Q21" s="221"/>
      <c r="R21" s="221"/>
      <c r="S21" s="221"/>
      <c r="T21" s="221"/>
      <c r="U21" s="221"/>
      <c r="V21" s="220"/>
      <c r="W21" s="221"/>
      <c r="X21" s="221"/>
      <c r="Y21" s="221"/>
      <c r="Z21" s="221"/>
      <c r="AA21" s="221"/>
      <c r="AB21" s="221"/>
      <c r="AC21" s="221"/>
      <c r="AD21" s="221"/>
      <c r="AE21" s="221"/>
      <c r="AF21" s="220"/>
      <c r="AG21" s="221"/>
      <c r="AH21" s="221"/>
      <c r="AI21" s="221"/>
      <c r="AJ21" s="221"/>
      <c r="AK21" s="221"/>
      <c r="AL21" s="221"/>
      <c r="AM21" s="221"/>
      <c r="AN21" s="221"/>
      <c r="AO21" s="222"/>
      <c r="AP21" s="223"/>
      <c r="AQ21" s="224"/>
      <c r="AR21" s="224"/>
      <c r="AS21" s="224"/>
      <c r="AT21" s="224"/>
      <c r="AU21" s="224"/>
      <c r="AV21" s="224"/>
      <c r="AW21" s="224"/>
      <c r="AX21" s="225"/>
      <c r="AY21" s="226" t="s">
        <v>493</v>
      </c>
      <c r="AZ21" s="227"/>
      <c r="BA21" s="225"/>
      <c r="BB21" s="230"/>
      <c r="BC21" s="230"/>
      <c r="BD21" s="230"/>
      <c r="BE21" s="226" t="s">
        <v>493</v>
      </c>
      <c r="BF21" s="226" t="s">
        <v>493</v>
      </c>
      <c r="BG21" s="226" t="s">
        <v>493</v>
      </c>
      <c r="BH21" s="226" t="s">
        <v>493</v>
      </c>
      <c r="BI21" s="226" t="s">
        <v>493</v>
      </c>
      <c r="BJ21" s="231"/>
    </row>
    <row r="22" spans="1:62" ht="12.95">
      <c r="A22" s="219" t="s">
        <v>397</v>
      </c>
      <c r="B22" s="220"/>
      <c r="C22" s="221"/>
      <c r="D22" s="221"/>
      <c r="E22" s="221"/>
      <c r="F22" s="221"/>
      <c r="G22" s="221"/>
      <c r="H22" s="221"/>
      <c r="I22" s="221"/>
      <c r="J22" s="221"/>
      <c r="K22" s="221"/>
      <c r="L22" s="220"/>
      <c r="M22" s="221"/>
      <c r="N22" s="221"/>
      <c r="O22" s="221"/>
      <c r="P22" s="221"/>
      <c r="Q22" s="221"/>
      <c r="R22" s="221"/>
      <c r="S22" s="221"/>
      <c r="T22" s="221"/>
      <c r="U22" s="221"/>
      <c r="V22" s="220"/>
      <c r="W22" s="221"/>
      <c r="X22" s="221"/>
      <c r="Y22" s="221"/>
      <c r="Z22" s="221"/>
      <c r="AA22" s="221"/>
      <c r="AB22" s="221"/>
      <c r="AC22" s="221"/>
      <c r="AD22" s="221"/>
      <c r="AE22" s="221"/>
      <c r="AF22" s="220"/>
      <c r="AG22" s="221"/>
      <c r="AH22" s="221"/>
      <c r="AI22" s="221"/>
      <c r="AJ22" s="221"/>
      <c r="AK22" s="221"/>
      <c r="AL22" s="221"/>
      <c r="AM22" s="221"/>
      <c r="AN22" s="221"/>
      <c r="AO22" s="222"/>
      <c r="AP22" s="223"/>
      <c r="AQ22" s="224"/>
      <c r="AR22" s="224"/>
      <c r="AS22" s="224"/>
      <c r="AT22" s="224"/>
      <c r="AU22" s="224"/>
      <c r="AV22" s="224"/>
      <c r="AW22" s="224"/>
      <c r="AX22" s="225"/>
      <c r="AY22" s="226"/>
      <c r="AZ22" s="227" t="s">
        <v>494</v>
      </c>
      <c r="BA22" s="225"/>
      <c r="BB22" s="230"/>
      <c r="BC22" s="230"/>
      <c r="BD22" s="230"/>
      <c r="BE22" s="230"/>
      <c r="BF22" s="230"/>
      <c r="BG22" s="230"/>
      <c r="BH22" s="226" t="s">
        <v>493</v>
      </c>
      <c r="BI22" s="230"/>
      <c r="BJ22" s="228" t="s">
        <v>493</v>
      </c>
    </row>
    <row r="23" spans="1:62" ht="12.95">
      <c r="A23" s="219" t="s">
        <v>403</v>
      </c>
      <c r="B23" s="220"/>
      <c r="C23" s="221"/>
      <c r="D23" s="221"/>
      <c r="E23" s="221"/>
      <c r="F23" s="221"/>
      <c r="G23" s="221"/>
      <c r="H23" s="221"/>
      <c r="I23" s="221"/>
      <c r="J23" s="221"/>
      <c r="K23" s="221"/>
      <c r="L23" s="220"/>
      <c r="M23" s="221"/>
      <c r="N23" s="221"/>
      <c r="O23" s="221"/>
      <c r="P23" s="221"/>
      <c r="Q23" s="221"/>
      <c r="R23" s="221"/>
      <c r="S23" s="221"/>
      <c r="T23" s="221"/>
      <c r="U23" s="221"/>
      <c r="V23" s="220"/>
      <c r="W23" s="221"/>
      <c r="X23" s="221"/>
      <c r="Y23" s="221"/>
      <c r="Z23" s="221"/>
      <c r="AA23" s="221"/>
      <c r="AB23" s="221"/>
      <c r="AC23" s="221"/>
      <c r="AD23" s="221"/>
      <c r="AE23" s="221"/>
      <c r="AF23" s="220"/>
      <c r="AG23" s="221"/>
      <c r="AH23" s="221"/>
      <c r="AI23" s="221"/>
      <c r="AJ23" s="221"/>
      <c r="AK23" s="221"/>
      <c r="AL23" s="221"/>
      <c r="AM23" s="221"/>
      <c r="AN23" s="221"/>
      <c r="AO23" s="222"/>
      <c r="AP23" s="223"/>
      <c r="AQ23" s="224"/>
      <c r="AR23" s="224"/>
      <c r="AS23" s="224"/>
      <c r="AT23" s="224"/>
      <c r="AU23" s="224"/>
      <c r="AV23" s="224"/>
      <c r="AW23" s="224"/>
      <c r="AX23" s="225"/>
      <c r="AY23" s="226" t="s">
        <v>493</v>
      </c>
      <c r="AZ23" s="227"/>
      <c r="BA23" s="225"/>
      <c r="BB23" s="230"/>
      <c r="BC23" s="230"/>
      <c r="BD23" s="230"/>
      <c r="BE23" s="230"/>
      <c r="BF23" s="230"/>
      <c r="BG23" s="230"/>
      <c r="BH23" s="230"/>
      <c r="BI23" s="230"/>
      <c r="BJ23" s="231"/>
    </row>
    <row r="24" spans="1:62" ht="12.95">
      <c r="A24" s="219" t="s">
        <v>405</v>
      </c>
      <c r="B24" s="220"/>
      <c r="C24" s="221"/>
      <c r="D24" s="221"/>
      <c r="E24" s="221"/>
      <c r="F24" s="221"/>
      <c r="G24" s="221"/>
      <c r="H24" s="221"/>
      <c r="I24" s="221"/>
      <c r="J24" s="221"/>
      <c r="K24" s="221"/>
      <c r="L24" s="220"/>
      <c r="M24" s="221"/>
      <c r="N24" s="221"/>
      <c r="O24" s="221"/>
      <c r="P24" s="221"/>
      <c r="Q24" s="221"/>
      <c r="R24" s="221"/>
      <c r="S24" s="221"/>
      <c r="T24" s="221"/>
      <c r="U24" s="221"/>
      <c r="V24" s="220"/>
      <c r="W24" s="221"/>
      <c r="X24" s="221"/>
      <c r="Y24" s="221"/>
      <c r="Z24" s="221"/>
      <c r="AA24" s="221"/>
      <c r="AB24" s="221"/>
      <c r="AC24" s="221"/>
      <c r="AD24" s="221"/>
      <c r="AE24" s="221"/>
      <c r="AF24" s="220"/>
      <c r="AG24" s="221"/>
      <c r="AH24" s="221"/>
      <c r="AI24" s="221"/>
      <c r="AJ24" s="221"/>
      <c r="AK24" s="221"/>
      <c r="AL24" s="221"/>
      <c r="AM24" s="221"/>
      <c r="AN24" s="221"/>
      <c r="AO24" s="222"/>
      <c r="AP24" s="223"/>
      <c r="AQ24" s="224"/>
      <c r="AR24" s="224"/>
      <c r="AS24" s="224"/>
      <c r="AT24" s="224"/>
      <c r="AU24" s="224"/>
      <c r="AV24" s="224"/>
      <c r="AW24" s="224"/>
      <c r="AX24" s="225"/>
      <c r="AY24" s="226" t="s">
        <v>493</v>
      </c>
      <c r="AZ24" s="227"/>
      <c r="BA24" s="225"/>
      <c r="BB24" s="230"/>
      <c r="BC24" s="230"/>
      <c r="BD24" s="230"/>
      <c r="BE24" s="230"/>
      <c r="BF24" s="230"/>
      <c r="BG24" s="230"/>
      <c r="BH24" s="230"/>
      <c r="BI24" s="230"/>
      <c r="BJ24" s="231"/>
    </row>
    <row r="25" spans="1:62" ht="12.95">
      <c r="A25" s="219" t="s">
        <v>406</v>
      </c>
      <c r="B25" s="220"/>
      <c r="C25" s="221"/>
      <c r="D25" s="221"/>
      <c r="E25" s="221"/>
      <c r="F25" s="221"/>
      <c r="G25" s="221"/>
      <c r="H25" s="221"/>
      <c r="I25" s="221"/>
      <c r="J25" s="221"/>
      <c r="K25" s="221"/>
      <c r="L25" s="220"/>
      <c r="M25" s="221"/>
      <c r="N25" s="221"/>
      <c r="O25" s="221"/>
      <c r="P25" s="221"/>
      <c r="Q25" s="221"/>
      <c r="R25" s="221"/>
      <c r="S25" s="221"/>
      <c r="T25" s="221"/>
      <c r="U25" s="221"/>
      <c r="V25" s="220"/>
      <c r="W25" s="221"/>
      <c r="X25" s="221"/>
      <c r="Y25" s="221"/>
      <c r="Z25" s="221"/>
      <c r="AA25" s="221"/>
      <c r="AB25" s="221"/>
      <c r="AC25" s="221"/>
      <c r="AD25" s="221"/>
      <c r="AE25" s="221"/>
      <c r="AF25" s="220"/>
      <c r="AG25" s="221"/>
      <c r="AH25" s="221"/>
      <c r="AI25" s="221"/>
      <c r="AJ25" s="221"/>
      <c r="AK25" s="221"/>
      <c r="AL25" s="221"/>
      <c r="AM25" s="221"/>
      <c r="AN25" s="221"/>
      <c r="AO25" s="222"/>
      <c r="AP25" s="223"/>
      <c r="AQ25" s="224"/>
      <c r="AR25" s="224"/>
      <c r="AS25" s="224"/>
      <c r="AT25" s="224"/>
      <c r="AU25" s="224"/>
      <c r="AV25" s="224"/>
      <c r="AW25" s="224"/>
      <c r="AX25" s="225"/>
      <c r="AY25" s="226" t="s">
        <v>493</v>
      </c>
      <c r="AZ25" s="227"/>
      <c r="BA25" s="225"/>
      <c r="BB25" s="230"/>
      <c r="BC25" s="226" t="s">
        <v>493</v>
      </c>
      <c r="BD25" s="226" t="s">
        <v>493</v>
      </c>
      <c r="BE25" s="226" t="s">
        <v>493</v>
      </c>
      <c r="BF25" s="226" t="s">
        <v>493</v>
      </c>
      <c r="BG25" s="226" t="s">
        <v>493</v>
      </c>
      <c r="BH25" s="226" t="s">
        <v>493</v>
      </c>
      <c r="BI25" s="226" t="s">
        <v>493</v>
      </c>
      <c r="BJ25" s="228" t="s">
        <v>493</v>
      </c>
    </row>
    <row r="26" spans="1:62" ht="12.95">
      <c r="A26" s="219" t="s">
        <v>409</v>
      </c>
      <c r="B26" s="220"/>
      <c r="C26" s="221"/>
      <c r="D26" s="221"/>
      <c r="E26" s="221"/>
      <c r="F26" s="221"/>
      <c r="G26" s="221"/>
      <c r="H26" s="221"/>
      <c r="I26" s="221"/>
      <c r="J26" s="221"/>
      <c r="K26" s="221"/>
      <c r="L26" s="220"/>
      <c r="M26" s="221"/>
      <c r="N26" s="221"/>
      <c r="O26" s="221"/>
      <c r="P26" s="221"/>
      <c r="Q26" s="221"/>
      <c r="R26" s="221"/>
      <c r="S26" s="221"/>
      <c r="T26" s="221"/>
      <c r="U26" s="221"/>
      <c r="V26" s="220"/>
      <c r="W26" s="221"/>
      <c r="X26" s="221"/>
      <c r="Y26" s="221"/>
      <c r="Z26" s="221"/>
      <c r="AA26" s="221"/>
      <c r="AB26" s="221"/>
      <c r="AC26" s="221"/>
      <c r="AD26" s="221"/>
      <c r="AE26" s="221"/>
      <c r="AF26" s="220"/>
      <c r="AG26" s="221"/>
      <c r="AH26" s="221"/>
      <c r="AI26" s="221"/>
      <c r="AJ26" s="221"/>
      <c r="AK26" s="221"/>
      <c r="AL26" s="221"/>
      <c r="AM26" s="221"/>
      <c r="AN26" s="221"/>
      <c r="AO26" s="222"/>
      <c r="AP26" s="223"/>
      <c r="AQ26" s="224"/>
      <c r="AR26" s="224"/>
      <c r="AS26" s="224"/>
      <c r="AT26" s="224"/>
      <c r="AU26" s="224"/>
      <c r="AV26" s="224"/>
      <c r="AW26" s="224"/>
      <c r="AX26" s="225"/>
      <c r="AY26" s="226" t="s">
        <v>493</v>
      </c>
      <c r="AZ26" s="227"/>
      <c r="BA26" s="225"/>
      <c r="BB26" s="230"/>
      <c r="BC26" s="230"/>
      <c r="BD26" s="230"/>
      <c r="BE26" s="230"/>
      <c r="BF26" s="230"/>
      <c r="BG26" s="230"/>
      <c r="BH26" s="230"/>
      <c r="BI26" s="230"/>
      <c r="BJ26" s="231"/>
    </row>
    <row r="27" spans="1:62" ht="12.95">
      <c r="A27" s="233" t="s">
        <v>411</v>
      </c>
      <c r="B27" s="234"/>
      <c r="C27" s="235"/>
      <c r="D27" s="235"/>
      <c r="E27" s="235"/>
      <c r="F27" s="235"/>
      <c r="G27" s="235"/>
      <c r="H27" s="235"/>
      <c r="I27" s="235"/>
      <c r="J27" s="235"/>
      <c r="K27" s="235"/>
      <c r="L27" s="234"/>
      <c r="M27" s="235"/>
      <c r="N27" s="235"/>
      <c r="O27" s="235"/>
      <c r="P27" s="235"/>
      <c r="Q27" s="235"/>
      <c r="R27" s="235"/>
      <c r="S27" s="235"/>
      <c r="T27" s="235"/>
      <c r="U27" s="235"/>
      <c r="V27" s="234"/>
      <c r="W27" s="235"/>
      <c r="X27" s="235"/>
      <c r="Y27" s="235"/>
      <c r="Z27" s="235"/>
      <c r="AA27" s="235"/>
      <c r="AB27" s="235"/>
      <c r="AC27" s="235"/>
      <c r="AD27" s="235"/>
      <c r="AE27" s="235"/>
      <c r="AF27" s="234"/>
      <c r="AG27" s="235"/>
      <c r="AH27" s="235"/>
      <c r="AI27" s="235"/>
      <c r="AJ27" s="235"/>
      <c r="AK27" s="235"/>
      <c r="AL27" s="235"/>
      <c r="AM27" s="235"/>
      <c r="AN27" s="235"/>
      <c r="AO27" s="236"/>
      <c r="AP27" s="237"/>
      <c r="AQ27" s="238"/>
      <c r="AR27" s="238"/>
      <c r="AS27" s="238"/>
      <c r="AT27" s="238"/>
      <c r="AU27" s="238"/>
      <c r="AV27" s="238"/>
      <c r="AW27" s="238"/>
      <c r="AX27" s="239"/>
      <c r="AY27" s="240" t="s">
        <v>493</v>
      </c>
      <c r="AZ27" s="241"/>
      <c r="BA27" s="239"/>
      <c r="BB27" s="242"/>
      <c r="BC27" s="242"/>
      <c r="BD27" s="242"/>
      <c r="BE27" s="242"/>
      <c r="BF27" s="242"/>
      <c r="BG27" s="242"/>
      <c r="BH27" s="242"/>
      <c r="BI27" s="242"/>
      <c r="BJ27" s="243"/>
    </row>
    <row r="29" spans="1:62" ht="20.100000000000001">
      <c r="D29" s="47"/>
    </row>
  </sheetData>
  <phoneticPr fontId="10" type="noConversion"/>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sheetPr>
  <dimension ref="A1:BI65"/>
  <sheetViews>
    <sheetView zoomScale="60" zoomScaleNormal="60" workbookViewId="0">
      <pane xSplit="1" ySplit="2" topLeftCell="B3" activePane="bottomRight" state="frozen"/>
      <selection pane="bottomRight" activeCell="P64" sqref="P64"/>
      <selection pane="bottomLeft" activeCell="A3" sqref="A3"/>
      <selection pane="topRight" activeCell="B1" sqref="B1"/>
    </sheetView>
  </sheetViews>
  <sheetFormatPr defaultColWidth="9.140625" defaultRowHeight="12.6"/>
  <cols>
    <col min="1" max="1" width="23.42578125" style="76" customWidth="1"/>
    <col min="2" max="3" width="11" style="2" customWidth="1"/>
    <col min="4" max="4" width="13.85546875" style="2" customWidth="1"/>
    <col min="5" max="7" width="9.85546875" style="2" customWidth="1"/>
    <col min="8" max="8" width="11.85546875" style="2" customWidth="1"/>
    <col min="9" max="10" width="11.85546875" style="8" customWidth="1"/>
    <col min="11" max="11" width="11" style="2" customWidth="1"/>
    <col min="12" max="12" width="10.5703125" style="2" customWidth="1"/>
    <col min="13" max="14" width="10.140625" style="2" customWidth="1"/>
    <col min="15" max="15" width="11.140625" style="8" customWidth="1"/>
    <col min="16" max="17" width="11.85546875" style="8" customWidth="1"/>
    <col min="18" max="18" width="9.140625" style="2"/>
    <col min="19" max="19" width="10.5703125" style="2" customWidth="1"/>
    <col min="20" max="21" width="10.140625" style="2" customWidth="1"/>
    <col min="22" max="22" width="11.140625" style="8" customWidth="1"/>
    <col min="23" max="24" width="11.85546875" style="8" customWidth="1"/>
    <col min="25" max="25" width="9.140625" style="2"/>
    <col min="26" max="26" width="10.5703125" style="2" customWidth="1"/>
    <col min="27" max="28" width="10.140625" style="2" customWidth="1"/>
    <col min="29" max="29" width="11.140625" style="8" customWidth="1"/>
    <col min="30" max="31" width="11.140625" style="2" bestFit="1" customWidth="1"/>
    <col min="32" max="36" width="9.140625" style="2"/>
    <col min="37" max="39" width="11.140625" style="2" bestFit="1" customWidth="1"/>
    <col min="40" max="44" width="9.140625" style="2"/>
    <col min="45" max="47" width="11.140625" style="2" bestFit="1" customWidth="1"/>
    <col min="48" max="52" width="9.140625" style="2"/>
    <col min="53" max="53" width="11.140625" style="2" bestFit="1" customWidth="1"/>
    <col min="54" max="16384" width="9.140625" style="2"/>
  </cols>
  <sheetData>
    <row r="1" spans="1:61">
      <c r="B1" s="18" t="s">
        <v>283</v>
      </c>
      <c r="C1" s="18"/>
      <c r="D1" s="18"/>
      <c r="E1" s="18"/>
      <c r="F1" s="18"/>
      <c r="G1" s="18"/>
      <c r="H1" s="18"/>
      <c r="I1" s="42" t="s">
        <v>30</v>
      </c>
      <c r="J1" s="18"/>
      <c r="K1" s="18"/>
      <c r="L1" s="18"/>
      <c r="M1" s="18"/>
      <c r="N1" s="18"/>
      <c r="O1" s="18"/>
      <c r="P1" s="42" t="s">
        <v>232</v>
      </c>
      <c r="Q1" s="18"/>
      <c r="R1" s="18"/>
      <c r="S1" s="18"/>
      <c r="T1" s="18"/>
      <c r="U1" s="18"/>
      <c r="V1" s="18"/>
      <c r="W1" s="42" t="s">
        <v>284</v>
      </c>
      <c r="X1" s="18"/>
      <c r="Y1" s="18"/>
      <c r="Z1" s="18"/>
      <c r="AA1" s="18"/>
      <c r="AB1" s="18"/>
      <c r="AC1" s="401"/>
      <c r="AD1" s="566" t="s">
        <v>95</v>
      </c>
      <c r="AE1" s="557"/>
      <c r="AF1" s="557"/>
      <c r="AG1" s="557"/>
      <c r="AH1" s="557"/>
      <c r="AI1" s="557"/>
      <c r="AJ1" s="557"/>
      <c r="AK1" s="558"/>
      <c r="AL1" s="567" t="s">
        <v>96</v>
      </c>
      <c r="AM1" s="562"/>
      <c r="AN1" s="562"/>
      <c r="AO1" s="562"/>
      <c r="AP1" s="562"/>
      <c r="AQ1" s="562"/>
      <c r="AR1" s="562"/>
      <c r="AS1" s="563"/>
      <c r="AT1" s="567" t="s">
        <v>97</v>
      </c>
      <c r="AU1" s="562"/>
      <c r="AV1" s="562"/>
      <c r="AW1" s="562"/>
      <c r="AX1" s="562"/>
      <c r="AY1" s="562"/>
      <c r="AZ1" s="562"/>
      <c r="BA1" s="563"/>
      <c r="BB1" s="609" t="s">
        <v>98</v>
      </c>
      <c r="BC1" s="610"/>
      <c r="BD1" s="610"/>
      <c r="BE1" s="610"/>
      <c r="BF1" s="610"/>
      <c r="BG1" s="610"/>
      <c r="BH1" s="610"/>
      <c r="BI1" s="610"/>
    </row>
    <row r="2" spans="1:61">
      <c r="B2" s="39" t="s">
        <v>496</v>
      </c>
      <c r="C2" s="39" t="s">
        <v>497</v>
      </c>
      <c r="D2" s="57" t="s">
        <v>498</v>
      </c>
      <c r="E2" s="54" t="s">
        <v>499</v>
      </c>
      <c r="F2" s="54" t="s">
        <v>21</v>
      </c>
      <c r="G2" s="54" t="s">
        <v>22</v>
      </c>
      <c r="H2" s="54" t="s">
        <v>23</v>
      </c>
      <c r="I2" s="69" t="s">
        <v>496</v>
      </c>
      <c r="J2" s="70" t="s">
        <v>497</v>
      </c>
      <c r="K2" s="57" t="s">
        <v>498</v>
      </c>
      <c r="L2" s="54" t="s">
        <v>499</v>
      </c>
      <c r="M2" s="54" t="s">
        <v>21</v>
      </c>
      <c r="N2" s="54" t="s">
        <v>22</v>
      </c>
      <c r="O2" s="54" t="s">
        <v>23</v>
      </c>
      <c r="P2" s="69" t="s">
        <v>496</v>
      </c>
      <c r="Q2" s="70" t="s">
        <v>497</v>
      </c>
      <c r="R2" s="57" t="s">
        <v>498</v>
      </c>
      <c r="S2" s="54" t="s">
        <v>499</v>
      </c>
      <c r="T2" s="54" t="s">
        <v>21</v>
      </c>
      <c r="U2" s="54" t="s">
        <v>22</v>
      </c>
      <c r="V2" s="54" t="s">
        <v>23</v>
      </c>
      <c r="W2" s="69" t="s">
        <v>496</v>
      </c>
      <c r="X2" s="70" t="s">
        <v>497</v>
      </c>
      <c r="Y2" s="57" t="s">
        <v>498</v>
      </c>
      <c r="Z2" s="54" t="s">
        <v>499</v>
      </c>
      <c r="AA2" s="54" t="s">
        <v>21</v>
      </c>
      <c r="AB2" s="54" t="s">
        <v>22</v>
      </c>
      <c r="AC2" s="402" t="s">
        <v>23</v>
      </c>
      <c r="AD2" s="69" t="s">
        <v>496</v>
      </c>
      <c r="AE2" s="70" t="s">
        <v>497</v>
      </c>
      <c r="AF2" s="57" t="s">
        <v>498</v>
      </c>
      <c r="AG2" s="54" t="s">
        <v>499</v>
      </c>
      <c r="AH2" s="54" t="s">
        <v>500</v>
      </c>
      <c r="AI2" s="54" t="s">
        <v>21</v>
      </c>
      <c r="AJ2" s="54" t="s">
        <v>22</v>
      </c>
      <c r="AK2" s="402" t="s">
        <v>23</v>
      </c>
      <c r="AL2" s="405" t="s">
        <v>496</v>
      </c>
      <c r="AM2" s="404" t="s">
        <v>497</v>
      </c>
      <c r="AN2" s="406" t="s">
        <v>498</v>
      </c>
      <c r="AO2" s="54" t="s">
        <v>499</v>
      </c>
      <c r="AP2" s="54" t="s">
        <v>500</v>
      </c>
      <c r="AQ2" s="54" t="s">
        <v>21</v>
      </c>
      <c r="AR2" s="54" t="s">
        <v>22</v>
      </c>
      <c r="AS2" s="402" t="s">
        <v>23</v>
      </c>
      <c r="AT2" s="405" t="s">
        <v>496</v>
      </c>
      <c r="AU2" s="404" t="s">
        <v>497</v>
      </c>
      <c r="AV2" s="406" t="s">
        <v>498</v>
      </c>
      <c r="AW2" s="54" t="s">
        <v>500</v>
      </c>
      <c r="AX2" s="54" t="s">
        <v>499</v>
      </c>
      <c r="AY2" s="54" t="s">
        <v>21</v>
      </c>
      <c r="AZ2" s="54" t="s">
        <v>22</v>
      </c>
      <c r="BA2" s="402" t="s">
        <v>23</v>
      </c>
      <c r="BB2" s="405" t="s">
        <v>496</v>
      </c>
      <c r="BC2" s="404" t="s">
        <v>497</v>
      </c>
      <c r="BD2" s="406" t="s">
        <v>498</v>
      </c>
      <c r="BE2" s="54" t="s">
        <v>500</v>
      </c>
      <c r="BF2" s="54" t="s">
        <v>499</v>
      </c>
      <c r="BG2" s="54" t="s">
        <v>21</v>
      </c>
      <c r="BH2" s="54" t="s">
        <v>22</v>
      </c>
      <c r="BI2" s="402" t="s">
        <v>23</v>
      </c>
    </row>
    <row r="3" spans="1:61">
      <c r="A3" s="75" t="s">
        <v>501</v>
      </c>
      <c r="B3" s="137">
        <f>+B4+B22+B37+B51+B62</f>
        <v>1355748</v>
      </c>
      <c r="C3" s="137">
        <f t="shared" ref="C3:V3" si="0">+C4+C22+C37+C51+C62</f>
        <v>1418401</v>
      </c>
      <c r="D3" s="138">
        <f t="shared" si="0"/>
        <v>29955</v>
      </c>
      <c r="E3" s="116">
        <f t="shared" si="0"/>
        <v>140105</v>
      </c>
      <c r="F3" s="116">
        <f t="shared" si="0"/>
        <v>379817</v>
      </c>
      <c r="G3" s="116">
        <f t="shared" si="0"/>
        <v>375460</v>
      </c>
      <c r="H3" s="116">
        <f t="shared" si="0"/>
        <v>1733817</v>
      </c>
      <c r="I3" s="138">
        <f t="shared" si="0"/>
        <v>1426949</v>
      </c>
      <c r="J3" s="139">
        <f t="shared" si="0"/>
        <v>1489987</v>
      </c>
      <c r="K3" s="138">
        <f t="shared" si="0"/>
        <v>32032</v>
      </c>
      <c r="L3" s="116">
        <f t="shared" si="0"/>
        <v>158599</v>
      </c>
      <c r="M3" s="116">
        <f t="shared" si="0"/>
        <v>447077</v>
      </c>
      <c r="N3" s="116">
        <f t="shared" si="0"/>
        <v>416845</v>
      </c>
      <c r="O3" s="116">
        <f t="shared" si="0"/>
        <v>1877255</v>
      </c>
      <c r="P3" s="138">
        <f t="shared" si="0"/>
        <v>1287697</v>
      </c>
      <c r="Q3" s="139">
        <f t="shared" si="0"/>
        <v>1331728</v>
      </c>
      <c r="R3" s="138">
        <f t="shared" si="0"/>
        <v>32213</v>
      </c>
      <c r="S3" s="116">
        <f t="shared" si="0"/>
        <v>163575</v>
      </c>
      <c r="T3" s="116">
        <f t="shared" si="0"/>
        <v>481698</v>
      </c>
      <c r="U3" s="116">
        <f t="shared" si="0"/>
        <v>451384</v>
      </c>
      <c r="V3" s="116">
        <f t="shared" si="0"/>
        <v>1883382</v>
      </c>
      <c r="W3" s="138">
        <f t="shared" ref="W3:AC3" si="1">+W4+W22+W37+W51+W62</f>
        <v>1531221.3947037291</v>
      </c>
      <c r="X3" s="139">
        <f t="shared" si="1"/>
        <v>1573508.6323495768</v>
      </c>
      <c r="Y3" s="138">
        <f t="shared" si="1"/>
        <v>34131</v>
      </c>
      <c r="Z3" s="116">
        <f t="shared" si="1"/>
        <v>167840</v>
      </c>
      <c r="AA3" s="116">
        <f t="shared" si="1"/>
        <v>545518</v>
      </c>
      <c r="AB3" s="116">
        <f t="shared" si="1"/>
        <v>472261</v>
      </c>
      <c r="AC3" s="139">
        <f t="shared" si="1"/>
        <v>1871980</v>
      </c>
      <c r="AD3" s="139">
        <f t="shared" ref="AD3:AK3" si="2">+AD4+AD22+AD37+AD51+AD62</f>
        <v>1552981</v>
      </c>
      <c r="AE3" s="139">
        <f t="shared" si="2"/>
        <v>1591113</v>
      </c>
      <c r="AF3" s="139">
        <f t="shared" si="2"/>
        <v>32768</v>
      </c>
      <c r="AG3" s="139">
        <f t="shared" si="2"/>
        <v>158887</v>
      </c>
      <c r="AH3" s="139">
        <f t="shared" ref="AH3" si="3">+AH4+AH22+AH37+AH51+AH62</f>
        <v>9979</v>
      </c>
      <c r="AI3" s="139">
        <f t="shared" si="2"/>
        <v>583907</v>
      </c>
      <c r="AJ3" s="139">
        <f t="shared" si="2"/>
        <v>471461</v>
      </c>
      <c r="AK3" s="139">
        <f t="shared" si="2"/>
        <v>1835332</v>
      </c>
      <c r="AL3" s="139">
        <f t="shared" ref="AL3:AS3" si="4">+AL4+AL22+AL37+AL51+AL62</f>
        <v>1558489</v>
      </c>
      <c r="AM3" s="139">
        <f t="shared" si="4"/>
        <v>1590694</v>
      </c>
      <c r="AN3" s="139">
        <f t="shared" si="4"/>
        <v>32450</v>
      </c>
      <c r="AO3" s="139">
        <f t="shared" si="4"/>
        <v>163589</v>
      </c>
      <c r="AP3" s="139">
        <f t="shared" ref="AP3" si="5">+AP4+AP22+AP37+AP51+AP62</f>
        <v>10237</v>
      </c>
      <c r="AQ3" s="139">
        <f t="shared" si="4"/>
        <v>608726</v>
      </c>
      <c r="AR3" s="139">
        <f t="shared" si="4"/>
        <v>467932</v>
      </c>
      <c r="AS3" s="139">
        <f t="shared" si="4"/>
        <v>1807528</v>
      </c>
      <c r="AT3" s="139">
        <f t="shared" ref="AT3:BA3" si="6">+AT4+AT22+AT37+AT51+AT62</f>
        <v>1569675</v>
      </c>
      <c r="AU3" s="139">
        <f t="shared" si="6"/>
        <v>1599579</v>
      </c>
      <c r="AV3" s="139">
        <f t="shared" si="6"/>
        <v>31100</v>
      </c>
      <c r="AW3" s="139">
        <f t="shared" ref="AW3" si="7">+AW4+AW22+AW37+AW51+AW62</f>
        <v>10313</v>
      </c>
      <c r="AX3" s="139">
        <f t="shared" si="6"/>
        <v>168782</v>
      </c>
      <c r="AY3" s="139">
        <f t="shared" si="6"/>
        <v>640413</v>
      </c>
      <c r="AZ3" s="139">
        <f t="shared" si="6"/>
        <v>461919</v>
      </c>
      <c r="BA3" s="139">
        <f t="shared" si="6"/>
        <v>1791147</v>
      </c>
    </row>
    <row r="4" spans="1:61">
      <c r="A4" s="74" t="s">
        <v>502</v>
      </c>
      <c r="B4" s="130">
        <f>SUM(B6:B21)</f>
        <v>447361</v>
      </c>
      <c r="C4" s="131">
        <f t="shared" ref="C4:V4" si="8">SUM(C6:C21)</f>
        <v>476687</v>
      </c>
      <c r="D4" s="95">
        <f t="shared" si="8"/>
        <v>10290</v>
      </c>
      <c r="E4" s="132">
        <f t="shared" si="8"/>
        <v>30466</v>
      </c>
      <c r="F4" s="132">
        <f t="shared" si="8"/>
        <v>136275</v>
      </c>
      <c r="G4" s="132">
        <f t="shared" si="8"/>
        <v>217467</v>
      </c>
      <c r="H4" s="132">
        <f t="shared" si="8"/>
        <v>543909</v>
      </c>
      <c r="I4" s="96">
        <f t="shared" si="8"/>
        <v>474609</v>
      </c>
      <c r="J4" s="133">
        <f t="shared" si="8"/>
        <v>503897</v>
      </c>
      <c r="K4" s="134">
        <f t="shared" si="8"/>
        <v>10777</v>
      </c>
      <c r="L4" s="135">
        <f t="shared" si="8"/>
        <v>31097</v>
      </c>
      <c r="M4" s="135">
        <f t="shared" si="8"/>
        <v>150569</v>
      </c>
      <c r="N4" s="135">
        <f t="shared" si="8"/>
        <v>220700</v>
      </c>
      <c r="O4" s="135">
        <f t="shared" si="8"/>
        <v>565420</v>
      </c>
      <c r="P4" s="96">
        <f t="shared" si="8"/>
        <v>514372</v>
      </c>
      <c r="Q4" s="133">
        <f t="shared" si="8"/>
        <v>541057</v>
      </c>
      <c r="R4" s="134">
        <f t="shared" si="8"/>
        <v>11373</v>
      </c>
      <c r="S4" s="135">
        <f t="shared" si="8"/>
        <v>33378</v>
      </c>
      <c r="T4" s="135">
        <f t="shared" si="8"/>
        <v>168308</v>
      </c>
      <c r="U4" s="135">
        <f t="shared" si="8"/>
        <v>249546</v>
      </c>
      <c r="V4" s="135">
        <f t="shared" si="8"/>
        <v>593115</v>
      </c>
      <c r="W4" s="96">
        <f t="shared" ref="W4:AC4" si="9">SUM(W6:W21)</f>
        <v>534990</v>
      </c>
      <c r="X4" s="133">
        <f t="shared" si="9"/>
        <v>557707</v>
      </c>
      <c r="Y4" s="134">
        <f t="shared" si="9"/>
        <v>12368</v>
      </c>
      <c r="Z4" s="135">
        <f t="shared" si="9"/>
        <v>35283</v>
      </c>
      <c r="AA4" s="135">
        <f t="shared" si="9"/>
        <v>191266</v>
      </c>
      <c r="AB4" s="135">
        <f t="shared" si="9"/>
        <v>260575</v>
      </c>
      <c r="AC4" s="403">
        <f t="shared" si="9"/>
        <v>592237</v>
      </c>
      <c r="AD4" s="403">
        <f t="shared" ref="AD4:AK4" si="10">SUM(AD6:AD21)</f>
        <v>548184</v>
      </c>
      <c r="AE4" s="403">
        <f t="shared" si="10"/>
        <v>567747</v>
      </c>
      <c r="AF4" s="403">
        <f t="shared" si="10"/>
        <v>12143</v>
      </c>
      <c r="AG4" s="403">
        <f t="shared" si="10"/>
        <v>33974</v>
      </c>
      <c r="AH4" s="403">
        <f t="shared" ref="AH4" si="11">SUM(AH6:AH21)</f>
        <v>1158</v>
      </c>
      <c r="AI4" s="403">
        <f t="shared" si="10"/>
        <v>205724</v>
      </c>
      <c r="AJ4" s="403">
        <f t="shared" si="10"/>
        <v>262427</v>
      </c>
      <c r="AK4" s="403">
        <f t="shared" si="10"/>
        <v>581930</v>
      </c>
      <c r="AL4" s="403">
        <f t="shared" ref="AL4:AS4" si="12">SUM(AL6:AL21)</f>
        <v>550843</v>
      </c>
      <c r="AM4" s="403">
        <f t="shared" si="12"/>
        <v>566695</v>
      </c>
      <c r="AN4" s="403">
        <f t="shared" si="12"/>
        <v>11885</v>
      </c>
      <c r="AO4" s="403">
        <f t="shared" si="12"/>
        <v>35194</v>
      </c>
      <c r="AP4" s="403">
        <f t="shared" ref="AP4" si="13">SUM(AP6:AP21)</f>
        <v>1220</v>
      </c>
      <c r="AQ4" s="403">
        <f t="shared" si="12"/>
        <v>211912</v>
      </c>
      <c r="AR4" s="403">
        <f t="shared" si="12"/>
        <v>259351</v>
      </c>
      <c r="AS4" s="403">
        <f t="shared" si="12"/>
        <v>576857</v>
      </c>
      <c r="AT4" s="403">
        <f t="shared" ref="AT4:BA4" si="14">SUM(AT6:AT21)</f>
        <v>560335</v>
      </c>
      <c r="AU4" s="403">
        <f t="shared" si="14"/>
        <v>574667</v>
      </c>
      <c r="AV4" s="403">
        <f t="shared" si="14"/>
        <v>11816</v>
      </c>
      <c r="AW4" s="403">
        <f t="shared" ref="AW4" si="15">SUM(AW6:AW21)</f>
        <v>1239</v>
      </c>
      <c r="AX4" s="403">
        <f t="shared" si="14"/>
        <v>36977</v>
      </c>
      <c r="AY4" s="403">
        <f t="shared" si="14"/>
        <v>228808</v>
      </c>
      <c r="AZ4" s="403">
        <f t="shared" si="14"/>
        <v>257994</v>
      </c>
      <c r="BA4" s="403">
        <f t="shared" si="14"/>
        <v>574990</v>
      </c>
    </row>
    <row r="5" spans="1:61">
      <c r="A5" s="77" t="s">
        <v>129</v>
      </c>
      <c r="B5" s="56"/>
      <c r="C5" s="53"/>
      <c r="D5" s="66"/>
      <c r="E5" s="66"/>
      <c r="F5" s="66"/>
      <c r="G5" s="66"/>
      <c r="H5" s="66"/>
      <c r="I5" s="63"/>
      <c r="J5" s="68"/>
      <c r="K5" s="64"/>
      <c r="P5" s="63"/>
      <c r="Q5" s="68"/>
      <c r="R5" s="64"/>
      <c r="W5" s="63"/>
      <c r="X5" s="68"/>
      <c r="Y5" s="64"/>
      <c r="AC5" s="51"/>
    </row>
    <row r="6" spans="1:61">
      <c r="A6" s="74" t="s">
        <v>33</v>
      </c>
      <c r="B6" s="7">
        <v>18694</v>
      </c>
      <c r="C6" s="52">
        <v>20188</v>
      </c>
      <c r="D6" s="66">
        <v>342</v>
      </c>
      <c r="E6" s="66">
        <v>411</v>
      </c>
      <c r="F6" s="66">
        <v>580</v>
      </c>
      <c r="G6" s="66">
        <v>12546</v>
      </c>
      <c r="H6" s="66">
        <v>25004</v>
      </c>
      <c r="I6" s="63">
        <v>19782</v>
      </c>
      <c r="J6" s="68">
        <v>21531</v>
      </c>
      <c r="K6" s="64">
        <v>437</v>
      </c>
      <c r="L6" s="8">
        <v>474</v>
      </c>
      <c r="M6" s="8">
        <v>684</v>
      </c>
      <c r="N6" s="8">
        <v>13343</v>
      </c>
      <c r="O6" s="8">
        <v>26375</v>
      </c>
      <c r="P6" s="63">
        <v>20207</v>
      </c>
      <c r="Q6" s="68">
        <v>21826</v>
      </c>
      <c r="R6" s="64">
        <v>461</v>
      </c>
      <c r="S6" s="8">
        <v>509</v>
      </c>
      <c r="T6" s="8">
        <v>799</v>
      </c>
      <c r="U6" s="8">
        <v>13884</v>
      </c>
      <c r="V6" s="8">
        <v>26380</v>
      </c>
      <c r="W6" s="63">
        <v>20844</v>
      </c>
      <c r="X6" s="68">
        <v>22271</v>
      </c>
      <c r="Y6" s="64">
        <v>407</v>
      </c>
      <c r="Z6" s="8">
        <v>606</v>
      </c>
      <c r="AA6" s="8">
        <v>976</v>
      </c>
      <c r="AB6" s="8">
        <v>14558</v>
      </c>
      <c r="AC6" s="51">
        <v>26569</v>
      </c>
      <c r="AD6" s="2">
        <v>22651</v>
      </c>
      <c r="AE6" s="2">
        <v>23384</v>
      </c>
      <c r="AF6" s="2">
        <v>492</v>
      </c>
      <c r="AG6" s="2">
        <v>528</v>
      </c>
      <c r="AH6" s="2">
        <v>7</v>
      </c>
      <c r="AI6" s="2">
        <v>1213</v>
      </c>
      <c r="AJ6" s="2">
        <v>15820</v>
      </c>
      <c r="AK6" s="2">
        <v>27928</v>
      </c>
      <c r="AL6" s="2">
        <v>22171</v>
      </c>
      <c r="AM6" s="2">
        <v>23223</v>
      </c>
      <c r="AN6" s="2">
        <v>466</v>
      </c>
      <c r="AO6" s="2">
        <v>593</v>
      </c>
      <c r="AP6" s="2">
        <v>13</v>
      </c>
      <c r="AQ6" s="2">
        <v>1206</v>
      </c>
      <c r="AR6" s="2">
        <v>15297</v>
      </c>
      <c r="AS6" s="2">
        <v>27717</v>
      </c>
      <c r="AT6" s="2">
        <v>21701</v>
      </c>
      <c r="AU6" s="2">
        <v>22532</v>
      </c>
      <c r="AV6" s="2">
        <v>486</v>
      </c>
      <c r="AW6" s="2">
        <v>21</v>
      </c>
      <c r="AX6" s="2">
        <v>574</v>
      </c>
      <c r="AY6" s="2">
        <v>1338</v>
      </c>
      <c r="AZ6" s="2">
        <v>14709</v>
      </c>
      <c r="BA6" s="2">
        <v>26963</v>
      </c>
    </row>
    <row r="7" spans="1:61">
      <c r="A7" s="74" t="s">
        <v>34</v>
      </c>
      <c r="B7" s="7">
        <v>6193</v>
      </c>
      <c r="C7" s="52">
        <v>6429</v>
      </c>
      <c r="D7" s="66">
        <v>154</v>
      </c>
      <c r="E7" s="66">
        <v>449</v>
      </c>
      <c r="F7" s="66">
        <v>1121</v>
      </c>
      <c r="G7" s="66">
        <v>5534</v>
      </c>
      <c r="H7" s="66">
        <v>19449</v>
      </c>
      <c r="I7" s="63">
        <v>13892</v>
      </c>
      <c r="J7" s="68">
        <v>14833</v>
      </c>
      <c r="K7" s="64">
        <v>185</v>
      </c>
      <c r="L7" s="8">
        <v>513</v>
      </c>
      <c r="M7" s="8">
        <v>1421</v>
      </c>
      <c r="N7" s="8">
        <v>6132</v>
      </c>
      <c r="O7" s="8">
        <v>20474</v>
      </c>
      <c r="P7" s="63">
        <v>14091</v>
      </c>
      <c r="Q7" s="68">
        <v>13965</v>
      </c>
      <c r="R7" s="64">
        <v>205</v>
      </c>
      <c r="S7" s="8">
        <v>442</v>
      </c>
      <c r="T7" s="8">
        <v>1599</v>
      </c>
      <c r="U7" s="8">
        <v>5939</v>
      </c>
      <c r="V7" s="8">
        <v>19872</v>
      </c>
      <c r="W7" s="63">
        <v>13819</v>
      </c>
      <c r="X7" s="68">
        <v>14457</v>
      </c>
      <c r="Y7" s="64">
        <v>171</v>
      </c>
      <c r="Z7" s="8">
        <v>553</v>
      </c>
      <c r="AA7" s="8">
        <v>1849</v>
      </c>
      <c r="AB7" s="8">
        <v>5945</v>
      </c>
      <c r="AC7" s="51">
        <v>19498</v>
      </c>
      <c r="AD7" s="2">
        <v>13884</v>
      </c>
      <c r="AE7" s="2">
        <v>14321</v>
      </c>
      <c r="AF7" s="2">
        <v>216</v>
      </c>
      <c r="AG7" s="2">
        <v>463</v>
      </c>
      <c r="AH7" s="2">
        <v>63</v>
      </c>
      <c r="AI7" s="2">
        <v>2096</v>
      </c>
      <c r="AJ7" s="2">
        <v>6011</v>
      </c>
      <c r="AK7" s="2">
        <v>19077</v>
      </c>
      <c r="AL7" s="2">
        <v>14139</v>
      </c>
      <c r="AM7" s="2">
        <v>14280</v>
      </c>
      <c r="AN7" s="2">
        <v>172</v>
      </c>
      <c r="AO7" s="2">
        <v>411</v>
      </c>
      <c r="AP7" s="2">
        <v>75</v>
      </c>
      <c r="AQ7" s="2">
        <v>2220</v>
      </c>
      <c r="AR7" s="2">
        <v>5963</v>
      </c>
      <c r="AS7" s="2">
        <v>19294</v>
      </c>
      <c r="AT7" s="2">
        <v>14369</v>
      </c>
      <c r="AU7" s="2">
        <v>14559</v>
      </c>
      <c r="AV7" s="2">
        <v>180</v>
      </c>
      <c r="AW7" s="2">
        <v>85</v>
      </c>
      <c r="AX7" s="2">
        <v>428</v>
      </c>
      <c r="AY7" s="2">
        <v>2413</v>
      </c>
      <c r="AZ7" s="2">
        <v>6007</v>
      </c>
      <c r="BA7" s="2">
        <v>19426</v>
      </c>
    </row>
    <row r="8" spans="1:61">
      <c r="A8" s="2" t="s">
        <v>35</v>
      </c>
      <c r="B8" s="7">
        <v>3495</v>
      </c>
      <c r="C8" s="52">
        <v>3710</v>
      </c>
      <c r="D8" s="66">
        <v>27</v>
      </c>
      <c r="E8" s="66">
        <v>237</v>
      </c>
      <c r="F8" s="66">
        <v>424</v>
      </c>
      <c r="G8" s="66">
        <v>2034</v>
      </c>
      <c r="H8" s="66">
        <v>4483</v>
      </c>
      <c r="I8" s="63" t="s">
        <v>503</v>
      </c>
      <c r="J8" s="68" t="s">
        <v>503</v>
      </c>
      <c r="K8" s="63" t="s">
        <v>47</v>
      </c>
      <c r="L8" s="8" t="s">
        <v>503</v>
      </c>
      <c r="M8" s="8" t="s">
        <v>503</v>
      </c>
      <c r="N8" s="8" t="s">
        <v>503</v>
      </c>
      <c r="O8" s="8" t="s">
        <v>503</v>
      </c>
      <c r="P8" s="63">
        <v>3862</v>
      </c>
      <c r="Q8" s="68">
        <v>3977</v>
      </c>
      <c r="R8" s="63">
        <v>31</v>
      </c>
      <c r="S8" s="8">
        <v>246</v>
      </c>
      <c r="T8" s="8">
        <v>522</v>
      </c>
      <c r="U8" s="8">
        <v>2438</v>
      </c>
      <c r="V8" s="8">
        <v>4602</v>
      </c>
      <c r="W8" s="63">
        <v>3885</v>
      </c>
      <c r="X8" s="68">
        <v>4248</v>
      </c>
      <c r="Y8" s="63">
        <v>26</v>
      </c>
      <c r="Z8" s="8">
        <v>309</v>
      </c>
      <c r="AA8" s="8">
        <v>594</v>
      </c>
      <c r="AB8" s="8">
        <v>2507</v>
      </c>
      <c r="AC8" s="51">
        <v>4697</v>
      </c>
      <c r="AD8" s="2">
        <v>3937</v>
      </c>
      <c r="AE8" s="2">
        <v>4106</v>
      </c>
      <c r="AF8" s="2">
        <v>36</v>
      </c>
      <c r="AG8" s="2">
        <v>275</v>
      </c>
      <c r="AH8" s="2" t="s">
        <v>504</v>
      </c>
      <c r="AI8" s="2">
        <v>702</v>
      </c>
      <c r="AJ8" s="2">
        <v>2489</v>
      </c>
      <c r="AK8" s="2">
        <v>4497</v>
      </c>
      <c r="AL8" s="2">
        <v>3960</v>
      </c>
      <c r="AM8" s="2">
        <v>4287</v>
      </c>
      <c r="AN8" s="2">
        <v>33</v>
      </c>
      <c r="AO8" s="2">
        <v>340</v>
      </c>
      <c r="AP8" s="2" t="s">
        <v>504</v>
      </c>
      <c r="AQ8" s="2">
        <v>680</v>
      </c>
      <c r="AR8" s="2">
        <v>2544</v>
      </c>
      <c r="AS8" s="2">
        <v>4589</v>
      </c>
      <c r="AT8" s="2">
        <v>3948</v>
      </c>
      <c r="AU8" s="2">
        <v>4122</v>
      </c>
      <c r="AV8" s="2">
        <v>26</v>
      </c>
      <c r="AW8" s="2" t="s">
        <v>504</v>
      </c>
      <c r="AX8" s="2">
        <v>292</v>
      </c>
      <c r="AY8" s="2">
        <v>805</v>
      </c>
      <c r="AZ8" s="2">
        <v>2561</v>
      </c>
      <c r="BA8" s="2">
        <v>4334</v>
      </c>
    </row>
    <row r="9" spans="1:61">
      <c r="A9" s="74" t="s">
        <v>36</v>
      </c>
      <c r="B9" s="7">
        <v>67846</v>
      </c>
      <c r="C9" s="52">
        <v>72166</v>
      </c>
      <c r="D9" s="66">
        <v>405</v>
      </c>
      <c r="E9" s="66">
        <v>4234</v>
      </c>
      <c r="F9" s="66">
        <v>28861</v>
      </c>
      <c r="G9" s="66">
        <v>28099</v>
      </c>
      <c r="H9" s="66">
        <v>78413</v>
      </c>
      <c r="I9" s="63">
        <v>70331</v>
      </c>
      <c r="J9" s="68">
        <v>75923</v>
      </c>
      <c r="K9" s="64">
        <v>443</v>
      </c>
      <c r="L9" s="8">
        <v>4255</v>
      </c>
      <c r="M9" s="8">
        <v>31721</v>
      </c>
      <c r="N9" s="8">
        <v>30239</v>
      </c>
      <c r="O9" s="8">
        <v>79596</v>
      </c>
      <c r="P9" s="63">
        <v>72427</v>
      </c>
      <c r="Q9" s="68">
        <v>77639</v>
      </c>
      <c r="R9" s="64">
        <v>451</v>
      </c>
      <c r="S9" s="8">
        <v>4436</v>
      </c>
      <c r="T9" s="8">
        <v>34079</v>
      </c>
      <c r="U9" s="8">
        <v>32167</v>
      </c>
      <c r="V9" s="8">
        <v>78933</v>
      </c>
      <c r="W9" s="63">
        <v>74094</v>
      </c>
      <c r="X9" s="68">
        <v>78468</v>
      </c>
      <c r="Y9" s="64">
        <v>502</v>
      </c>
      <c r="Z9" s="8">
        <v>4540</v>
      </c>
      <c r="AA9" s="8">
        <v>36397</v>
      </c>
      <c r="AB9" s="8">
        <v>33748</v>
      </c>
      <c r="AC9" s="51">
        <v>77375</v>
      </c>
      <c r="AD9" s="2">
        <v>75879</v>
      </c>
      <c r="AE9" s="2">
        <v>79614</v>
      </c>
      <c r="AF9" s="2">
        <v>599</v>
      </c>
      <c r="AG9" s="2">
        <v>4249</v>
      </c>
      <c r="AH9" s="2">
        <v>158</v>
      </c>
      <c r="AI9" s="2">
        <v>38614</v>
      </c>
      <c r="AJ9" s="2">
        <v>32570</v>
      </c>
      <c r="AK9" s="2">
        <v>75697</v>
      </c>
      <c r="AL9" s="2">
        <v>74091</v>
      </c>
      <c r="AM9" s="2">
        <v>77873</v>
      </c>
      <c r="AN9" s="2">
        <v>596</v>
      </c>
      <c r="AO9" s="2">
        <v>4405</v>
      </c>
      <c r="AP9" s="2">
        <v>146</v>
      </c>
      <c r="AQ9" s="2">
        <v>38183</v>
      </c>
      <c r="AR9" s="2">
        <v>30721</v>
      </c>
      <c r="AS9" s="2">
        <v>74054</v>
      </c>
      <c r="AT9" s="2">
        <v>77301</v>
      </c>
      <c r="AU9" s="2">
        <v>80728</v>
      </c>
      <c r="AV9" s="2">
        <v>629</v>
      </c>
      <c r="AW9" s="2">
        <v>152</v>
      </c>
      <c r="AX9" s="2">
        <v>4652</v>
      </c>
      <c r="AY9" s="2">
        <v>42010</v>
      </c>
      <c r="AZ9" s="2">
        <v>32454</v>
      </c>
      <c r="BA9" s="2">
        <v>73953</v>
      </c>
    </row>
    <row r="10" spans="1:61">
      <c r="A10" s="74" t="s">
        <v>37</v>
      </c>
      <c r="B10" s="7">
        <v>36504</v>
      </c>
      <c r="C10" s="52">
        <v>40034</v>
      </c>
      <c r="D10" s="66">
        <v>94</v>
      </c>
      <c r="E10" s="66">
        <v>2798</v>
      </c>
      <c r="F10" s="66">
        <v>3515</v>
      </c>
      <c r="G10" s="66">
        <v>26195</v>
      </c>
      <c r="H10" s="66">
        <v>43936</v>
      </c>
      <c r="I10" s="63">
        <v>39036</v>
      </c>
      <c r="J10" s="68">
        <v>42997</v>
      </c>
      <c r="K10" s="64">
        <v>145</v>
      </c>
      <c r="L10" s="8">
        <v>2868</v>
      </c>
      <c r="M10" s="8">
        <v>4309</v>
      </c>
      <c r="N10" s="8">
        <v>29010</v>
      </c>
      <c r="O10" s="8">
        <v>45701</v>
      </c>
      <c r="P10" s="63">
        <v>41306</v>
      </c>
      <c r="Q10" s="68">
        <v>44857</v>
      </c>
      <c r="R10" s="64">
        <v>140</v>
      </c>
      <c r="S10" s="8">
        <v>3101</v>
      </c>
      <c r="T10" s="8">
        <v>5052</v>
      </c>
      <c r="U10" s="8">
        <v>31949</v>
      </c>
      <c r="V10" s="8">
        <v>45921</v>
      </c>
      <c r="W10" s="63">
        <v>43664</v>
      </c>
      <c r="X10" s="68">
        <v>47897</v>
      </c>
      <c r="Y10" s="64">
        <v>226</v>
      </c>
      <c r="Z10" s="8">
        <v>3394</v>
      </c>
      <c r="AA10" s="8">
        <v>6649</v>
      </c>
      <c r="AB10" s="8">
        <v>33342</v>
      </c>
      <c r="AC10" s="51">
        <v>45833</v>
      </c>
      <c r="AD10" s="2">
        <v>44746</v>
      </c>
      <c r="AE10" s="2">
        <v>47592</v>
      </c>
      <c r="AF10" s="2">
        <v>232</v>
      </c>
      <c r="AG10" s="2">
        <v>3411</v>
      </c>
      <c r="AH10" s="2">
        <v>70</v>
      </c>
      <c r="AI10" s="2">
        <v>7272</v>
      </c>
      <c r="AJ10" s="2">
        <v>33821</v>
      </c>
      <c r="AK10" s="2">
        <v>45249</v>
      </c>
      <c r="AL10" s="2">
        <v>43799</v>
      </c>
      <c r="AM10" s="2">
        <v>46783</v>
      </c>
      <c r="AN10" s="2">
        <v>225</v>
      </c>
      <c r="AO10" s="2">
        <v>3518</v>
      </c>
      <c r="AP10" s="2">
        <v>75</v>
      </c>
      <c r="AQ10" s="2">
        <v>7359</v>
      </c>
      <c r="AR10" s="2">
        <v>32646</v>
      </c>
      <c r="AS10" s="2">
        <v>44466</v>
      </c>
      <c r="AT10" s="2">
        <v>44872</v>
      </c>
      <c r="AU10" s="2">
        <v>47544</v>
      </c>
      <c r="AV10" s="2">
        <v>207</v>
      </c>
      <c r="AW10" s="2">
        <v>77</v>
      </c>
      <c r="AX10" s="2">
        <v>3699</v>
      </c>
      <c r="AY10" s="2">
        <v>8275</v>
      </c>
      <c r="AZ10" s="2">
        <v>32811</v>
      </c>
      <c r="BA10" s="2">
        <v>44875</v>
      </c>
    </row>
    <row r="11" spans="1:61">
      <c r="A11" s="74" t="s">
        <v>38</v>
      </c>
      <c r="B11" s="8" t="s">
        <v>47</v>
      </c>
      <c r="C11" s="51" t="s">
        <v>47</v>
      </c>
      <c r="D11" s="66" t="s">
        <v>47</v>
      </c>
      <c r="E11" s="66" t="s">
        <v>47</v>
      </c>
      <c r="F11" s="66" t="s">
        <v>47</v>
      </c>
      <c r="G11" s="66" t="s">
        <v>47</v>
      </c>
      <c r="H11" s="66" t="s">
        <v>47</v>
      </c>
      <c r="I11" s="63">
        <v>19181</v>
      </c>
      <c r="J11" s="68">
        <v>19798</v>
      </c>
      <c r="K11" s="64">
        <v>53</v>
      </c>
      <c r="L11" s="8">
        <v>390</v>
      </c>
      <c r="M11" s="8">
        <v>585</v>
      </c>
      <c r="N11" s="8">
        <v>3769</v>
      </c>
      <c r="O11" s="8">
        <v>34185</v>
      </c>
      <c r="P11" s="63">
        <v>20200</v>
      </c>
      <c r="Q11" s="68">
        <v>20987</v>
      </c>
      <c r="R11" s="64">
        <v>6</v>
      </c>
      <c r="S11" s="8">
        <v>417</v>
      </c>
      <c r="T11" s="8">
        <v>710</v>
      </c>
      <c r="U11" s="8">
        <v>4213</v>
      </c>
      <c r="V11" s="8">
        <v>36044</v>
      </c>
      <c r="W11" s="63">
        <v>21253</v>
      </c>
      <c r="X11" s="68">
        <v>21295</v>
      </c>
      <c r="Y11" s="64">
        <v>51</v>
      </c>
      <c r="Z11" s="8">
        <v>533</v>
      </c>
      <c r="AA11" s="8">
        <v>835</v>
      </c>
      <c r="AB11" s="8">
        <v>4573</v>
      </c>
      <c r="AC11" s="51">
        <v>36672</v>
      </c>
      <c r="AD11" s="2">
        <v>21537</v>
      </c>
      <c r="AE11" s="2">
        <v>21494</v>
      </c>
      <c r="AF11" s="2">
        <v>48</v>
      </c>
      <c r="AG11" s="2">
        <v>470</v>
      </c>
      <c r="AH11" s="2">
        <v>17</v>
      </c>
      <c r="AI11" s="2">
        <v>966</v>
      </c>
      <c r="AJ11" s="2">
        <v>4542</v>
      </c>
      <c r="AK11" s="2">
        <v>36686</v>
      </c>
      <c r="AL11" s="2">
        <v>21492</v>
      </c>
      <c r="AM11" s="2">
        <v>21150</v>
      </c>
      <c r="AN11" s="2">
        <v>51</v>
      </c>
      <c r="AO11" s="2">
        <v>539</v>
      </c>
      <c r="AP11" s="2">
        <v>27</v>
      </c>
      <c r="AQ11" s="2">
        <v>1053</v>
      </c>
      <c r="AR11" s="2">
        <v>4510</v>
      </c>
      <c r="AS11" s="2">
        <v>36059</v>
      </c>
      <c r="AT11" s="2">
        <v>21653</v>
      </c>
      <c r="AU11" s="2">
        <v>21235</v>
      </c>
      <c r="AV11" s="2">
        <v>119</v>
      </c>
      <c r="AW11" s="2">
        <v>27</v>
      </c>
      <c r="AX11" s="2">
        <v>550</v>
      </c>
      <c r="AY11" s="2">
        <v>1236</v>
      </c>
      <c r="AZ11" s="2">
        <v>4581</v>
      </c>
      <c r="BA11" s="2">
        <v>35865</v>
      </c>
    </row>
    <row r="12" spans="1:61">
      <c r="A12" s="74" t="s">
        <v>39</v>
      </c>
      <c r="B12" s="7">
        <v>15746</v>
      </c>
      <c r="C12" s="52">
        <v>18528</v>
      </c>
      <c r="D12" s="66">
        <v>242</v>
      </c>
      <c r="E12" s="66">
        <v>658</v>
      </c>
      <c r="F12" s="66">
        <v>556</v>
      </c>
      <c r="G12" s="66">
        <v>13051</v>
      </c>
      <c r="H12" s="66">
        <v>19767</v>
      </c>
      <c r="I12" s="63">
        <v>15698</v>
      </c>
      <c r="J12" s="68">
        <v>18703</v>
      </c>
      <c r="K12" s="64">
        <v>238</v>
      </c>
      <c r="L12" s="8">
        <v>622</v>
      </c>
      <c r="M12" s="8">
        <v>672</v>
      </c>
      <c r="N12" s="8">
        <v>13253</v>
      </c>
      <c r="O12" s="8">
        <v>19616</v>
      </c>
      <c r="P12" s="63">
        <v>16544</v>
      </c>
      <c r="Q12" s="68">
        <v>19077</v>
      </c>
      <c r="R12" s="64">
        <v>287</v>
      </c>
      <c r="S12" s="8">
        <v>682</v>
      </c>
      <c r="T12" s="8">
        <v>718</v>
      </c>
      <c r="U12" s="8">
        <v>14346</v>
      </c>
      <c r="V12" s="8">
        <v>19589</v>
      </c>
      <c r="W12" s="63">
        <v>17010</v>
      </c>
      <c r="X12" s="68">
        <v>19563</v>
      </c>
      <c r="Y12" s="64">
        <v>245</v>
      </c>
      <c r="Z12" s="8">
        <v>721</v>
      </c>
      <c r="AA12" s="8">
        <v>933</v>
      </c>
      <c r="AB12" s="8">
        <v>15178</v>
      </c>
      <c r="AC12" s="51">
        <v>19496</v>
      </c>
      <c r="AD12" s="2">
        <v>16726</v>
      </c>
      <c r="AE12" s="2">
        <v>19118</v>
      </c>
      <c r="AF12" s="2">
        <v>253</v>
      </c>
      <c r="AG12" s="2">
        <v>696</v>
      </c>
      <c r="AH12" s="2">
        <v>9</v>
      </c>
      <c r="AI12" s="2">
        <v>1057</v>
      </c>
      <c r="AJ12" s="2">
        <v>14517</v>
      </c>
      <c r="AK12" s="2">
        <v>19096</v>
      </c>
      <c r="AL12" s="2">
        <v>17079</v>
      </c>
      <c r="AM12" s="2">
        <v>19596</v>
      </c>
      <c r="AN12" s="2">
        <v>265</v>
      </c>
      <c r="AO12" s="2">
        <v>709</v>
      </c>
      <c r="AP12" s="2">
        <v>7</v>
      </c>
      <c r="AQ12" s="2">
        <v>1160</v>
      </c>
      <c r="AR12" s="2">
        <v>15250</v>
      </c>
      <c r="AS12" s="2">
        <v>19044</v>
      </c>
      <c r="AT12" s="2">
        <v>17728</v>
      </c>
      <c r="AU12" s="2">
        <v>19780</v>
      </c>
      <c r="AV12" s="2">
        <v>272</v>
      </c>
      <c r="AW12" s="2">
        <v>25</v>
      </c>
      <c r="AX12" s="2">
        <v>722</v>
      </c>
      <c r="AY12" s="2">
        <v>1259</v>
      </c>
      <c r="AZ12" s="2">
        <v>15307</v>
      </c>
      <c r="BA12" s="2">
        <v>19635</v>
      </c>
    </row>
    <row r="13" spans="1:61">
      <c r="A13" s="74" t="s">
        <v>40</v>
      </c>
      <c r="B13" s="7">
        <v>27874</v>
      </c>
      <c r="C13" s="52">
        <v>29690</v>
      </c>
      <c r="D13" s="66">
        <v>179</v>
      </c>
      <c r="E13" s="66">
        <v>3311</v>
      </c>
      <c r="F13" s="66">
        <v>3130</v>
      </c>
      <c r="G13" s="66">
        <v>19779</v>
      </c>
      <c r="H13" s="66">
        <v>31165</v>
      </c>
      <c r="I13" s="63">
        <v>28730</v>
      </c>
      <c r="J13" s="68">
        <v>30441</v>
      </c>
      <c r="K13" s="64">
        <v>193</v>
      </c>
      <c r="L13" s="8">
        <v>3392</v>
      </c>
      <c r="M13" s="8">
        <v>3555</v>
      </c>
      <c r="N13" s="8">
        <v>20602</v>
      </c>
      <c r="O13" s="8">
        <v>31429</v>
      </c>
      <c r="P13" s="63">
        <v>28217</v>
      </c>
      <c r="Q13" s="68">
        <v>30087</v>
      </c>
      <c r="R13" s="64">
        <v>186</v>
      </c>
      <c r="S13" s="8">
        <v>3426</v>
      </c>
      <c r="T13" s="8">
        <v>3842</v>
      </c>
      <c r="U13" s="8">
        <v>20581</v>
      </c>
      <c r="V13" s="8">
        <v>30269</v>
      </c>
      <c r="W13" s="63">
        <v>29049</v>
      </c>
      <c r="X13" s="68">
        <v>30029</v>
      </c>
      <c r="Y13" s="64">
        <v>190</v>
      </c>
      <c r="Z13" s="8">
        <v>3700</v>
      </c>
      <c r="AA13" s="8">
        <v>4087</v>
      </c>
      <c r="AB13" s="8">
        <v>21231</v>
      </c>
      <c r="AC13" s="51">
        <v>29870</v>
      </c>
      <c r="AD13" s="2">
        <v>28591</v>
      </c>
      <c r="AE13" s="2">
        <v>30154</v>
      </c>
      <c r="AF13" s="2">
        <v>194</v>
      </c>
      <c r="AG13" s="2">
        <v>3429</v>
      </c>
      <c r="AH13" s="2">
        <v>28</v>
      </c>
      <c r="AI13" s="2">
        <v>4682</v>
      </c>
      <c r="AJ13" s="2">
        <v>21143</v>
      </c>
      <c r="AK13" s="2">
        <v>27979</v>
      </c>
      <c r="AL13" s="2">
        <v>29049</v>
      </c>
      <c r="AM13" s="2">
        <v>29762</v>
      </c>
      <c r="AN13" s="2">
        <v>188</v>
      </c>
      <c r="AO13" s="2">
        <v>3542</v>
      </c>
      <c r="AP13" s="2">
        <v>53</v>
      </c>
      <c r="AQ13" s="2">
        <v>5045</v>
      </c>
      <c r="AR13" s="2">
        <v>20956</v>
      </c>
      <c r="AS13" s="2">
        <v>27570</v>
      </c>
      <c r="AT13" s="2">
        <v>29049</v>
      </c>
      <c r="AU13" s="2">
        <v>29847</v>
      </c>
      <c r="AV13" s="2">
        <v>246</v>
      </c>
      <c r="AW13" s="2">
        <v>52</v>
      </c>
      <c r="AX13" s="2">
        <v>3700</v>
      </c>
      <c r="AY13" s="2">
        <v>5463</v>
      </c>
      <c r="AZ13" s="2">
        <v>20361</v>
      </c>
      <c r="BA13" s="2">
        <v>27409</v>
      </c>
    </row>
    <row r="14" spans="1:61">
      <c r="A14" s="74" t="s">
        <v>41</v>
      </c>
      <c r="B14" s="7">
        <v>10913</v>
      </c>
      <c r="C14" s="52">
        <v>13273</v>
      </c>
      <c r="D14" s="66">
        <v>39</v>
      </c>
      <c r="E14" s="66">
        <v>243</v>
      </c>
      <c r="F14" s="66">
        <v>227</v>
      </c>
      <c r="G14" s="66">
        <v>11437</v>
      </c>
      <c r="H14" s="66">
        <v>12240</v>
      </c>
      <c r="I14" s="63">
        <v>11097</v>
      </c>
      <c r="J14" s="68">
        <v>13644</v>
      </c>
      <c r="K14" s="64">
        <v>40</v>
      </c>
      <c r="L14" s="8">
        <v>280</v>
      </c>
      <c r="M14" s="8">
        <v>271</v>
      </c>
      <c r="N14" s="8">
        <v>11660</v>
      </c>
      <c r="O14" s="8">
        <v>12544</v>
      </c>
      <c r="P14" s="63">
        <v>11225</v>
      </c>
      <c r="Q14" s="68">
        <v>13228</v>
      </c>
      <c r="R14" s="64">
        <v>37</v>
      </c>
      <c r="S14" s="8">
        <v>239</v>
      </c>
      <c r="T14" s="8">
        <v>313</v>
      </c>
      <c r="U14" s="8">
        <v>11837</v>
      </c>
      <c r="V14" s="8">
        <v>12079</v>
      </c>
      <c r="W14" s="63">
        <v>11735</v>
      </c>
      <c r="X14" s="68">
        <v>13586</v>
      </c>
      <c r="Y14" s="64">
        <v>40</v>
      </c>
      <c r="Z14" s="8">
        <v>257</v>
      </c>
      <c r="AA14" s="8">
        <v>325</v>
      </c>
      <c r="AB14" s="8">
        <v>12165</v>
      </c>
      <c r="AC14" s="51">
        <v>12685</v>
      </c>
      <c r="AD14" s="2">
        <v>12855</v>
      </c>
      <c r="AE14" s="2">
        <v>14464</v>
      </c>
      <c r="AF14" s="2">
        <v>39</v>
      </c>
      <c r="AG14" s="2">
        <v>310</v>
      </c>
      <c r="AH14" s="2" t="s">
        <v>504</v>
      </c>
      <c r="AI14" s="2">
        <v>399</v>
      </c>
      <c r="AJ14" s="2">
        <v>13561</v>
      </c>
      <c r="AK14" s="2">
        <v>13009</v>
      </c>
      <c r="AL14" s="2">
        <v>12166</v>
      </c>
      <c r="AM14" s="2">
        <v>13992</v>
      </c>
      <c r="AN14" s="2">
        <v>29</v>
      </c>
      <c r="AO14" s="2">
        <v>264</v>
      </c>
      <c r="AP14" s="2" t="s">
        <v>504</v>
      </c>
      <c r="AQ14" s="2">
        <v>469</v>
      </c>
      <c r="AR14" s="2">
        <v>12853</v>
      </c>
      <c r="AS14" s="2">
        <v>12484</v>
      </c>
      <c r="AT14" s="2">
        <v>12382</v>
      </c>
      <c r="AU14" s="2">
        <v>14120</v>
      </c>
      <c r="AV14" s="2">
        <v>44</v>
      </c>
      <c r="AW14" s="2">
        <v>7</v>
      </c>
      <c r="AX14" s="2">
        <v>297</v>
      </c>
      <c r="AY14" s="2">
        <v>448</v>
      </c>
      <c r="AZ14" s="2">
        <v>12740</v>
      </c>
      <c r="BA14" s="2">
        <v>12883</v>
      </c>
    </row>
    <row r="15" spans="1:61">
      <c r="A15" s="2" t="s">
        <v>42</v>
      </c>
      <c r="B15" s="7">
        <v>35720</v>
      </c>
      <c r="C15" s="52">
        <v>39081</v>
      </c>
      <c r="D15" s="66">
        <v>861</v>
      </c>
      <c r="E15" s="66">
        <v>1824</v>
      </c>
      <c r="F15" s="66">
        <v>3364</v>
      </c>
      <c r="G15" s="66">
        <v>20526</v>
      </c>
      <c r="H15" s="66">
        <v>48226</v>
      </c>
      <c r="I15" s="63">
        <v>39616</v>
      </c>
      <c r="J15" s="68">
        <v>42150</v>
      </c>
      <c r="K15" s="64">
        <v>1010</v>
      </c>
      <c r="L15" s="8">
        <v>1944</v>
      </c>
      <c r="M15" s="8">
        <v>4228</v>
      </c>
      <c r="N15" s="8">
        <v>23002</v>
      </c>
      <c r="O15" s="8">
        <v>51582</v>
      </c>
      <c r="P15" s="63">
        <v>41247</v>
      </c>
      <c r="Q15" s="68">
        <v>43600</v>
      </c>
      <c r="R15" s="64">
        <v>1102</v>
      </c>
      <c r="S15" s="8">
        <v>2088</v>
      </c>
      <c r="T15" s="8">
        <v>5067</v>
      </c>
      <c r="U15" s="8">
        <v>24103</v>
      </c>
      <c r="V15" s="8">
        <v>52487</v>
      </c>
      <c r="W15" s="63">
        <v>42118</v>
      </c>
      <c r="X15" s="68">
        <v>44569</v>
      </c>
      <c r="Y15" s="64">
        <v>1243</v>
      </c>
      <c r="Z15" s="8">
        <v>2243</v>
      </c>
      <c r="AA15" s="8">
        <v>5681</v>
      </c>
      <c r="AB15" s="8">
        <v>25181</v>
      </c>
      <c r="AC15" s="51">
        <v>52339</v>
      </c>
      <c r="AD15" s="2">
        <v>44013</v>
      </c>
      <c r="AE15" s="2">
        <v>45879</v>
      </c>
      <c r="AF15" s="2">
        <v>1176</v>
      </c>
      <c r="AG15" s="2">
        <v>2117</v>
      </c>
      <c r="AH15" s="2">
        <v>63</v>
      </c>
      <c r="AI15" s="2">
        <v>6924</v>
      </c>
      <c r="AJ15" s="2">
        <v>25157</v>
      </c>
      <c r="AK15" s="2">
        <v>52016</v>
      </c>
      <c r="AL15" s="2">
        <v>46308</v>
      </c>
      <c r="AM15" s="2">
        <v>47669</v>
      </c>
      <c r="AN15" s="2">
        <v>1302</v>
      </c>
      <c r="AO15" s="2">
        <v>2402</v>
      </c>
      <c r="AP15" s="2">
        <v>82</v>
      </c>
      <c r="AQ15" s="2">
        <v>8136</v>
      </c>
      <c r="AR15" s="2">
        <v>26342</v>
      </c>
      <c r="AS15" s="2">
        <v>52906</v>
      </c>
      <c r="AT15" s="2">
        <v>46526</v>
      </c>
      <c r="AU15" s="2">
        <v>47813</v>
      </c>
      <c r="AV15" s="2">
        <v>1301</v>
      </c>
      <c r="AW15" s="2">
        <v>86</v>
      </c>
      <c r="AX15" s="2">
        <v>2482</v>
      </c>
      <c r="AY15" s="2">
        <v>9078</v>
      </c>
      <c r="AZ15" s="2">
        <v>25497</v>
      </c>
      <c r="BA15" s="2">
        <v>52914</v>
      </c>
    </row>
    <row r="16" spans="1:61">
      <c r="A16" s="74" t="s">
        <v>43</v>
      </c>
      <c r="B16" s="7">
        <v>18234</v>
      </c>
      <c r="C16" s="52">
        <v>18866</v>
      </c>
      <c r="D16" s="66">
        <v>6730</v>
      </c>
      <c r="E16" s="66">
        <v>856</v>
      </c>
      <c r="F16" s="66">
        <v>2385</v>
      </c>
      <c r="G16" s="66">
        <v>3599</v>
      </c>
      <c r="H16" s="66">
        <v>23530</v>
      </c>
      <c r="I16" s="63">
        <v>18550</v>
      </c>
      <c r="J16" s="68">
        <v>19080</v>
      </c>
      <c r="K16" s="64">
        <v>6770</v>
      </c>
      <c r="L16" s="8">
        <v>867</v>
      </c>
      <c r="M16" s="8">
        <v>2476</v>
      </c>
      <c r="N16" s="8">
        <v>3926</v>
      </c>
      <c r="O16" s="8">
        <v>23591</v>
      </c>
      <c r="P16" s="63">
        <v>18649</v>
      </c>
      <c r="Q16" s="68">
        <v>18570</v>
      </c>
      <c r="R16" s="64">
        <v>7034</v>
      </c>
      <c r="S16" s="8">
        <v>902</v>
      </c>
      <c r="T16" s="8">
        <v>2664</v>
      </c>
      <c r="U16" s="8">
        <v>3643</v>
      </c>
      <c r="V16" s="8">
        <v>22976</v>
      </c>
      <c r="W16" s="63">
        <v>19255</v>
      </c>
      <c r="X16" s="68">
        <v>19248</v>
      </c>
      <c r="Y16" s="64">
        <v>7281</v>
      </c>
      <c r="Z16" s="8">
        <v>1063</v>
      </c>
      <c r="AA16" s="8">
        <v>2870</v>
      </c>
      <c r="AB16" s="8">
        <v>3797</v>
      </c>
      <c r="AC16" s="51">
        <v>23492</v>
      </c>
      <c r="AD16" s="2">
        <v>18649</v>
      </c>
      <c r="AE16" s="2">
        <v>19095</v>
      </c>
      <c r="AF16" s="2">
        <v>6840</v>
      </c>
      <c r="AG16" s="2">
        <v>955</v>
      </c>
      <c r="AH16" s="2">
        <v>98</v>
      </c>
      <c r="AI16" s="2">
        <v>3099</v>
      </c>
      <c r="AJ16" s="2">
        <v>3566</v>
      </c>
      <c r="AK16" s="2">
        <v>22582</v>
      </c>
      <c r="AL16" s="2">
        <v>18671</v>
      </c>
      <c r="AM16" s="2">
        <v>18634</v>
      </c>
      <c r="AN16" s="2">
        <v>6579</v>
      </c>
      <c r="AO16" s="2">
        <v>898</v>
      </c>
      <c r="AP16" s="2">
        <v>94</v>
      </c>
      <c r="AQ16" s="2">
        <v>3346</v>
      </c>
      <c r="AR16" s="2">
        <v>3546</v>
      </c>
      <c r="AS16" s="2">
        <v>21846</v>
      </c>
      <c r="AT16" s="2">
        <v>18444</v>
      </c>
      <c r="AU16" s="2">
        <v>18589</v>
      </c>
      <c r="AV16" s="2">
        <v>6441</v>
      </c>
      <c r="AW16" s="2">
        <v>71</v>
      </c>
      <c r="AX16" s="2">
        <v>857</v>
      </c>
      <c r="AY16" s="2">
        <v>3601</v>
      </c>
      <c r="AZ16" s="2">
        <v>3434</v>
      </c>
      <c r="BA16" s="2">
        <v>21386</v>
      </c>
    </row>
    <row r="17" spans="1:53">
      <c r="A17" s="74" t="s">
        <v>44</v>
      </c>
      <c r="B17" s="7">
        <v>15857</v>
      </c>
      <c r="C17" s="52">
        <v>18863</v>
      </c>
      <c r="D17" s="127">
        <v>44</v>
      </c>
      <c r="E17" s="127">
        <v>462</v>
      </c>
      <c r="F17" s="127">
        <v>631</v>
      </c>
      <c r="G17" s="127">
        <v>12643</v>
      </c>
      <c r="H17" s="127">
        <v>21062</v>
      </c>
      <c r="I17" s="63" t="s">
        <v>503</v>
      </c>
      <c r="J17" s="68" t="s">
        <v>503</v>
      </c>
      <c r="K17" s="63" t="s">
        <v>47</v>
      </c>
      <c r="L17" s="8" t="s">
        <v>503</v>
      </c>
      <c r="M17" s="8" t="s">
        <v>503</v>
      </c>
      <c r="N17" s="8" t="s">
        <v>503</v>
      </c>
      <c r="O17" s="8" t="s">
        <v>503</v>
      </c>
      <c r="P17" s="63">
        <v>18141</v>
      </c>
      <c r="Q17" s="68">
        <v>20792</v>
      </c>
      <c r="R17" s="63">
        <v>107</v>
      </c>
      <c r="S17" s="8">
        <v>605</v>
      </c>
      <c r="T17" s="8">
        <v>1227</v>
      </c>
      <c r="U17" s="8">
        <v>14541</v>
      </c>
      <c r="V17" s="8">
        <v>22453</v>
      </c>
      <c r="W17" s="63">
        <v>18424</v>
      </c>
      <c r="X17" s="68">
        <v>21230</v>
      </c>
      <c r="Y17" s="63">
        <v>109</v>
      </c>
      <c r="Z17" s="8">
        <v>699</v>
      </c>
      <c r="AA17" s="8">
        <v>1394</v>
      </c>
      <c r="AB17" s="8">
        <v>15125</v>
      </c>
      <c r="AC17" s="51">
        <v>22985</v>
      </c>
      <c r="AD17" s="2">
        <v>19197</v>
      </c>
      <c r="AE17" s="2">
        <v>21511</v>
      </c>
      <c r="AF17" s="2">
        <v>113</v>
      </c>
      <c r="AG17" s="2">
        <v>507</v>
      </c>
      <c r="AH17" s="2">
        <v>48</v>
      </c>
      <c r="AI17" s="2">
        <v>1663</v>
      </c>
      <c r="AJ17" s="2">
        <v>15029</v>
      </c>
      <c r="AK17" s="2">
        <v>22821</v>
      </c>
      <c r="AL17" s="2">
        <v>19914</v>
      </c>
      <c r="AM17" s="2">
        <v>21528</v>
      </c>
      <c r="AN17" s="2">
        <v>108</v>
      </c>
      <c r="AO17" s="2">
        <v>584</v>
      </c>
      <c r="AP17" s="2">
        <v>59</v>
      </c>
      <c r="AQ17" s="2">
        <v>1755</v>
      </c>
      <c r="AR17" s="2">
        <v>14912</v>
      </c>
      <c r="AS17" s="2">
        <v>23337</v>
      </c>
      <c r="AT17" s="2">
        <v>20566</v>
      </c>
      <c r="AU17" s="2">
        <v>21680</v>
      </c>
      <c r="AV17" s="2">
        <v>123</v>
      </c>
      <c r="AW17" s="2">
        <v>60</v>
      </c>
      <c r="AX17" s="2">
        <v>647</v>
      </c>
      <c r="AY17" s="2">
        <v>2070</v>
      </c>
      <c r="AZ17" s="2">
        <v>14769</v>
      </c>
      <c r="BA17" s="2">
        <v>23802</v>
      </c>
    </row>
    <row r="18" spans="1:53">
      <c r="A18" s="74" t="s">
        <v>45</v>
      </c>
      <c r="B18" s="128">
        <v>26221</v>
      </c>
      <c r="C18" s="52">
        <v>28130</v>
      </c>
      <c r="D18" s="66">
        <v>94</v>
      </c>
      <c r="E18" s="66">
        <v>934</v>
      </c>
      <c r="F18" s="66">
        <v>1146</v>
      </c>
      <c r="G18" s="66">
        <v>12188</v>
      </c>
      <c r="H18" s="66">
        <v>40140</v>
      </c>
      <c r="I18" s="63">
        <v>28109</v>
      </c>
      <c r="J18" s="68">
        <v>29376</v>
      </c>
      <c r="K18" s="64">
        <v>105</v>
      </c>
      <c r="L18" s="8">
        <v>906</v>
      </c>
      <c r="M18" s="8">
        <v>1567</v>
      </c>
      <c r="N18" s="8">
        <v>13207</v>
      </c>
      <c r="O18" s="8">
        <v>41700</v>
      </c>
      <c r="P18" s="63">
        <v>29651</v>
      </c>
      <c r="Q18" s="68">
        <v>30717</v>
      </c>
      <c r="R18" s="64">
        <v>109</v>
      </c>
      <c r="S18" s="8">
        <v>916</v>
      </c>
      <c r="T18" s="8">
        <v>1762</v>
      </c>
      <c r="U18" s="8">
        <v>14221</v>
      </c>
      <c r="V18" s="8">
        <v>43360</v>
      </c>
      <c r="W18" s="63">
        <v>30780</v>
      </c>
      <c r="X18" s="68">
        <v>31628</v>
      </c>
      <c r="Y18" s="64">
        <v>124</v>
      </c>
      <c r="Z18" s="8">
        <v>1062</v>
      </c>
      <c r="AA18" s="8">
        <v>2046</v>
      </c>
      <c r="AB18" s="8">
        <v>15242</v>
      </c>
      <c r="AC18" s="51">
        <v>43934</v>
      </c>
      <c r="AD18" s="2">
        <v>30557</v>
      </c>
      <c r="AE18" s="2">
        <v>31301</v>
      </c>
      <c r="AF18" s="2">
        <v>169</v>
      </c>
      <c r="AG18" s="2">
        <v>962</v>
      </c>
      <c r="AH18" s="2">
        <v>78</v>
      </c>
      <c r="AI18" s="2">
        <v>2271</v>
      </c>
      <c r="AJ18" s="2">
        <v>15053</v>
      </c>
      <c r="AK18" s="2">
        <v>43329</v>
      </c>
      <c r="AL18" s="2">
        <v>31408</v>
      </c>
      <c r="AM18" s="2">
        <v>31044</v>
      </c>
      <c r="AN18" s="2">
        <v>172</v>
      </c>
      <c r="AO18" s="2">
        <v>1034</v>
      </c>
      <c r="AP18" s="2">
        <v>85</v>
      </c>
      <c r="AQ18" s="2">
        <v>2549</v>
      </c>
      <c r="AR18" s="2">
        <v>15277</v>
      </c>
      <c r="AS18" s="2">
        <v>43337</v>
      </c>
      <c r="AT18" s="2">
        <v>30378</v>
      </c>
      <c r="AU18" s="2">
        <v>30943</v>
      </c>
      <c r="AV18" s="2">
        <v>147</v>
      </c>
      <c r="AW18" s="2">
        <v>72</v>
      </c>
      <c r="AX18" s="2">
        <v>1113</v>
      </c>
      <c r="AY18" s="2">
        <v>2800</v>
      </c>
      <c r="AZ18" s="2">
        <v>14509</v>
      </c>
      <c r="BA18" s="2">
        <v>42682</v>
      </c>
    </row>
    <row r="19" spans="1:53">
      <c r="A19" s="74" t="s">
        <v>46</v>
      </c>
      <c r="B19" s="7">
        <v>120351</v>
      </c>
      <c r="C19" s="52">
        <v>120842</v>
      </c>
      <c r="D19" s="66">
        <v>882</v>
      </c>
      <c r="E19" s="66">
        <v>9625</v>
      </c>
      <c r="F19" s="66">
        <v>86332</v>
      </c>
      <c r="G19" s="66">
        <v>32139</v>
      </c>
      <c r="H19" s="66">
        <v>112215</v>
      </c>
      <c r="I19" s="63">
        <v>125157</v>
      </c>
      <c r="J19" s="68">
        <v>126964</v>
      </c>
      <c r="K19" s="64">
        <v>944</v>
      </c>
      <c r="L19" s="8">
        <v>9750</v>
      </c>
      <c r="M19" s="8">
        <v>94571</v>
      </c>
      <c r="N19" s="8">
        <v>33873</v>
      </c>
      <c r="O19" s="8">
        <v>112983</v>
      </c>
      <c r="P19" s="63">
        <v>131773</v>
      </c>
      <c r="Q19" s="68">
        <v>132468</v>
      </c>
      <c r="R19" s="64">
        <v>961</v>
      </c>
      <c r="S19" s="8">
        <v>10462</v>
      </c>
      <c r="T19" s="8">
        <v>104854</v>
      </c>
      <c r="U19" s="8">
        <v>35982</v>
      </c>
      <c r="V19" s="8">
        <v>112016</v>
      </c>
      <c r="W19" s="63">
        <v>140858</v>
      </c>
      <c r="X19" s="68">
        <v>139529</v>
      </c>
      <c r="Y19" s="64">
        <v>1472</v>
      </c>
      <c r="Z19" s="8">
        <v>10490</v>
      </c>
      <c r="AA19" s="8">
        <v>120985</v>
      </c>
      <c r="AB19" s="8">
        <v>37491</v>
      </c>
      <c r="AC19" s="51">
        <v>110456</v>
      </c>
      <c r="AD19" s="2">
        <v>145446</v>
      </c>
      <c r="AE19" s="2">
        <v>145024</v>
      </c>
      <c r="AF19" s="2">
        <v>1429</v>
      </c>
      <c r="AG19" s="2">
        <v>10467</v>
      </c>
      <c r="AH19" s="2">
        <v>406</v>
      </c>
      <c r="AI19" s="2">
        <v>127719</v>
      </c>
      <c r="AJ19" s="2">
        <v>38698</v>
      </c>
      <c r="AK19" s="2">
        <v>107573</v>
      </c>
      <c r="AL19" s="2">
        <v>146355</v>
      </c>
      <c r="AM19" s="2">
        <v>146176</v>
      </c>
      <c r="AN19" s="2">
        <v>1427</v>
      </c>
      <c r="AO19" s="2">
        <v>10871</v>
      </c>
      <c r="AP19" s="2">
        <v>396</v>
      </c>
      <c r="AQ19" s="2">
        <v>131045</v>
      </c>
      <c r="AR19" s="2">
        <v>38186</v>
      </c>
      <c r="AS19" s="2">
        <v>105752</v>
      </c>
      <c r="AT19" s="2">
        <v>151002</v>
      </c>
      <c r="AU19" s="2">
        <v>150388</v>
      </c>
      <c r="AV19" s="2">
        <v>1311</v>
      </c>
      <c r="AW19" s="2">
        <v>394</v>
      </c>
      <c r="AX19" s="2">
        <v>11650</v>
      </c>
      <c r="AY19" s="2">
        <v>139783</v>
      </c>
      <c r="AZ19" s="2">
        <v>38772</v>
      </c>
      <c r="BA19" s="2">
        <v>104466</v>
      </c>
    </row>
    <row r="20" spans="1:53">
      <c r="A20" s="74" t="s">
        <v>48</v>
      </c>
      <c r="B20" s="7">
        <v>35065</v>
      </c>
      <c r="C20" s="52">
        <v>38128</v>
      </c>
      <c r="D20" s="66">
        <v>181</v>
      </c>
      <c r="E20" s="66">
        <v>4310</v>
      </c>
      <c r="F20" s="66">
        <v>3916</v>
      </c>
      <c r="G20" s="66">
        <v>16982</v>
      </c>
      <c r="H20" s="66">
        <v>47804</v>
      </c>
      <c r="I20" s="63">
        <v>36716</v>
      </c>
      <c r="J20" s="68">
        <v>39682</v>
      </c>
      <c r="K20" s="64">
        <v>200</v>
      </c>
      <c r="L20" s="8">
        <v>4689</v>
      </c>
      <c r="M20" s="8">
        <v>4394</v>
      </c>
      <c r="N20" s="8">
        <v>17960</v>
      </c>
      <c r="O20" s="8">
        <v>49155</v>
      </c>
      <c r="P20" s="63">
        <v>38014</v>
      </c>
      <c r="Q20" s="68">
        <v>40395</v>
      </c>
      <c r="R20" s="64">
        <v>240</v>
      </c>
      <c r="S20" s="8">
        <v>4758</v>
      </c>
      <c r="T20" s="8">
        <v>4960</v>
      </c>
      <c r="U20" s="8">
        <v>18961</v>
      </c>
      <c r="V20" s="8">
        <v>49490</v>
      </c>
      <c r="W20" s="63">
        <v>39341</v>
      </c>
      <c r="X20" s="68">
        <v>40899</v>
      </c>
      <c r="Y20" s="64">
        <v>260</v>
      </c>
      <c r="Z20" s="8">
        <v>4970</v>
      </c>
      <c r="AA20" s="8">
        <v>5508</v>
      </c>
      <c r="AB20" s="8">
        <v>19642</v>
      </c>
      <c r="AC20" s="51">
        <v>49860</v>
      </c>
      <c r="AD20" s="2">
        <v>40710</v>
      </c>
      <c r="AE20" s="2">
        <v>42185</v>
      </c>
      <c r="AF20" s="2">
        <v>290</v>
      </c>
      <c r="AG20" s="2">
        <v>5004</v>
      </c>
      <c r="AH20" s="2">
        <v>113</v>
      </c>
      <c r="AI20" s="2">
        <v>6901</v>
      </c>
      <c r="AJ20" s="2">
        <v>19595</v>
      </c>
      <c r="AK20" s="2">
        <v>48280</v>
      </c>
      <c r="AL20" s="2">
        <v>41246</v>
      </c>
      <c r="AM20" s="2">
        <v>42090</v>
      </c>
      <c r="AN20" s="2">
        <v>259</v>
      </c>
      <c r="AO20" s="2">
        <v>4954</v>
      </c>
      <c r="AP20" s="2">
        <v>108</v>
      </c>
      <c r="AQ20" s="2">
        <v>7542</v>
      </c>
      <c r="AR20" s="2">
        <v>19430</v>
      </c>
      <c r="AS20" s="2">
        <v>48077</v>
      </c>
      <c r="AT20" s="2">
        <v>41383</v>
      </c>
      <c r="AU20" s="2">
        <v>41896</v>
      </c>
      <c r="AV20" s="2">
        <v>265</v>
      </c>
      <c r="AW20" s="2">
        <v>110</v>
      </c>
      <c r="AX20" s="2">
        <v>5183</v>
      </c>
      <c r="AY20" s="2">
        <v>8055</v>
      </c>
      <c r="AZ20" s="2">
        <v>18565</v>
      </c>
      <c r="BA20" s="2">
        <v>47825</v>
      </c>
    </row>
    <row r="21" spans="1:53">
      <c r="A21" s="75" t="s">
        <v>49</v>
      </c>
      <c r="B21" s="126">
        <v>8648</v>
      </c>
      <c r="C21" s="55">
        <v>8759</v>
      </c>
      <c r="D21" s="65">
        <v>16</v>
      </c>
      <c r="E21" s="65">
        <v>114</v>
      </c>
      <c r="F21" s="65">
        <v>87</v>
      </c>
      <c r="G21" s="65">
        <v>715</v>
      </c>
      <c r="H21" s="65">
        <v>16475</v>
      </c>
      <c r="I21" s="71">
        <v>8714</v>
      </c>
      <c r="J21" s="72">
        <v>8775</v>
      </c>
      <c r="K21" s="67">
        <v>14</v>
      </c>
      <c r="L21" s="24">
        <v>147</v>
      </c>
      <c r="M21" s="24">
        <v>115</v>
      </c>
      <c r="N21" s="24">
        <v>724</v>
      </c>
      <c r="O21" s="24">
        <v>16489</v>
      </c>
      <c r="P21" s="71">
        <v>8818</v>
      </c>
      <c r="Q21" s="72">
        <v>8872</v>
      </c>
      <c r="R21" s="67">
        <v>16</v>
      </c>
      <c r="S21" s="24">
        <v>149</v>
      </c>
      <c r="T21" s="24">
        <v>140</v>
      </c>
      <c r="U21" s="24">
        <v>741</v>
      </c>
      <c r="V21" s="24">
        <v>16644</v>
      </c>
      <c r="W21" s="71">
        <v>8861</v>
      </c>
      <c r="X21" s="72">
        <v>8790</v>
      </c>
      <c r="Y21" s="67">
        <v>21</v>
      </c>
      <c r="Z21" s="24">
        <v>143</v>
      </c>
      <c r="AA21" s="24">
        <v>137</v>
      </c>
      <c r="AB21" s="24">
        <v>850</v>
      </c>
      <c r="AC21" s="404">
        <v>16476</v>
      </c>
      <c r="AD21" s="2">
        <v>8806</v>
      </c>
      <c r="AE21" s="2">
        <v>8505</v>
      </c>
      <c r="AF21" s="2">
        <v>17</v>
      </c>
      <c r="AG21" s="2">
        <v>131</v>
      </c>
      <c r="AH21" s="2" t="s">
        <v>504</v>
      </c>
      <c r="AI21" s="2">
        <v>146</v>
      </c>
      <c r="AJ21" s="2">
        <v>855</v>
      </c>
      <c r="AK21" s="2">
        <v>16111</v>
      </c>
      <c r="AL21" s="2">
        <v>8995</v>
      </c>
      <c r="AM21" s="2">
        <v>8608</v>
      </c>
      <c r="AN21" s="2">
        <v>13</v>
      </c>
      <c r="AO21" s="2">
        <v>130</v>
      </c>
      <c r="AP21" s="2" t="s">
        <v>504</v>
      </c>
      <c r="AQ21" s="2">
        <v>164</v>
      </c>
      <c r="AR21" s="2">
        <v>918</v>
      </c>
      <c r="AS21" s="2">
        <v>16325</v>
      </c>
      <c r="AT21" s="2">
        <v>9033</v>
      </c>
      <c r="AU21" s="2">
        <v>8891</v>
      </c>
      <c r="AV21" s="2">
        <v>19</v>
      </c>
      <c r="AW21" s="2" t="s">
        <v>504</v>
      </c>
      <c r="AX21" s="2">
        <v>131</v>
      </c>
      <c r="AY21" s="2">
        <v>174</v>
      </c>
      <c r="AZ21" s="2">
        <v>917</v>
      </c>
      <c r="BA21" s="2">
        <v>16572</v>
      </c>
    </row>
    <row r="22" spans="1:53">
      <c r="A22" s="77" t="s">
        <v>50</v>
      </c>
      <c r="B22" s="130">
        <f>SUM(B24:B36)</f>
        <v>299272</v>
      </c>
      <c r="C22" s="131">
        <f t="shared" ref="C22:BA22" si="16">SUM(C24:C36)</f>
        <v>317957</v>
      </c>
      <c r="D22" s="95">
        <f t="shared" si="16"/>
        <v>13723</v>
      </c>
      <c r="E22" s="95">
        <f t="shared" si="16"/>
        <v>74922</v>
      </c>
      <c r="F22" s="95">
        <f t="shared" si="16"/>
        <v>178618</v>
      </c>
      <c r="G22" s="95">
        <f t="shared" si="16"/>
        <v>37351</v>
      </c>
      <c r="H22" s="95">
        <f t="shared" si="16"/>
        <v>351258</v>
      </c>
      <c r="I22" s="96">
        <f t="shared" si="16"/>
        <v>332224</v>
      </c>
      <c r="J22" s="133">
        <f t="shared" si="16"/>
        <v>352006</v>
      </c>
      <c r="K22" s="134">
        <f t="shared" si="16"/>
        <v>14671</v>
      </c>
      <c r="L22" s="136">
        <f t="shared" si="16"/>
        <v>77436</v>
      </c>
      <c r="M22" s="136">
        <f t="shared" si="16"/>
        <v>198232</v>
      </c>
      <c r="N22" s="136">
        <f t="shared" si="16"/>
        <v>38201</v>
      </c>
      <c r="O22" s="135">
        <f t="shared" si="16"/>
        <v>355835</v>
      </c>
      <c r="P22" s="96">
        <f t="shared" si="16"/>
        <v>150556</v>
      </c>
      <c r="Q22" s="133">
        <f t="shared" si="16"/>
        <v>155334</v>
      </c>
      <c r="R22" s="134">
        <f t="shared" si="16"/>
        <v>14170</v>
      </c>
      <c r="S22" s="136">
        <f t="shared" si="16"/>
        <v>79160</v>
      </c>
      <c r="T22" s="136">
        <f t="shared" si="16"/>
        <v>209050</v>
      </c>
      <c r="U22" s="136">
        <f t="shared" si="16"/>
        <v>38836</v>
      </c>
      <c r="V22" s="135">
        <f t="shared" si="16"/>
        <v>349810</v>
      </c>
      <c r="W22" s="96">
        <f t="shared" si="16"/>
        <v>361122</v>
      </c>
      <c r="X22" s="133">
        <f t="shared" si="16"/>
        <v>374506</v>
      </c>
      <c r="Y22" s="134">
        <f t="shared" si="16"/>
        <v>14824</v>
      </c>
      <c r="Z22" s="136">
        <f t="shared" si="16"/>
        <v>80529</v>
      </c>
      <c r="AA22" s="136">
        <f t="shared" si="16"/>
        <v>241148</v>
      </c>
      <c r="AB22" s="136">
        <f t="shared" si="16"/>
        <v>41732</v>
      </c>
      <c r="AC22" s="403">
        <f t="shared" si="16"/>
        <v>346283</v>
      </c>
      <c r="AD22" s="403">
        <f t="shared" si="16"/>
        <v>368550</v>
      </c>
      <c r="AE22" s="403">
        <f t="shared" si="16"/>
        <v>380746</v>
      </c>
      <c r="AF22" s="403">
        <f t="shared" si="16"/>
        <v>13771</v>
      </c>
      <c r="AG22" s="403">
        <f t="shared" si="16"/>
        <v>72373</v>
      </c>
      <c r="AH22" s="403">
        <f t="shared" si="16"/>
        <v>7679</v>
      </c>
      <c r="AI22" s="403">
        <f t="shared" si="16"/>
        <v>258327</v>
      </c>
      <c r="AJ22" s="403">
        <f t="shared" si="16"/>
        <v>40933</v>
      </c>
      <c r="AK22" s="403">
        <f t="shared" si="16"/>
        <v>339474</v>
      </c>
      <c r="AL22" s="403">
        <f t="shared" si="16"/>
        <v>372753</v>
      </c>
      <c r="AM22" s="403">
        <f t="shared" si="16"/>
        <v>384255</v>
      </c>
      <c r="AN22" s="403">
        <f t="shared" si="16"/>
        <v>13813</v>
      </c>
      <c r="AO22" s="403">
        <f t="shared" si="16"/>
        <v>73433</v>
      </c>
      <c r="AP22" s="403">
        <f t="shared" si="16"/>
        <v>7876</v>
      </c>
      <c r="AQ22" s="403">
        <f t="shared" si="16"/>
        <v>270588</v>
      </c>
      <c r="AR22" s="403">
        <f t="shared" si="16"/>
        <v>41245</v>
      </c>
      <c r="AS22" s="403">
        <f t="shared" si="16"/>
        <v>331308</v>
      </c>
      <c r="AT22" s="403">
        <f t="shared" si="16"/>
        <v>374724</v>
      </c>
      <c r="AU22" s="403">
        <f t="shared" si="16"/>
        <v>386704</v>
      </c>
      <c r="AV22" s="403">
        <f t="shared" si="16"/>
        <v>12831</v>
      </c>
      <c r="AW22" s="403">
        <f t="shared" si="16"/>
        <v>7818</v>
      </c>
      <c r="AX22" s="403">
        <f t="shared" si="16"/>
        <v>74395</v>
      </c>
      <c r="AY22" s="403">
        <f t="shared" si="16"/>
        <v>278136</v>
      </c>
      <c r="AZ22" s="403">
        <f t="shared" si="16"/>
        <v>40117</v>
      </c>
      <c r="BA22" s="403">
        <f t="shared" si="16"/>
        <v>327735</v>
      </c>
    </row>
    <row r="23" spans="1:53">
      <c r="A23" s="77" t="s">
        <v>129</v>
      </c>
      <c r="B23" s="56"/>
      <c r="C23" s="53"/>
      <c r="D23" s="66"/>
      <c r="E23" s="66"/>
      <c r="F23" s="66"/>
      <c r="G23" s="66"/>
      <c r="H23" s="66"/>
      <c r="I23" s="63"/>
      <c r="J23" s="68"/>
      <c r="K23" s="64"/>
      <c r="P23" s="63"/>
      <c r="Q23" s="68"/>
      <c r="R23" s="64"/>
      <c r="W23" s="63"/>
      <c r="X23" s="68"/>
      <c r="Y23" s="64"/>
      <c r="AC23" s="51"/>
    </row>
    <row r="24" spans="1:53">
      <c r="A24" s="74" t="s">
        <v>51</v>
      </c>
      <c r="B24" s="7">
        <v>3718</v>
      </c>
      <c r="C24" s="52">
        <v>3948</v>
      </c>
      <c r="D24" s="66">
        <v>1693</v>
      </c>
      <c r="E24" s="66">
        <v>520</v>
      </c>
      <c r="F24" s="66">
        <v>250</v>
      </c>
      <c r="G24" s="66">
        <v>282</v>
      </c>
      <c r="H24" s="66">
        <v>4921</v>
      </c>
      <c r="I24" s="63">
        <v>3670</v>
      </c>
      <c r="J24" s="68">
        <v>3821</v>
      </c>
      <c r="K24" s="64">
        <v>1523</v>
      </c>
      <c r="L24" s="8">
        <v>575</v>
      </c>
      <c r="M24" s="8">
        <v>389</v>
      </c>
      <c r="N24" s="8">
        <v>262</v>
      </c>
      <c r="O24" s="8">
        <v>4742</v>
      </c>
      <c r="P24" s="63">
        <v>3966</v>
      </c>
      <c r="Q24" s="68">
        <v>4042</v>
      </c>
      <c r="R24" s="64">
        <v>1508</v>
      </c>
      <c r="S24" s="8">
        <v>588</v>
      </c>
      <c r="T24" s="8">
        <v>364</v>
      </c>
      <c r="U24" s="8">
        <v>283</v>
      </c>
      <c r="V24" s="8">
        <v>4874</v>
      </c>
      <c r="W24" s="63">
        <v>4010</v>
      </c>
      <c r="X24" s="68">
        <v>4235</v>
      </c>
      <c r="Y24" s="64">
        <v>1616</v>
      </c>
      <c r="Z24" s="8">
        <v>660</v>
      </c>
      <c r="AA24" s="8">
        <v>412</v>
      </c>
      <c r="AB24" s="8">
        <v>273</v>
      </c>
      <c r="AC24" s="51">
        <v>4855</v>
      </c>
      <c r="AD24" s="2">
        <v>4012</v>
      </c>
      <c r="AE24" s="2">
        <v>4052</v>
      </c>
      <c r="AF24" s="2">
        <v>1462</v>
      </c>
      <c r="AG24" s="2">
        <v>575</v>
      </c>
      <c r="AH24" s="2">
        <v>141</v>
      </c>
      <c r="AI24" s="2">
        <v>428</v>
      </c>
      <c r="AJ24" s="2">
        <v>292</v>
      </c>
      <c r="AK24" s="2">
        <v>4764</v>
      </c>
      <c r="AL24" s="2">
        <v>3985</v>
      </c>
      <c r="AM24" s="2">
        <v>4004</v>
      </c>
      <c r="AN24" s="2">
        <v>1505</v>
      </c>
      <c r="AO24" s="2">
        <v>589</v>
      </c>
      <c r="AP24" s="2">
        <v>150</v>
      </c>
      <c r="AQ24" s="2">
        <v>448</v>
      </c>
      <c r="AR24" s="2">
        <v>267</v>
      </c>
      <c r="AS24" s="2">
        <v>4599</v>
      </c>
      <c r="AT24" s="2">
        <v>3945</v>
      </c>
      <c r="AU24" s="2">
        <v>3915</v>
      </c>
      <c r="AV24" s="2">
        <v>1495</v>
      </c>
      <c r="AW24" s="2">
        <v>158</v>
      </c>
      <c r="AX24" s="2">
        <v>567</v>
      </c>
      <c r="AY24" s="2">
        <v>482</v>
      </c>
      <c r="AZ24" s="2">
        <v>271</v>
      </c>
      <c r="BA24" s="2">
        <v>4428</v>
      </c>
    </row>
    <row r="25" spans="1:53">
      <c r="A25" s="74" t="s">
        <v>52</v>
      </c>
      <c r="B25" s="7">
        <v>27005</v>
      </c>
      <c r="C25" s="52">
        <v>28949</v>
      </c>
      <c r="D25" s="66">
        <v>3154</v>
      </c>
      <c r="E25" s="66">
        <v>1699</v>
      </c>
      <c r="F25" s="66">
        <v>17593</v>
      </c>
      <c r="G25" s="66">
        <v>2930</v>
      </c>
      <c r="H25" s="66">
        <v>30578</v>
      </c>
      <c r="I25" s="63">
        <v>30124</v>
      </c>
      <c r="J25" s="68">
        <v>31543</v>
      </c>
      <c r="K25" s="64">
        <v>3625</v>
      </c>
      <c r="L25" s="8">
        <v>1878</v>
      </c>
      <c r="M25" s="8">
        <v>20276</v>
      </c>
      <c r="N25" s="8">
        <v>3398</v>
      </c>
      <c r="O25" s="8">
        <v>32490</v>
      </c>
      <c r="P25" s="63">
        <v>30459</v>
      </c>
      <c r="Q25" s="68">
        <v>31843</v>
      </c>
      <c r="R25" s="64">
        <v>3346</v>
      </c>
      <c r="S25" s="8">
        <v>2007</v>
      </c>
      <c r="T25" s="8">
        <v>21607</v>
      </c>
      <c r="U25" s="8">
        <v>3519</v>
      </c>
      <c r="V25" s="8">
        <v>31895</v>
      </c>
      <c r="W25" s="63">
        <v>29608</v>
      </c>
      <c r="X25" s="68">
        <v>31109</v>
      </c>
      <c r="Y25" s="64">
        <v>3370</v>
      </c>
      <c r="Z25" s="8">
        <v>1879</v>
      </c>
      <c r="AA25" s="8">
        <v>22452</v>
      </c>
      <c r="AB25" s="8">
        <v>3622</v>
      </c>
      <c r="AC25" s="51">
        <v>29448</v>
      </c>
      <c r="AD25" s="2">
        <v>31701</v>
      </c>
      <c r="AE25" s="2">
        <v>32771</v>
      </c>
      <c r="AF25" s="2">
        <v>3307</v>
      </c>
      <c r="AG25" s="2">
        <v>1996</v>
      </c>
      <c r="AH25" s="2">
        <v>119</v>
      </c>
      <c r="AI25" s="2">
        <v>23741</v>
      </c>
      <c r="AJ25" s="2">
        <v>3736</v>
      </c>
      <c r="AK25" s="2">
        <v>31123</v>
      </c>
      <c r="AL25" s="2">
        <v>30839</v>
      </c>
      <c r="AM25" s="2">
        <v>32369</v>
      </c>
      <c r="AN25" s="2">
        <v>3176</v>
      </c>
      <c r="AO25" s="2">
        <v>2007</v>
      </c>
      <c r="AP25" s="2">
        <v>112</v>
      </c>
      <c r="AQ25" s="2">
        <v>23517</v>
      </c>
      <c r="AR25" s="2">
        <v>3497</v>
      </c>
      <c r="AS25" s="2">
        <v>30242</v>
      </c>
      <c r="AT25" s="2">
        <v>30337</v>
      </c>
      <c r="AU25" s="2">
        <v>31871</v>
      </c>
      <c r="AV25" s="2">
        <v>2837</v>
      </c>
      <c r="AW25" s="2">
        <v>147</v>
      </c>
      <c r="AX25" s="2">
        <v>2166</v>
      </c>
      <c r="AY25" s="2">
        <v>23542</v>
      </c>
      <c r="AZ25" s="2">
        <v>3332</v>
      </c>
      <c r="BA25" s="2">
        <v>29357</v>
      </c>
    </row>
    <row r="26" spans="1:53">
      <c r="A26" s="74" t="s">
        <v>53</v>
      </c>
      <c r="B26" s="7">
        <v>165225</v>
      </c>
      <c r="C26" s="52">
        <v>177157</v>
      </c>
      <c r="D26" s="66">
        <v>2866</v>
      </c>
      <c r="E26" s="66">
        <v>52252</v>
      </c>
      <c r="F26" s="66">
        <v>128462</v>
      </c>
      <c r="G26" s="66">
        <v>25737</v>
      </c>
      <c r="H26" s="66">
        <v>138595</v>
      </c>
      <c r="I26" s="63">
        <v>176744</v>
      </c>
      <c r="J26" s="68">
        <v>189754</v>
      </c>
      <c r="K26" s="64">
        <v>3071</v>
      </c>
      <c r="L26" s="8">
        <v>54019</v>
      </c>
      <c r="M26" s="8">
        <v>142491</v>
      </c>
      <c r="N26" s="8">
        <v>25911</v>
      </c>
      <c r="O26" s="8">
        <v>141011</v>
      </c>
      <c r="P26" s="63" t="s">
        <v>47</v>
      </c>
      <c r="Q26" s="68" t="s">
        <v>47</v>
      </c>
      <c r="R26" s="64">
        <v>2890</v>
      </c>
      <c r="S26" s="8">
        <v>54701</v>
      </c>
      <c r="T26" s="8">
        <v>147717</v>
      </c>
      <c r="U26" s="8">
        <v>25420</v>
      </c>
      <c r="V26" s="8">
        <v>134816</v>
      </c>
      <c r="W26" s="63">
        <v>198339</v>
      </c>
      <c r="X26" s="68">
        <v>206479</v>
      </c>
      <c r="Y26" s="64">
        <v>3168</v>
      </c>
      <c r="Z26" s="8">
        <v>56224</v>
      </c>
      <c r="AA26" s="8">
        <v>174088</v>
      </c>
      <c r="AB26" s="8">
        <v>27580</v>
      </c>
      <c r="AC26" s="51">
        <v>132893</v>
      </c>
      <c r="AD26" s="2">
        <v>201234</v>
      </c>
      <c r="AE26" s="2">
        <v>209233</v>
      </c>
      <c r="AF26" s="2">
        <v>2932</v>
      </c>
      <c r="AG26" s="2">
        <v>54087</v>
      </c>
      <c r="AH26" s="2">
        <v>2588</v>
      </c>
      <c r="AI26" s="2">
        <v>184131</v>
      </c>
      <c r="AJ26" s="2">
        <v>27584</v>
      </c>
      <c r="AK26" s="2">
        <v>130580</v>
      </c>
      <c r="AL26" s="2">
        <v>205793</v>
      </c>
      <c r="AM26" s="2">
        <v>212871</v>
      </c>
      <c r="AN26" s="2">
        <v>3122</v>
      </c>
      <c r="AO26" s="2">
        <v>54454</v>
      </c>
      <c r="AP26" s="2">
        <v>2587</v>
      </c>
      <c r="AQ26" s="2">
        <v>193516</v>
      </c>
      <c r="AR26" s="2">
        <v>28076</v>
      </c>
      <c r="AS26" s="2">
        <v>127846</v>
      </c>
      <c r="AT26" s="2">
        <v>208126</v>
      </c>
      <c r="AU26" s="2">
        <v>213999</v>
      </c>
      <c r="AV26" s="2">
        <v>2998</v>
      </c>
      <c r="AW26" s="2">
        <v>2584</v>
      </c>
      <c r="AX26" s="2">
        <v>55083</v>
      </c>
      <c r="AY26" s="2">
        <v>198993</v>
      </c>
      <c r="AZ26" s="2">
        <v>27069</v>
      </c>
      <c r="BA26" s="2">
        <v>125492</v>
      </c>
    </row>
    <row r="27" spans="1:53">
      <c r="A27" s="74" t="s">
        <v>54</v>
      </c>
      <c r="B27" s="7">
        <v>22199</v>
      </c>
      <c r="C27" s="52">
        <v>23429</v>
      </c>
      <c r="D27" s="66">
        <v>445</v>
      </c>
      <c r="E27" s="66">
        <v>1635</v>
      </c>
      <c r="F27" s="66">
        <v>8100</v>
      </c>
      <c r="G27" s="66">
        <v>2417</v>
      </c>
      <c r="H27" s="66">
        <v>33031</v>
      </c>
      <c r="I27" s="63">
        <v>22595</v>
      </c>
      <c r="J27" s="68">
        <v>23487</v>
      </c>
      <c r="K27" s="64">
        <v>438</v>
      </c>
      <c r="L27" s="8">
        <v>1617</v>
      </c>
      <c r="M27" s="8">
        <v>8454</v>
      </c>
      <c r="N27" s="8">
        <v>2498</v>
      </c>
      <c r="O27" s="8">
        <v>33075</v>
      </c>
      <c r="P27" s="63">
        <v>23227</v>
      </c>
      <c r="Q27" s="68">
        <v>24232</v>
      </c>
      <c r="R27" s="64">
        <v>466</v>
      </c>
      <c r="S27" s="8">
        <v>1738</v>
      </c>
      <c r="T27" s="8">
        <v>9364</v>
      </c>
      <c r="U27" s="8">
        <v>2619</v>
      </c>
      <c r="V27" s="8">
        <v>33272</v>
      </c>
      <c r="W27" s="63">
        <v>24217</v>
      </c>
      <c r="X27" s="68">
        <v>25104</v>
      </c>
      <c r="Y27" s="64">
        <v>507</v>
      </c>
      <c r="Z27" s="8">
        <v>1810</v>
      </c>
      <c r="AA27" s="8">
        <v>10533</v>
      </c>
      <c r="AB27" s="8">
        <v>2913</v>
      </c>
      <c r="AC27" s="51">
        <v>33558</v>
      </c>
      <c r="AD27" s="2">
        <v>24754</v>
      </c>
      <c r="AE27" s="2">
        <v>25368</v>
      </c>
      <c r="AF27" s="2">
        <v>449</v>
      </c>
      <c r="AG27" s="2">
        <v>1436</v>
      </c>
      <c r="AH27" s="2">
        <v>117</v>
      </c>
      <c r="AI27" s="2">
        <v>12343</v>
      </c>
      <c r="AJ27" s="2">
        <v>2590</v>
      </c>
      <c r="AK27" s="2">
        <v>32096</v>
      </c>
      <c r="AL27" s="2">
        <v>24574</v>
      </c>
      <c r="AM27" s="2">
        <v>25513</v>
      </c>
      <c r="AN27" s="2">
        <v>454</v>
      </c>
      <c r="AO27" s="2">
        <v>1643</v>
      </c>
      <c r="AP27" s="2">
        <v>105</v>
      </c>
      <c r="AQ27" s="2">
        <v>12559</v>
      </c>
      <c r="AR27" s="2">
        <v>2474</v>
      </c>
      <c r="AS27" s="2">
        <v>31584</v>
      </c>
      <c r="AT27" s="2">
        <v>25170</v>
      </c>
      <c r="AU27" s="2">
        <v>25798</v>
      </c>
      <c r="AV27" s="2">
        <v>432</v>
      </c>
      <c r="AW27" s="2">
        <v>119</v>
      </c>
      <c r="AX27" s="2">
        <v>1797</v>
      </c>
      <c r="AY27" s="2">
        <v>13219</v>
      </c>
      <c r="AZ27" s="2">
        <v>2441</v>
      </c>
      <c r="BA27" s="2">
        <v>31552</v>
      </c>
    </row>
    <row r="28" spans="1:53">
      <c r="A28" s="74" t="s">
        <v>55</v>
      </c>
      <c r="B28" s="7">
        <v>5563</v>
      </c>
      <c r="C28" s="52">
        <v>5500</v>
      </c>
      <c r="D28" s="66">
        <v>44</v>
      </c>
      <c r="E28" s="66">
        <v>8301</v>
      </c>
      <c r="F28" s="66">
        <v>450</v>
      </c>
      <c r="G28" s="66">
        <v>197</v>
      </c>
      <c r="H28" s="66">
        <v>2071</v>
      </c>
      <c r="I28" s="63">
        <v>5813</v>
      </c>
      <c r="J28" s="68">
        <v>5800</v>
      </c>
      <c r="K28" s="64">
        <v>53</v>
      </c>
      <c r="L28" s="8">
        <v>8718</v>
      </c>
      <c r="M28" s="8">
        <v>468</v>
      </c>
      <c r="N28" s="8">
        <v>217</v>
      </c>
      <c r="O28" s="8">
        <v>2157</v>
      </c>
      <c r="P28" s="63">
        <v>6026</v>
      </c>
      <c r="Q28" s="68">
        <v>5482</v>
      </c>
      <c r="R28" s="64">
        <v>57</v>
      </c>
      <c r="S28" s="8">
        <v>8673</v>
      </c>
      <c r="T28" s="8">
        <v>487</v>
      </c>
      <c r="U28" s="8">
        <v>226</v>
      </c>
      <c r="V28" s="8">
        <v>2065</v>
      </c>
      <c r="W28" s="63">
        <v>5626</v>
      </c>
      <c r="X28" s="68">
        <v>5372</v>
      </c>
      <c r="Y28" s="64">
        <v>56</v>
      </c>
      <c r="Z28" s="8">
        <v>8297</v>
      </c>
      <c r="AA28" s="8">
        <v>481</v>
      </c>
      <c r="AB28" s="8">
        <v>210</v>
      </c>
      <c r="AC28" s="51">
        <v>1954</v>
      </c>
      <c r="AD28" s="2">
        <v>5469</v>
      </c>
      <c r="AE28" s="2">
        <v>5247</v>
      </c>
      <c r="AF28" s="2">
        <v>38</v>
      </c>
      <c r="AG28" s="2">
        <v>4737</v>
      </c>
      <c r="AH28" s="2">
        <v>3204</v>
      </c>
      <c r="AI28" s="2">
        <v>378</v>
      </c>
      <c r="AJ28" s="2">
        <v>241</v>
      </c>
      <c r="AK28" s="2">
        <v>1410</v>
      </c>
      <c r="AL28" s="2">
        <v>5682</v>
      </c>
      <c r="AM28" s="2">
        <v>5678</v>
      </c>
      <c r="AN28" s="2">
        <v>57</v>
      </c>
      <c r="AO28" s="2">
        <v>4877</v>
      </c>
      <c r="AP28" s="2">
        <v>3344</v>
      </c>
      <c r="AQ28" s="2">
        <v>477</v>
      </c>
      <c r="AR28" s="2">
        <v>252</v>
      </c>
      <c r="AS28" s="2">
        <v>1525</v>
      </c>
      <c r="AT28" s="2">
        <v>5350</v>
      </c>
      <c r="AU28" s="2">
        <v>5440</v>
      </c>
      <c r="AV28" s="2">
        <v>42</v>
      </c>
      <c r="AW28" s="2">
        <v>3264</v>
      </c>
      <c r="AX28" s="2">
        <v>4753</v>
      </c>
      <c r="AY28" s="2">
        <v>504</v>
      </c>
      <c r="AZ28" s="2">
        <v>224</v>
      </c>
      <c r="BA28" s="2">
        <v>1379</v>
      </c>
    </row>
    <row r="29" spans="1:53">
      <c r="A29" s="74" t="s">
        <v>56</v>
      </c>
      <c r="B29" s="7">
        <v>8099</v>
      </c>
      <c r="C29" s="52">
        <v>8143</v>
      </c>
      <c r="D29" s="66">
        <v>202</v>
      </c>
      <c r="E29" s="66">
        <v>279</v>
      </c>
      <c r="F29" s="66">
        <v>1446</v>
      </c>
      <c r="G29" s="66">
        <v>129</v>
      </c>
      <c r="H29" s="66">
        <v>14186</v>
      </c>
      <c r="I29" s="63">
        <v>8221</v>
      </c>
      <c r="J29" s="68">
        <v>8346</v>
      </c>
      <c r="K29" s="64">
        <v>202</v>
      </c>
      <c r="L29" s="8">
        <v>279</v>
      </c>
      <c r="M29" s="8">
        <v>1632</v>
      </c>
      <c r="N29" s="8">
        <v>133</v>
      </c>
      <c r="O29" s="8">
        <v>14321</v>
      </c>
      <c r="P29" s="63">
        <v>8371</v>
      </c>
      <c r="Q29" s="68">
        <v>8436</v>
      </c>
      <c r="R29" s="64">
        <v>198</v>
      </c>
      <c r="S29" s="8">
        <v>297</v>
      </c>
      <c r="T29" s="8">
        <v>1778</v>
      </c>
      <c r="U29" s="8">
        <v>181</v>
      </c>
      <c r="V29" s="8">
        <v>14353</v>
      </c>
      <c r="W29" s="63">
        <v>9067</v>
      </c>
      <c r="X29" s="68">
        <v>8726</v>
      </c>
      <c r="Y29" s="64">
        <v>199</v>
      </c>
      <c r="Z29" s="8">
        <v>310</v>
      </c>
      <c r="AA29" s="8">
        <v>2176</v>
      </c>
      <c r="AB29" s="8">
        <v>165</v>
      </c>
      <c r="AC29" s="51">
        <v>14943</v>
      </c>
      <c r="AD29" s="2">
        <v>8755</v>
      </c>
      <c r="AE29" s="2">
        <v>8770</v>
      </c>
      <c r="AF29" s="2">
        <v>262</v>
      </c>
      <c r="AG29" s="2">
        <v>242</v>
      </c>
      <c r="AH29" s="2">
        <v>87</v>
      </c>
      <c r="AI29" s="2">
        <v>2215</v>
      </c>
      <c r="AJ29" s="2">
        <v>167</v>
      </c>
      <c r="AK29" s="2">
        <v>14346</v>
      </c>
      <c r="AL29" s="2">
        <v>8904</v>
      </c>
      <c r="AM29" s="2">
        <v>8664</v>
      </c>
      <c r="AN29" s="2">
        <v>247</v>
      </c>
      <c r="AO29" s="2">
        <v>271</v>
      </c>
      <c r="AP29" s="2">
        <v>75</v>
      </c>
      <c r="AQ29" s="2">
        <v>2387</v>
      </c>
      <c r="AR29" s="2">
        <v>180</v>
      </c>
      <c r="AS29" s="2">
        <v>14160</v>
      </c>
      <c r="AT29" s="2">
        <v>8524</v>
      </c>
      <c r="AU29" s="2">
        <v>8674</v>
      </c>
      <c r="AV29" s="2">
        <v>198</v>
      </c>
      <c r="AW29" s="2">
        <v>71</v>
      </c>
      <c r="AX29" s="2">
        <v>258</v>
      </c>
      <c r="AY29" s="2">
        <v>2375</v>
      </c>
      <c r="AZ29" s="2">
        <v>199</v>
      </c>
      <c r="BA29" s="2">
        <v>13883</v>
      </c>
    </row>
    <row r="30" spans="1:53">
      <c r="A30" s="74" t="s">
        <v>57</v>
      </c>
      <c r="B30" s="7">
        <v>5065</v>
      </c>
      <c r="C30" s="52">
        <v>5057</v>
      </c>
      <c r="D30" s="66">
        <v>786</v>
      </c>
      <c r="E30" s="66">
        <v>144</v>
      </c>
      <c r="F30" s="66">
        <v>206</v>
      </c>
      <c r="G30" s="66">
        <v>49</v>
      </c>
      <c r="H30" s="66">
        <v>8937</v>
      </c>
      <c r="I30" s="63">
        <v>5158</v>
      </c>
      <c r="J30" s="68">
        <v>5238</v>
      </c>
      <c r="K30" s="64">
        <v>904</v>
      </c>
      <c r="L30" s="8">
        <v>133</v>
      </c>
      <c r="M30" s="8">
        <v>191</v>
      </c>
      <c r="N30" s="8">
        <v>53</v>
      </c>
      <c r="O30" s="8">
        <v>9115</v>
      </c>
      <c r="P30" s="63">
        <v>5089</v>
      </c>
      <c r="Q30" s="68">
        <v>4988</v>
      </c>
      <c r="R30" s="64">
        <v>863</v>
      </c>
      <c r="S30" s="8">
        <v>115</v>
      </c>
      <c r="T30" s="8">
        <v>190</v>
      </c>
      <c r="U30" s="8">
        <v>65</v>
      </c>
      <c r="V30" s="8">
        <v>8844</v>
      </c>
      <c r="W30" s="63">
        <v>5041</v>
      </c>
      <c r="X30" s="68">
        <v>5034</v>
      </c>
      <c r="Y30" s="64">
        <v>848</v>
      </c>
      <c r="Z30" s="8">
        <v>124</v>
      </c>
      <c r="AA30" s="8">
        <v>209</v>
      </c>
      <c r="AB30" s="8">
        <v>69</v>
      </c>
      <c r="AC30" s="51">
        <v>8825</v>
      </c>
      <c r="AD30" s="2">
        <v>4955</v>
      </c>
      <c r="AE30" s="2">
        <v>4777</v>
      </c>
      <c r="AF30" s="2">
        <v>814</v>
      </c>
      <c r="AG30" s="2">
        <v>77</v>
      </c>
      <c r="AH30" s="2">
        <v>19</v>
      </c>
      <c r="AI30" s="2">
        <v>258</v>
      </c>
      <c r="AJ30" s="2">
        <v>81</v>
      </c>
      <c r="AK30" s="2">
        <v>8414</v>
      </c>
      <c r="AL30" s="2">
        <v>4944</v>
      </c>
      <c r="AM30" s="2">
        <v>4806</v>
      </c>
      <c r="AN30" s="2">
        <v>769</v>
      </c>
      <c r="AO30" s="2">
        <v>100</v>
      </c>
      <c r="AP30" s="2">
        <v>29</v>
      </c>
      <c r="AQ30" s="2">
        <v>274</v>
      </c>
      <c r="AR30" s="2">
        <v>83</v>
      </c>
      <c r="AS30" s="2">
        <v>8384</v>
      </c>
      <c r="AT30" s="2">
        <v>4794</v>
      </c>
      <c r="AU30" s="2">
        <v>4575</v>
      </c>
      <c r="AV30" s="2">
        <v>738</v>
      </c>
      <c r="AW30" s="2">
        <v>19</v>
      </c>
      <c r="AX30" s="2">
        <v>109</v>
      </c>
      <c r="AY30" s="2">
        <v>281</v>
      </c>
      <c r="AZ30" s="2">
        <v>65</v>
      </c>
      <c r="BA30" s="2">
        <v>8041</v>
      </c>
    </row>
    <row r="31" spans="1:53">
      <c r="A31" s="74" t="s">
        <v>58</v>
      </c>
      <c r="B31" s="7">
        <v>7851</v>
      </c>
      <c r="C31" s="52">
        <v>8604</v>
      </c>
      <c r="D31" s="66">
        <v>231</v>
      </c>
      <c r="E31" s="66">
        <v>1516</v>
      </c>
      <c r="F31" s="66">
        <v>3421</v>
      </c>
      <c r="G31" s="66">
        <v>1385</v>
      </c>
      <c r="H31" s="66">
        <v>9902</v>
      </c>
      <c r="I31" s="63">
        <v>8106</v>
      </c>
      <c r="J31" s="68">
        <v>8903</v>
      </c>
      <c r="K31" s="64">
        <v>252</v>
      </c>
      <c r="L31" s="8">
        <v>1678</v>
      </c>
      <c r="M31" s="8">
        <v>3620</v>
      </c>
      <c r="N31" s="8">
        <v>1449</v>
      </c>
      <c r="O31" s="8">
        <v>10150</v>
      </c>
      <c r="P31" s="63" t="s">
        <v>47</v>
      </c>
      <c r="Q31" s="68" t="s">
        <v>47</v>
      </c>
      <c r="R31" s="64">
        <v>264</v>
      </c>
      <c r="S31" s="8">
        <v>2054</v>
      </c>
      <c r="T31" s="8">
        <v>5014</v>
      </c>
      <c r="U31" s="8">
        <v>1849</v>
      </c>
      <c r="V31" s="8">
        <v>10723</v>
      </c>
      <c r="W31" s="63">
        <v>9976</v>
      </c>
      <c r="X31" s="68">
        <v>10699</v>
      </c>
      <c r="Y31" s="64">
        <v>275</v>
      </c>
      <c r="Z31" s="8">
        <v>2165</v>
      </c>
      <c r="AA31" s="8">
        <v>5713</v>
      </c>
      <c r="AB31" s="8">
        <v>2045</v>
      </c>
      <c r="AC31" s="51">
        <v>10758</v>
      </c>
      <c r="AD31" s="2">
        <v>10092</v>
      </c>
      <c r="AE31" s="2">
        <v>11090</v>
      </c>
      <c r="AF31" s="2">
        <v>234</v>
      </c>
      <c r="AG31" s="2">
        <v>1567</v>
      </c>
      <c r="AH31" s="2">
        <v>291</v>
      </c>
      <c r="AI31" s="2">
        <v>6287</v>
      </c>
      <c r="AJ31" s="2">
        <v>1703</v>
      </c>
      <c r="AK31" s="2">
        <v>10185</v>
      </c>
      <c r="AL31" s="2">
        <v>10643</v>
      </c>
      <c r="AM31" s="2">
        <v>11248</v>
      </c>
      <c r="AN31" s="2">
        <v>213</v>
      </c>
      <c r="AO31" s="2">
        <v>1634</v>
      </c>
      <c r="AP31" s="2">
        <v>320</v>
      </c>
      <c r="AQ31" s="2">
        <v>6816</v>
      </c>
      <c r="AR31" s="2">
        <v>1858</v>
      </c>
      <c r="AS31" s="2">
        <v>9853</v>
      </c>
      <c r="AT31" s="2">
        <v>10953</v>
      </c>
      <c r="AU31" s="2">
        <v>12085</v>
      </c>
      <c r="AV31" s="2">
        <v>230</v>
      </c>
      <c r="AW31" s="2">
        <v>329</v>
      </c>
      <c r="AX31" s="2">
        <v>1735</v>
      </c>
      <c r="AY31" s="2">
        <v>7548</v>
      </c>
      <c r="AZ31" s="2">
        <v>1873</v>
      </c>
      <c r="BA31" s="2">
        <v>10028</v>
      </c>
    </row>
    <row r="32" spans="1:53">
      <c r="A32" s="74" t="s">
        <v>59</v>
      </c>
      <c r="B32" s="7">
        <v>7549</v>
      </c>
      <c r="C32" s="52">
        <v>8118</v>
      </c>
      <c r="D32" s="66">
        <v>1839</v>
      </c>
      <c r="E32" s="66">
        <v>258</v>
      </c>
      <c r="F32" s="66">
        <v>7395</v>
      </c>
      <c r="G32" s="66">
        <v>386</v>
      </c>
      <c r="H32" s="66">
        <v>6253</v>
      </c>
      <c r="I32" s="63">
        <v>8776</v>
      </c>
      <c r="J32" s="68">
        <v>9488</v>
      </c>
      <c r="K32" s="64">
        <v>2177</v>
      </c>
      <c r="L32" s="8">
        <v>297</v>
      </c>
      <c r="M32" s="8">
        <v>8740</v>
      </c>
      <c r="N32" s="8">
        <v>467</v>
      </c>
      <c r="O32" s="8">
        <v>6583</v>
      </c>
      <c r="P32" s="63">
        <v>8745</v>
      </c>
      <c r="Q32" s="68">
        <v>9186</v>
      </c>
      <c r="R32" s="64">
        <v>2118</v>
      </c>
      <c r="S32" s="8">
        <v>277</v>
      </c>
      <c r="T32" s="8">
        <v>8760</v>
      </c>
      <c r="U32" s="8">
        <v>478</v>
      </c>
      <c r="V32" s="8">
        <v>6298</v>
      </c>
      <c r="W32" s="63">
        <v>8934</v>
      </c>
      <c r="X32" s="68">
        <v>9661</v>
      </c>
      <c r="Y32" s="64">
        <v>2182</v>
      </c>
      <c r="Z32" s="8">
        <v>292</v>
      </c>
      <c r="AA32" s="8">
        <v>9617</v>
      </c>
      <c r="AB32" s="8">
        <v>403</v>
      </c>
      <c r="AC32" s="51">
        <v>5975</v>
      </c>
      <c r="AD32" s="2">
        <v>9461</v>
      </c>
      <c r="AE32" s="2">
        <v>9891</v>
      </c>
      <c r="AF32" s="2">
        <v>2269</v>
      </c>
      <c r="AG32" s="2">
        <v>248</v>
      </c>
      <c r="AH32" s="2">
        <v>10</v>
      </c>
      <c r="AI32" s="2">
        <v>10310</v>
      </c>
      <c r="AJ32" s="2">
        <v>409</v>
      </c>
      <c r="AK32" s="2">
        <v>5941</v>
      </c>
      <c r="AL32" s="2">
        <v>10003</v>
      </c>
      <c r="AM32" s="2">
        <v>10312</v>
      </c>
      <c r="AN32" s="2">
        <v>2385</v>
      </c>
      <c r="AO32" s="2">
        <v>266</v>
      </c>
      <c r="AP32" s="2">
        <v>11</v>
      </c>
      <c r="AQ32" s="2">
        <v>11271</v>
      </c>
      <c r="AR32" s="2">
        <v>470</v>
      </c>
      <c r="AS32" s="2">
        <v>5723</v>
      </c>
      <c r="AT32" s="2">
        <v>9390</v>
      </c>
      <c r="AU32" s="2">
        <v>9842</v>
      </c>
      <c r="AV32" s="2">
        <v>2146</v>
      </c>
      <c r="AW32" s="2">
        <v>15</v>
      </c>
      <c r="AX32" s="2">
        <v>288</v>
      </c>
      <c r="AY32" s="2">
        <v>10628</v>
      </c>
      <c r="AZ32" s="2">
        <v>426</v>
      </c>
      <c r="BA32" s="2">
        <v>5509</v>
      </c>
    </row>
    <row r="33" spans="1:55">
      <c r="A33" s="74" t="s">
        <v>60</v>
      </c>
      <c r="B33" s="8" t="s">
        <v>47</v>
      </c>
      <c r="C33" s="51" t="s">
        <v>47</v>
      </c>
      <c r="D33" s="66">
        <v>681</v>
      </c>
      <c r="E33" s="66">
        <v>1687</v>
      </c>
      <c r="F33" s="66">
        <v>3242</v>
      </c>
      <c r="G33" s="66">
        <v>806</v>
      </c>
      <c r="H33" s="66">
        <v>26227</v>
      </c>
      <c r="I33" s="63">
        <v>16838</v>
      </c>
      <c r="J33" s="68">
        <v>17223</v>
      </c>
      <c r="K33" s="64">
        <v>725</v>
      </c>
      <c r="L33" s="8">
        <v>1811</v>
      </c>
      <c r="M33" s="8">
        <v>3849</v>
      </c>
      <c r="N33" s="8">
        <v>830</v>
      </c>
      <c r="O33" s="8">
        <v>26846</v>
      </c>
      <c r="P33" s="63">
        <v>16864</v>
      </c>
      <c r="Q33" s="68">
        <v>17151</v>
      </c>
      <c r="R33" s="64">
        <v>693</v>
      </c>
      <c r="S33" s="8">
        <v>1695</v>
      </c>
      <c r="T33" s="8">
        <v>4250</v>
      </c>
      <c r="U33" s="8">
        <v>826</v>
      </c>
      <c r="V33" s="8">
        <v>26558</v>
      </c>
      <c r="W33" s="63">
        <v>16568</v>
      </c>
      <c r="X33" s="68">
        <v>17206</v>
      </c>
      <c r="Y33" s="64">
        <v>616</v>
      </c>
      <c r="Z33" s="8">
        <v>1703</v>
      </c>
      <c r="AA33" s="8">
        <v>4900</v>
      </c>
      <c r="AB33" s="8">
        <v>893</v>
      </c>
      <c r="AC33" s="51">
        <v>25675</v>
      </c>
      <c r="AD33" s="2">
        <v>17041</v>
      </c>
      <c r="AE33" s="2">
        <v>17682</v>
      </c>
      <c r="AF33" s="2">
        <v>582</v>
      </c>
      <c r="AG33" s="2">
        <v>1493</v>
      </c>
      <c r="AH33" s="2">
        <v>189</v>
      </c>
      <c r="AI33" s="2">
        <v>5414</v>
      </c>
      <c r="AJ33" s="2">
        <v>854</v>
      </c>
      <c r="AK33" s="2">
        <v>24893</v>
      </c>
      <c r="AL33" s="2">
        <v>16881</v>
      </c>
      <c r="AM33" s="2">
        <v>17380</v>
      </c>
      <c r="AN33" s="2">
        <v>537</v>
      </c>
      <c r="AO33" s="2">
        <v>1509</v>
      </c>
      <c r="AP33" s="2">
        <v>215</v>
      </c>
      <c r="AQ33" s="2">
        <v>5554</v>
      </c>
      <c r="AR33" s="2">
        <v>827</v>
      </c>
      <c r="AS33" s="2">
        <v>24223</v>
      </c>
      <c r="AT33" s="2">
        <v>16610</v>
      </c>
      <c r="AU33" s="2">
        <v>17289</v>
      </c>
      <c r="AV33" s="2">
        <v>514</v>
      </c>
      <c r="AW33" s="2">
        <v>188</v>
      </c>
      <c r="AX33" s="2">
        <v>1535</v>
      </c>
      <c r="AY33" s="2">
        <v>5807</v>
      </c>
      <c r="AZ33" s="2">
        <v>848</v>
      </c>
      <c r="BA33" s="2">
        <v>23534</v>
      </c>
    </row>
    <row r="34" spans="1:55">
      <c r="A34" s="74" t="s">
        <v>61</v>
      </c>
      <c r="B34" s="7">
        <v>13948</v>
      </c>
      <c r="C34" s="52">
        <v>14328</v>
      </c>
      <c r="D34" s="66">
        <v>390</v>
      </c>
      <c r="E34" s="66">
        <v>876</v>
      </c>
      <c r="F34" s="66">
        <v>2100</v>
      </c>
      <c r="G34" s="66">
        <v>231</v>
      </c>
      <c r="H34" s="66">
        <v>24679</v>
      </c>
      <c r="I34" s="63">
        <v>13846</v>
      </c>
      <c r="J34" s="68">
        <v>14245</v>
      </c>
      <c r="K34" s="64">
        <v>382</v>
      </c>
      <c r="L34" s="8">
        <v>868</v>
      </c>
      <c r="M34" s="8">
        <v>2063</v>
      </c>
      <c r="N34" s="8">
        <v>229</v>
      </c>
      <c r="O34" s="8">
        <v>24549</v>
      </c>
      <c r="P34" s="63">
        <v>15000</v>
      </c>
      <c r="Q34" s="68">
        <v>15358</v>
      </c>
      <c r="R34" s="64">
        <v>420</v>
      </c>
      <c r="S34" s="8">
        <v>1086</v>
      </c>
      <c r="T34" s="8">
        <v>2707</v>
      </c>
      <c r="U34" s="8">
        <v>344</v>
      </c>
      <c r="V34" s="8">
        <v>25801</v>
      </c>
      <c r="W34" s="63">
        <v>15505</v>
      </c>
      <c r="X34" s="68">
        <v>15870</v>
      </c>
      <c r="Y34" s="64">
        <v>442</v>
      </c>
      <c r="Z34" s="8">
        <v>1113</v>
      </c>
      <c r="AA34" s="8">
        <v>3096</v>
      </c>
      <c r="AB34" s="8">
        <v>367</v>
      </c>
      <c r="AC34" s="51">
        <v>26357</v>
      </c>
      <c r="AD34" s="2">
        <v>15484</v>
      </c>
      <c r="AE34" s="2">
        <v>15404</v>
      </c>
      <c r="AF34" s="2">
        <v>386</v>
      </c>
      <c r="AG34" s="2">
        <v>655</v>
      </c>
      <c r="AH34" s="2">
        <v>457</v>
      </c>
      <c r="AI34" s="2">
        <v>3295</v>
      </c>
      <c r="AJ34" s="2">
        <v>360</v>
      </c>
      <c r="AK34" s="2">
        <v>25510</v>
      </c>
      <c r="AL34" s="2">
        <v>15569</v>
      </c>
      <c r="AM34" s="2">
        <v>15588</v>
      </c>
      <c r="AN34" s="2">
        <v>395</v>
      </c>
      <c r="AO34" s="2">
        <v>681</v>
      </c>
      <c r="AP34" s="2">
        <v>438</v>
      </c>
      <c r="AQ34" s="2">
        <v>3719</v>
      </c>
      <c r="AR34" s="2">
        <v>376</v>
      </c>
      <c r="AS34" s="2">
        <v>25227</v>
      </c>
      <c r="AT34" s="2">
        <v>16436</v>
      </c>
      <c r="AU34" s="2">
        <v>16750</v>
      </c>
      <c r="AV34" s="2">
        <v>373</v>
      </c>
      <c r="AW34" s="2">
        <v>466</v>
      </c>
      <c r="AX34" s="2">
        <v>669</v>
      </c>
      <c r="AY34" s="2">
        <v>4100</v>
      </c>
      <c r="AZ34" s="2">
        <v>402</v>
      </c>
      <c r="BA34" s="2">
        <v>26757</v>
      </c>
    </row>
    <row r="35" spans="1:55">
      <c r="A35" s="74" t="s">
        <v>62</v>
      </c>
      <c r="B35" s="7">
        <v>30303</v>
      </c>
      <c r="C35" s="52">
        <v>32036</v>
      </c>
      <c r="D35" s="66">
        <v>1273</v>
      </c>
      <c r="E35" s="66">
        <v>5696</v>
      </c>
      <c r="F35" s="66">
        <v>5625</v>
      </c>
      <c r="G35" s="66">
        <v>2749</v>
      </c>
      <c r="H35" s="66">
        <v>46996</v>
      </c>
      <c r="I35" s="63">
        <v>29579</v>
      </c>
      <c r="J35" s="68">
        <v>31418</v>
      </c>
      <c r="K35" s="64">
        <v>1219</v>
      </c>
      <c r="L35" s="8">
        <v>5496</v>
      </c>
      <c r="M35" s="8">
        <v>5678</v>
      </c>
      <c r="N35" s="8">
        <v>2699</v>
      </c>
      <c r="O35" s="8">
        <v>45905</v>
      </c>
      <c r="P35" s="63">
        <v>30056</v>
      </c>
      <c r="Q35" s="68">
        <v>31876</v>
      </c>
      <c r="R35" s="64">
        <v>1217</v>
      </c>
      <c r="S35" s="8">
        <v>5860</v>
      </c>
      <c r="T35" s="8">
        <v>6398</v>
      </c>
      <c r="U35" s="8">
        <v>2961</v>
      </c>
      <c r="V35" s="8">
        <v>45496</v>
      </c>
      <c r="W35" s="63">
        <v>31353</v>
      </c>
      <c r="X35" s="68">
        <v>32194</v>
      </c>
      <c r="Y35" s="64">
        <v>1437</v>
      </c>
      <c r="Z35" s="8">
        <v>5893</v>
      </c>
      <c r="AA35" s="8">
        <v>6971</v>
      </c>
      <c r="AB35" s="8">
        <v>3130</v>
      </c>
      <c r="AC35" s="51">
        <v>46124</v>
      </c>
      <c r="AD35" s="2">
        <v>32776</v>
      </c>
      <c r="AE35" s="2">
        <v>33677</v>
      </c>
      <c r="AF35" s="2">
        <v>916</v>
      </c>
      <c r="AG35" s="2">
        <v>5208</v>
      </c>
      <c r="AH35" s="2">
        <v>446</v>
      </c>
      <c r="AI35" s="2">
        <v>8962</v>
      </c>
      <c r="AJ35" s="2">
        <v>2865</v>
      </c>
      <c r="AK35" s="2">
        <v>45480</v>
      </c>
      <c r="AL35" s="2">
        <v>32103</v>
      </c>
      <c r="AM35" s="2">
        <v>33102</v>
      </c>
      <c r="AN35" s="2">
        <v>847</v>
      </c>
      <c r="AO35" s="2">
        <v>5356</v>
      </c>
      <c r="AP35" s="2">
        <v>483</v>
      </c>
      <c r="AQ35" s="2">
        <v>9505</v>
      </c>
      <c r="AR35" s="2">
        <v>2828</v>
      </c>
      <c r="AS35" s="2">
        <v>43218</v>
      </c>
      <c r="AT35" s="2">
        <v>32368</v>
      </c>
      <c r="AU35" s="2">
        <v>33698</v>
      </c>
      <c r="AV35" s="2">
        <v>740</v>
      </c>
      <c r="AW35" s="2">
        <v>446</v>
      </c>
      <c r="AX35" s="2">
        <v>5380</v>
      </c>
      <c r="AY35" s="2">
        <v>10092</v>
      </c>
      <c r="AZ35" s="2">
        <v>2905</v>
      </c>
      <c r="BA35" s="2">
        <v>43132</v>
      </c>
    </row>
    <row r="36" spans="1:55">
      <c r="A36" s="75" t="s">
        <v>63</v>
      </c>
      <c r="B36" s="126">
        <v>2747</v>
      </c>
      <c r="C36" s="55">
        <v>2688</v>
      </c>
      <c r="D36" s="65">
        <v>119</v>
      </c>
      <c r="E36" s="65">
        <v>59</v>
      </c>
      <c r="F36" s="65">
        <v>328</v>
      </c>
      <c r="G36" s="65">
        <v>53</v>
      </c>
      <c r="H36" s="65">
        <v>4882</v>
      </c>
      <c r="I36" s="71">
        <v>2754</v>
      </c>
      <c r="J36" s="72">
        <v>2740</v>
      </c>
      <c r="K36" s="67">
        <v>100</v>
      </c>
      <c r="L36" s="24">
        <v>67</v>
      </c>
      <c r="M36" s="24">
        <v>381</v>
      </c>
      <c r="N36" s="24">
        <v>55</v>
      </c>
      <c r="O36" s="24">
        <v>4891</v>
      </c>
      <c r="P36" s="71">
        <v>2753</v>
      </c>
      <c r="Q36" s="72">
        <v>2740</v>
      </c>
      <c r="R36" s="67">
        <v>130</v>
      </c>
      <c r="S36" s="24">
        <v>69</v>
      </c>
      <c r="T36" s="24">
        <v>414</v>
      </c>
      <c r="U36" s="24">
        <v>65</v>
      </c>
      <c r="V36" s="24">
        <v>4815</v>
      </c>
      <c r="W36" s="71">
        <v>2878</v>
      </c>
      <c r="X36" s="72">
        <v>2817</v>
      </c>
      <c r="Y36" s="67">
        <v>108</v>
      </c>
      <c r="Z36" s="24">
        <v>59</v>
      </c>
      <c r="AA36" s="24">
        <v>500</v>
      </c>
      <c r="AB36" s="24">
        <v>62</v>
      </c>
      <c r="AC36" s="404">
        <v>4918</v>
      </c>
      <c r="AD36" s="2">
        <v>2816</v>
      </c>
      <c r="AE36" s="2">
        <v>2784</v>
      </c>
      <c r="AF36" s="2">
        <v>120</v>
      </c>
      <c r="AG36" s="2">
        <v>52</v>
      </c>
      <c r="AH36" s="2">
        <v>11</v>
      </c>
      <c r="AI36" s="2">
        <v>565</v>
      </c>
      <c r="AJ36" s="2">
        <v>51</v>
      </c>
      <c r="AK36" s="2">
        <v>4732</v>
      </c>
      <c r="AL36" s="2">
        <v>2833</v>
      </c>
      <c r="AM36" s="2">
        <v>2720</v>
      </c>
      <c r="AN36" s="2">
        <v>106</v>
      </c>
      <c r="AO36" s="2">
        <v>46</v>
      </c>
      <c r="AP36" s="2">
        <v>7</v>
      </c>
      <c r="AQ36" s="2">
        <v>545</v>
      </c>
      <c r="AR36" s="2">
        <v>57</v>
      </c>
      <c r="AS36" s="2">
        <v>4724</v>
      </c>
      <c r="AT36" s="2">
        <v>2721</v>
      </c>
      <c r="AU36" s="2">
        <v>2768</v>
      </c>
      <c r="AV36" s="2">
        <v>88</v>
      </c>
      <c r="AW36" s="2">
        <v>12</v>
      </c>
      <c r="AX36" s="2">
        <v>55</v>
      </c>
      <c r="AY36" s="2">
        <v>565</v>
      </c>
      <c r="AZ36" s="2">
        <v>62</v>
      </c>
      <c r="BA36" s="2">
        <v>4643</v>
      </c>
    </row>
    <row r="37" spans="1:55">
      <c r="A37" s="77" t="s">
        <v>64</v>
      </c>
      <c r="B37" s="130">
        <f>SUM(B39:B50)</f>
        <v>345130</v>
      </c>
      <c r="C37" s="131">
        <f t="shared" ref="C37:BA37" si="17">SUM(C39:C50)</f>
        <v>352999</v>
      </c>
      <c r="D37" s="95">
        <f t="shared" si="17"/>
        <v>5124</v>
      </c>
      <c r="E37" s="95">
        <f t="shared" si="17"/>
        <v>19235</v>
      </c>
      <c r="F37" s="95">
        <f t="shared" si="17"/>
        <v>33955</v>
      </c>
      <c r="G37" s="95">
        <f t="shared" si="17"/>
        <v>79842</v>
      </c>
      <c r="H37" s="95">
        <f t="shared" si="17"/>
        <v>560058</v>
      </c>
      <c r="I37" s="96">
        <f t="shared" si="17"/>
        <v>353758</v>
      </c>
      <c r="J37" s="133">
        <f t="shared" si="17"/>
        <v>361719</v>
      </c>
      <c r="K37" s="134">
        <f t="shared" si="17"/>
        <v>5130</v>
      </c>
      <c r="L37" s="136">
        <f t="shared" si="17"/>
        <v>20065</v>
      </c>
      <c r="M37" s="136">
        <f t="shared" si="17"/>
        <v>37895</v>
      </c>
      <c r="N37" s="136">
        <f t="shared" si="17"/>
        <v>83848</v>
      </c>
      <c r="O37" s="135">
        <f t="shared" si="17"/>
        <v>568547</v>
      </c>
      <c r="P37" s="96">
        <f t="shared" si="17"/>
        <v>352190</v>
      </c>
      <c r="Q37" s="133">
        <f t="shared" si="17"/>
        <v>358676</v>
      </c>
      <c r="R37" s="134">
        <f t="shared" si="17"/>
        <v>5239</v>
      </c>
      <c r="S37" s="136">
        <f t="shared" si="17"/>
        <v>19977</v>
      </c>
      <c r="T37" s="136">
        <f t="shared" si="17"/>
        <v>40528</v>
      </c>
      <c r="U37" s="136">
        <f t="shared" si="17"/>
        <v>86804</v>
      </c>
      <c r="V37" s="135">
        <f t="shared" si="17"/>
        <v>558417</v>
      </c>
      <c r="W37" s="96">
        <f t="shared" si="17"/>
        <v>357784</v>
      </c>
      <c r="X37" s="133">
        <f t="shared" si="17"/>
        <v>361514</v>
      </c>
      <c r="Y37" s="134">
        <f t="shared" si="17"/>
        <v>5334</v>
      </c>
      <c r="Z37" s="136">
        <f t="shared" si="17"/>
        <v>19920</v>
      </c>
      <c r="AA37" s="136">
        <f t="shared" si="17"/>
        <v>46151</v>
      </c>
      <c r="AB37" s="136">
        <f t="shared" si="17"/>
        <v>91739</v>
      </c>
      <c r="AC37" s="403">
        <f t="shared" si="17"/>
        <v>555088</v>
      </c>
      <c r="AD37" s="403">
        <f t="shared" si="17"/>
        <v>357335</v>
      </c>
      <c r="AE37" s="403">
        <f t="shared" si="17"/>
        <v>361444</v>
      </c>
      <c r="AF37" s="403">
        <f t="shared" si="17"/>
        <v>5082</v>
      </c>
      <c r="AG37" s="403">
        <f t="shared" si="17"/>
        <v>19981</v>
      </c>
      <c r="AH37" s="403">
        <f t="shared" si="17"/>
        <v>589</v>
      </c>
      <c r="AI37" s="403">
        <f t="shared" si="17"/>
        <v>49016</v>
      </c>
      <c r="AJ37" s="403">
        <f t="shared" si="17"/>
        <v>89640</v>
      </c>
      <c r="AK37" s="403">
        <f t="shared" si="17"/>
        <v>541331</v>
      </c>
      <c r="AL37" s="403">
        <f t="shared" si="17"/>
        <v>356692</v>
      </c>
      <c r="AM37" s="403">
        <f t="shared" si="17"/>
        <v>359380</v>
      </c>
      <c r="AN37" s="403">
        <f t="shared" si="17"/>
        <v>5086</v>
      </c>
      <c r="AO37" s="403">
        <f t="shared" si="17"/>
        <v>20779</v>
      </c>
      <c r="AP37" s="403">
        <f t="shared" si="17"/>
        <v>580</v>
      </c>
      <c r="AQ37" s="403">
        <f t="shared" si="17"/>
        <v>53391</v>
      </c>
      <c r="AR37" s="403">
        <f t="shared" si="17"/>
        <v>88956</v>
      </c>
      <c r="AS37" s="403">
        <f t="shared" si="17"/>
        <v>532594</v>
      </c>
      <c r="AT37" s="403">
        <f t="shared" si="17"/>
        <v>355969</v>
      </c>
      <c r="AU37" s="403">
        <f t="shared" si="17"/>
        <v>357693</v>
      </c>
      <c r="AV37" s="403">
        <f t="shared" si="17"/>
        <v>4915</v>
      </c>
      <c r="AW37" s="403">
        <f t="shared" si="17"/>
        <v>549</v>
      </c>
      <c r="AX37" s="403">
        <f t="shared" si="17"/>
        <v>21667</v>
      </c>
      <c r="AY37" s="403">
        <f t="shared" si="17"/>
        <v>56848</v>
      </c>
      <c r="AZ37" s="403">
        <f t="shared" si="17"/>
        <v>85913</v>
      </c>
      <c r="BA37" s="403">
        <f t="shared" si="17"/>
        <v>527039</v>
      </c>
    </row>
    <row r="38" spans="1:55">
      <c r="A38" s="77" t="s">
        <v>129</v>
      </c>
      <c r="B38" s="56"/>
      <c r="C38" s="53"/>
      <c r="D38" s="66"/>
      <c r="E38" s="66"/>
      <c r="F38" s="66"/>
      <c r="G38" s="66"/>
      <c r="H38" s="66"/>
      <c r="I38" s="63"/>
      <c r="J38" s="68"/>
      <c r="K38" s="64"/>
      <c r="P38" s="63"/>
      <c r="Q38" s="68"/>
      <c r="R38" s="64"/>
      <c r="W38" s="63"/>
      <c r="X38" s="68"/>
      <c r="Y38" s="64"/>
      <c r="AC38" s="51"/>
    </row>
    <row r="39" spans="1:55">
      <c r="A39" s="74" t="s">
        <v>65</v>
      </c>
      <c r="B39" s="7">
        <v>63223</v>
      </c>
      <c r="C39" s="52">
        <v>65958</v>
      </c>
      <c r="D39" s="66">
        <v>422</v>
      </c>
      <c r="E39" s="66">
        <v>5963</v>
      </c>
      <c r="F39" s="66">
        <v>16128</v>
      </c>
      <c r="G39" s="66">
        <v>21116</v>
      </c>
      <c r="H39" s="66">
        <v>85552</v>
      </c>
      <c r="I39" s="63">
        <v>65506</v>
      </c>
      <c r="J39" s="68">
        <v>68048</v>
      </c>
      <c r="K39" s="64">
        <v>318</v>
      </c>
      <c r="L39" s="8">
        <v>6000</v>
      </c>
      <c r="M39" s="8">
        <v>18411</v>
      </c>
      <c r="N39" s="8">
        <v>21728</v>
      </c>
      <c r="O39" s="8">
        <v>87097</v>
      </c>
      <c r="P39" s="63">
        <v>63901</v>
      </c>
      <c r="Q39" s="68">
        <v>66193</v>
      </c>
      <c r="R39" s="64">
        <v>242</v>
      </c>
      <c r="S39" s="8">
        <v>5600</v>
      </c>
      <c r="T39" s="8">
        <v>19616</v>
      </c>
      <c r="U39" s="8">
        <v>21887</v>
      </c>
      <c r="V39" s="8">
        <v>82749</v>
      </c>
      <c r="W39" s="63">
        <v>67888</v>
      </c>
      <c r="X39" s="68">
        <v>68949</v>
      </c>
      <c r="Y39" s="64">
        <v>284</v>
      </c>
      <c r="Z39" s="8">
        <v>5827</v>
      </c>
      <c r="AA39" s="8">
        <v>22320</v>
      </c>
      <c r="AB39" s="8">
        <v>24859</v>
      </c>
      <c r="AC39" s="51">
        <v>83547</v>
      </c>
      <c r="AD39" s="2">
        <v>66717</v>
      </c>
      <c r="AE39" s="2">
        <v>68239</v>
      </c>
      <c r="AF39" s="2">
        <v>423</v>
      </c>
      <c r="AG39" s="2">
        <v>5720</v>
      </c>
      <c r="AH39" s="2">
        <v>165</v>
      </c>
      <c r="AI39" s="2">
        <v>22783</v>
      </c>
      <c r="AJ39" s="2">
        <v>22674</v>
      </c>
      <c r="AK39" s="2">
        <v>80495</v>
      </c>
      <c r="AL39" s="2">
        <v>69099</v>
      </c>
      <c r="AM39" s="2">
        <v>70476</v>
      </c>
      <c r="AN39" s="2">
        <v>397</v>
      </c>
      <c r="AO39" s="2">
        <v>6103</v>
      </c>
      <c r="AP39" s="2">
        <v>110</v>
      </c>
      <c r="AQ39" s="2">
        <v>25771</v>
      </c>
      <c r="AR39" s="2">
        <v>23651</v>
      </c>
      <c r="AS39" s="2">
        <v>80669</v>
      </c>
      <c r="AT39" s="2">
        <v>68855</v>
      </c>
      <c r="AU39" s="2">
        <v>70373</v>
      </c>
      <c r="AV39" s="2">
        <v>363</v>
      </c>
      <c r="AW39" s="2">
        <v>112</v>
      </c>
      <c r="AX39" s="2">
        <v>6278</v>
      </c>
      <c r="AY39" s="2">
        <v>26687</v>
      </c>
      <c r="AZ39" s="2">
        <v>22016</v>
      </c>
      <c r="BA39" s="2">
        <v>80496</v>
      </c>
    </row>
    <row r="40" spans="1:55">
      <c r="A40" s="74" t="s">
        <v>66</v>
      </c>
      <c r="B40" s="7">
        <v>28713</v>
      </c>
      <c r="C40" s="52">
        <v>30249</v>
      </c>
      <c r="D40" s="66">
        <v>123</v>
      </c>
      <c r="E40" s="66">
        <v>821</v>
      </c>
      <c r="F40" s="66">
        <v>2161</v>
      </c>
      <c r="G40" s="66">
        <v>5279</v>
      </c>
      <c r="H40" s="66">
        <v>50578</v>
      </c>
      <c r="I40" s="63">
        <v>29606</v>
      </c>
      <c r="J40" s="68">
        <v>31186</v>
      </c>
      <c r="K40" s="64">
        <v>141</v>
      </c>
      <c r="L40" s="8">
        <v>844</v>
      </c>
      <c r="M40" s="8">
        <v>2433</v>
      </c>
      <c r="N40" s="8">
        <v>5564</v>
      </c>
      <c r="O40" s="8">
        <v>51810</v>
      </c>
      <c r="P40" s="63">
        <v>30229</v>
      </c>
      <c r="Q40" s="68">
        <v>32083</v>
      </c>
      <c r="R40" s="64">
        <v>140</v>
      </c>
      <c r="S40" s="8">
        <v>834</v>
      </c>
      <c r="T40" s="8">
        <v>2700</v>
      </c>
      <c r="U40" s="8">
        <v>6070</v>
      </c>
      <c r="V40" s="8">
        <v>52568</v>
      </c>
      <c r="W40" s="63">
        <v>30930</v>
      </c>
      <c r="X40" s="68">
        <v>32063</v>
      </c>
      <c r="Y40" s="64">
        <v>182</v>
      </c>
      <c r="Z40" s="8">
        <v>900</v>
      </c>
      <c r="AA40" s="8">
        <v>3168</v>
      </c>
      <c r="AB40" s="8">
        <v>6583</v>
      </c>
      <c r="AC40" s="51">
        <v>52160</v>
      </c>
      <c r="AD40" s="2">
        <v>32481</v>
      </c>
      <c r="AE40" s="2">
        <v>33652</v>
      </c>
      <c r="AF40" s="2">
        <v>188</v>
      </c>
      <c r="AG40" s="2">
        <v>934</v>
      </c>
      <c r="AH40" s="2">
        <v>40</v>
      </c>
      <c r="AI40" s="2">
        <v>3869</v>
      </c>
      <c r="AJ40" s="2">
        <v>6789</v>
      </c>
      <c r="AK40" s="2">
        <v>52495</v>
      </c>
      <c r="AL40" s="2">
        <v>32153</v>
      </c>
      <c r="AM40" s="2">
        <v>33514</v>
      </c>
      <c r="AN40" s="2">
        <v>186</v>
      </c>
      <c r="AO40" s="2">
        <v>1109</v>
      </c>
      <c r="AP40" s="2">
        <v>31</v>
      </c>
      <c r="AQ40" s="2">
        <v>4089</v>
      </c>
      <c r="AR40" s="2">
        <v>6577</v>
      </c>
      <c r="AS40" s="2">
        <v>51702</v>
      </c>
      <c r="AT40" s="2">
        <v>32674</v>
      </c>
      <c r="AU40" s="2">
        <v>33921</v>
      </c>
      <c r="AV40" s="2">
        <v>223</v>
      </c>
      <c r="AW40" s="2">
        <v>33</v>
      </c>
      <c r="AX40" s="2">
        <v>1176</v>
      </c>
      <c r="AY40" s="2">
        <v>4643</v>
      </c>
      <c r="AZ40" s="2">
        <v>6877</v>
      </c>
      <c r="BA40" s="2">
        <v>51519</v>
      </c>
    </row>
    <row r="41" spans="1:55">
      <c r="A41" s="74" t="s">
        <v>67</v>
      </c>
      <c r="B41" s="7">
        <v>17077</v>
      </c>
      <c r="C41" s="52">
        <v>17050</v>
      </c>
      <c r="D41" s="66">
        <v>152</v>
      </c>
      <c r="E41" s="66">
        <v>610</v>
      </c>
      <c r="F41" s="66">
        <v>1156</v>
      </c>
      <c r="G41" s="66">
        <v>1190</v>
      </c>
      <c r="H41" s="66">
        <v>31019</v>
      </c>
      <c r="I41" s="63">
        <v>17384</v>
      </c>
      <c r="J41" s="68">
        <v>17189</v>
      </c>
      <c r="K41" s="64">
        <v>159</v>
      </c>
      <c r="L41" s="8">
        <v>631</v>
      </c>
      <c r="M41" s="8">
        <v>1267</v>
      </c>
      <c r="N41" s="8">
        <v>1266</v>
      </c>
      <c r="O41" s="8">
        <v>31250</v>
      </c>
      <c r="P41" s="63">
        <v>16857</v>
      </c>
      <c r="Q41" s="68">
        <v>17069</v>
      </c>
      <c r="R41" s="64">
        <v>154</v>
      </c>
      <c r="S41" s="8">
        <v>657</v>
      </c>
      <c r="T41" s="8">
        <v>1353</v>
      </c>
      <c r="U41" s="8">
        <v>1344</v>
      </c>
      <c r="V41" s="8">
        <v>30418</v>
      </c>
      <c r="W41" s="63">
        <v>17080</v>
      </c>
      <c r="X41" s="68">
        <v>17382</v>
      </c>
      <c r="Y41" s="64">
        <v>159</v>
      </c>
      <c r="Z41" s="8">
        <v>668</v>
      </c>
      <c r="AA41" s="8">
        <v>1794</v>
      </c>
      <c r="AB41" s="8">
        <v>1268</v>
      </c>
      <c r="AC41" s="51">
        <v>30160</v>
      </c>
      <c r="AD41" s="2">
        <v>17004</v>
      </c>
      <c r="AE41" s="2">
        <v>16849</v>
      </c>
      <c r="AF41" s="2">
        <v>142</v>
      </c>
      <c r="AG41" s="2">
        <v>614</v>
      </c>
      <c r="AH41" s="2">
        <v>36</v>
      </c>
      <c r="AI41" s="2">
        <v>1921</v>
      </c>
      <c r="AJ41" s="2">
        <v>1378</v>
      </c>
      <c r="AK41" s="2">
        <v>29272</v>
      </c>
      <c r="AL41" s="2">
        <v>16620</v>
      </c>
      <c r="AM41" s="2">
        <v>16610</v>
      </c>
      <c r="AN41" s="2">
        <v>123</v>
      </c>
      <c r="AO41" s="2">
        <v>615</v>
      </c>
      <c r="AP41" s="2">
        <v>37</v>
      </c>
      <c r="AQ41" s="2">
        <v>2045</v>
      </c>
      <c r="AR41" s="2">
        <v>1281</v>
      </c>
      <c r="AS41" s="2">
        <v>28547</v>
      </c>
      <c r="AT41" s="2">
        <v>16388</v>
      </c>
      <c r="AU41" s="2">
        <v>16160</v>
      </c>
      <c r="AV41" s="2">
        <v>154</v>
      </c>
      <c r="AW41" s="2">
        <v>37</v>
      </c>
      <c r="AX41" s="2">
        <v>687</v>
      </c>
      <c r="AY41" s="2">
        <v>2228</v>
      </c>
      <c r="AZ41" s="2">
        <v>1314</v>
      </c>
      <c r="BA41" s="2">
        <v>27495</v>
      </c>
    </row>
    <row r="42" spans="1:55">
      <c r="A42" s="74" t="s">
        <v>68</v>
      </c>
      <c r="B42" s="7">
        <v>14780</v>
      </c>
      <c r="C42" s="52">
        <v>14597</v>
      </c>
      <c r="D42" s="66">
        <v>338</v>
      </c>
      <c r="E42" s="66">
        <v>662</v>
      </c>
      <c r="F42" s="66">
        <v>2283</v>
      </c>
      <c r="G42" s="66">
        <v>2236</v>
      </c>
      <c r="H42" s="66">
        <v>23858</v>
      </c>
      <c r="I42" s="63">
        <v>15141</v>
      </c>
      <c r="J42" s="68">
        <v>14991</v>
      </c>
      <c r="K42" s="64">
        <v>382</v>
      </c>
      <c r="L42" s="8">
        <v>710</v>
      </c>
      <c r="M42" s="8">
        <v>2474</v>
      </c>
      <c r="N42" s="8">
        <v>2217</v>
      </c>
      <c r="O42" s="8">
        <v>24349</v>
      </c>
      <c r="P42" s="63">
        <v>14973</v>
      </c>
      <c r="Q42" s="68">
        <v>14729</v>
      </c>
      <c r="R42" s="64">
        <v>418</v>
      </c>
      <c r="S42" s="8">
        <v>739</v>
      </c>
      <c r="T42" s="8">
        <v>2655</v>
      </c>
      <c r="U42" s="8">
        <v>2321</v>
      </c>
      <c r="V42" s="8">
        <v>23569</v>
      </c>
      <c r="W42" s="63">
        <v>15918</v>
      </c>
      <c r="X42" s="68">
        <v>15724</v>
      </c>
      <c r="Y42" s="64">
        <v>383</v>
      </c>
      <c r="Z42" s="8">
        <v>767</v>
      </c>
      <c r="AA42" s="8">
        <v>3468</v>
      </c>
      <c r="AB42" s="8">
        <v>2297</v>
      </c>
      <c r="AC42" s="51">
        <v>23844</v>
      </c>
      <c r="AD42" s="2">
        <v>15662</v>
      </c>
      <c r="AE42" s="2">
        <v>15708</v>
      </c>
      <c r="AF42" s="2">
        <v>377</v>
      </c>
      <c r="AG42" s="2">
        <v>778</v>
      </c>
      <c r="AH42" s="2">
        <v>47</v>
      </c>
      <c r="AI42" s="2">
        <v>3770</v>
      </c>
      <c r="AJ42" s="2">
        <v>2280</v>
      </c>
      <c r="AK42" s="2">
        <v>23080</v>
      </c>
      <c r="AL42" s="2">
        <v>16112</v>
      </c>
      <c r="AM42" s="2">
        <v>15786</v>
      </c>
      <c r="AN42" s="2">
        <v>361</v>
      </c>
      <c r="AO42" s="2">
        <v>774</v>
      </c>
      <c r="AP42" s="2">
        <v>36</v>
      </c>
      <c r="AQ42" s="2">
        <v>4057</v>
      </c>
      <c r="AR42" s="2">
        <v>2328</v>
      </c>
      <c r="AS42" s="2">
        <v>23170</v>
      </c>
      <c r="AT42" s="2">
        <v>16057</v>
      </c>
      <c r="AU42" s="2">
        <v>15865</v>
      </c>
      <c r="AV42" s="2">
        <v>369</v>
      </c>
      <c r="AW42" s="2">
        <v>45</v>
      </c>
      <c r="AX42" s="2">
        <v>756</v>
      </c>
      <c r="AY42" s="2">
        <v>4352</v>
      </c>
      <c r="AZ42" s="2">
        <v>2235</v>
      </c>
      <c r="BA42" s="2">
        <v>22933</v>
      </c>
    </row>
    <row r="43" spans="1:55">
      <c r="A43" s="74" t="s">
        <v>69</v>
      </c>
      <c r="B43" s="7">
        <v>54328</v>
      </c>
      <c r="C43" s="52">
        <v>56985</v>
      </c>
      <c r="D43" s="66">
        <v>949</v>
      </c>
      <c r="E43" s="66">
        <v>2711</v>
      </c>
      <c r="F43" s="66">
        <v>3213</v>
      </c>
      <c r="G43" s="66">
        <v>17945</v>
      </c>
      <c r="H43" s="66">
        <v>86495</v>
      </c>
      <c r="I43" s="63">
        <v>55985</v>
      </c>
      <c r="J43" s="68">
        <v>58672</v>
      </c>
      <c r="K43" s="64">
        <v>967</v>
      </c>
      <c r="L43" s="8">
        <v>2807</v>
      </c>
      <c r="M43" s="8">
        <v>3500</v>
      </c>
      <c r="N43" s="8">
        <v>19158</v>
      </c>
      <c r="O43" s="8">
        <v>88225</v>
      </c>
      <c r="P43" s="63">
        <v>54787</v>
      </c>
      <c r="Q43" s="68">
        <v>57297</v>
      </c>
      <c r="R43" s="64">
        <v>873</v>
      </c>
      <c r="S43" s="8">
        <v>2812</v>
      </c>
      <c r="T43" s="8">
        <v>3538</v>
      </c>
      <c r="U43" s="8">
        <v>19219</v>
      </c>
      <c r="V43" s="8">
        <v>85642</v>
      </c>
      <c r="W43" s="63">
        <v>54116</v>
      </c>
      <c r="X43" s="68">
        <v>55770</v>
      </c>
      <c r="Y43" s="64">
        <v>891</v>
      </c>
      <c r="Z43" s="8">
        <v>2808</v>
      </c>
      <c r="AA43" s="8">
        <v>3721</v>
      </c>
      <c r="AB43" s="8">
        <v>19278</v>
      </c>
      <c r="AC43" s="51">
        <v>83188</v>
      </c>
      <c r="AD43" s="2">
        <v>51531</v>
      </c>
      <c r="AE43" s="2">
        <v>54486</v>
      </c>
      <c r="AF43" s="2">
        <v>801</v>
      </c>
      <c r="AG43" s="2">
        <v>2672</v>
      </c>
      <c r="AH43" s="2">
        <v>119</v>
      </c>
      <c r="AI43" s="2">
        <v>3022</v>
      </c>
      <c r="AJ43" s="2">
        <v>18191</v>
      </c>
      <c r="AK43" s="2">
        <v>79431</v>
      </c>
      <c r="AL43" s="2">
        <v>51905</v>
      </c>
      <c r="AM43" s="2">
        <v>53541</v>
      </c>
      <c r="AN43" s="2">
        <v>877</v>
      </c>
      <c r="AO43" s="2">
        <v>2743</v>
      </c>
      <c r="AP43" s="2">
        <v>90</v>
      </c>
      <c r="AQ43" s="2">
        <v>2987</v>
      </c>
      <c r="AR43" s="2">
        <v>17978</v>
      </c>
      <c r="AS43" s="2">
        <v>78678</v>
      </c>
      <c r="AT43" s="2">
        <v>51453</v>
      </c>
      <c r="AU43" s="2">
        <v>52757</v>
      </c>
      <c r="AV43" s="2">
        <v>833</v>
      </c>
      <c r="AW43" s="2">
        <v>114</v>
      </c>
      <c r="AX43" s="2">
        <v>2973</v>
      </c>
      <c r="AY43" s="2">
        <v>3324</v>
      </c>
      <c r="AZ43" s="2">
        <v>16949</v>
      </c>
      <c r="BA43" s="2">
        <v>77503</v>
      </c>
    </row>
    <row r="44" spans="1:55">
      <c r="A44" s="74" t="s">
        <v>70</v>
      </c>
      <c r="B44" s="7">
        <v>29332</v>
      </c>
      <c r="C44" s="52">
        <v>30124</v>
      </c>
      <c r="D44" s="66">
        <v>890</v>
      </c>
      <c r="E44" s="66">
        <v>3060</v>
      </c>
      <c r="F44" s="66">
        <v>1690</v>
      </c>
      <c r="G44" s="66">
        <v>3323</v>
      </c>
      <c r="H44" s="66">
        <v>50534</v>
      </c>
      <c r="I44" s="63">
        <v>30025</v>
      </c>
      <c r="J44" s="68">
        <v>30384</v>
      </c>
      <c r="K44" s="64">
        <v>830</v>
      </c>
      <c r="L44" s="8">
        <v>3351</v>
      </c>
      <c r="M44" s="8">
        <v>1788</v>
      </c>
      <c r="N44" s="8">
        <v>3678</v>
      </c>
      <c r="O44" s="8">
        <v>50762</v>
      </c>
      <c r="P44" s="63">
        <v>30059</v>
      </c>
      <c r="Q44" s="68">
        <v>29626</v>
      </c>
      <c r="R44" s="64">
        <v>901</v>
      </c>
      <c r="S44" s="8">
        <v>3407</v>
      </c>
      <c r="T44" s="8">
        <v>1997</v>
      </c>
      <c r="U44" s="8">
        <v>3969</v>
      </c>
      <c r="V44" s="8">
        <v>49455</v>
      </c>
      <c r="W44" s="63">
        <v>29846</v>
      </c>
      <c r="X44" s="68">
        <v>29821</v>
      </c>
      <c r="Y44" s="64">
        <v>902</v>
      </c>
      <c r="Z44" s="8">
        <v>3347</v>
      </c>
      <c r="AA44" s="8">
        <v>2176</v>
      </c>
      <c r="AB44" s="8">
        <v>4194</v>
      </c>
      <c r="AC44" s="51">
        <v>49048</v>
      </c>
      <c r="AD44" s="2">
        <v>29875</v>
      </c>
      <c r="AE44" s="2">
        <v>29482</v>
      </c>
      <c r="AF44" s="2">
        <v>691</v>
      </c>
      <c r="AG44" s="2">
        <v>3436</v>
      </c>
      <c r="AH44" s="2">
        <v>32</v>
      </c>
      <c r="AI44" s="2">
        <v>2485</v>
      </c>
      <c r="AJ44" s="2">
        <v>4086</v>
      </c>
      <c r="AK44" s="2">
        <v>48170</v>
      </c>
      <c r="AL44" s="2">
        <v>28858</v>
      </c>
      <c r="AM44" s="2">
        <v>28643</v>
      </c>
      <c r="AN44" s="2">
        <v>663</v>
      </c>
      <c r="AO44" s="2">
        <v>3507</v>
      </c>
      <c r="AP44" s="2">
        <v>46</v>
      </c>
      <c r="AQ44" s="2">
        <v>2497</v>
      </c>
      <c r="AR44" s="2">
        <v>3827</v>
      </c>
      <c r="AS44" s="2">
        <v>46379</v>
      </c>
      <c r="AT44" s="2">
        <v>29164</v>
      </c>
      <c r="AU44" s="2">
        <v>29091</v>
      </c>
      <c r="AV44" s="2">
        <v>664</v>
      </c>
      <c r="AW44" s="2">
        <v>26</v>
      </c>
      <c r="AX44" s="2">
        <v>3644</v>
      </c>
      <c r="AY44" s="2">
        <v>2827</v>
      </c>
      <c r="AZ44" s="2">
        <v>4231</v>
      </c>
      <c r="BA44" s="2">
        <v>46012</v>
      </c>
      <c r="BC44" s="2" t="s">
        <v>505</v>
      </c>
    </row>
    <row r="45" spans="1:55">
      <c r="A45" s="2" t="s">
        <v>71</v>
      </c>
      <c r="B45" s="7">
        <v>29854</v>
      </c>
      <c r="C45" s="52">
        <v>30421</v>
      </c>
      <c r="D45" s="66">
        <v>222</v>
      </c>
      <c r="E45" s="66">
        <v>1035</v>
      </c>
      <c r="F45" s="66">
        <v>1371</v>
      </c>
      <c r="G45" s="66">
        <v>8970</v>
      </c>
      <c r="H45" s="66">
        <v>48677</v>
      </c>
      <c r="I45" s="63">
        <v>30709</v>
      </c>
      <c r="J45" s="68">
        <v>31008</v>
      </c>
      <c r="K45" s="64">
        <v>273</v>
      </c>
      <c r="L45" s="8">
        <v>1024</v>
      </c>
      <c r="M45" s="8">
        <v>1498</v>
      </c>
      <c r="N45" s="8">
        <v>9178</v>
      </c>
      <c r="O45" s="8">
        <v>49744</v>
      </c>
      <c r="P45" s="63">
        <v>31392</v>
      </c>
      <c r="Q45" s="68">
        <v>31577</v>
      </c>
      <c r="R45" s="64">
        <v>271</v>
      </c>
      <c r="S45" s="8">
        <v>1058</v>
      </c>
      <c r="T45" s="8">
        <v>1591</v>
      </c>
      <c r="U45" s="8">
        <v>10111</v>
      </c>
      <c r="V45" s="8">
        <v>49938</v>
      </c>
      <c r="W45" s="63">
        <v>31915</v>
      </c>
      <c r="X45" s="68">
        <v>32079</v>
      </c>
      <c r="Y45" s="64">
        <v>318</v>
      </c>
      <c r="Z45" s="8">
        <v>1126</v>
      </c>
      <c r="AA45" s="8">
        <v>1772</v>
      </c>
      <c r="AB45" s="8">
        <v>10262</v>
      </c>
      <c r="AC45" s="51">
        <v>50516</v>
      </c>
      <c r="AD45" s="2">
        <v>31600</v>
      </c>
      <c r="AE45" s="2">
        <v>31394</v>
      </c>
      <c r="AF45" s="2">
        <v>296</v>
      </c>
      <c r="AG45" s="2">
        <v>1062</v>
      </c>
      <c r="AH45" s="2">
        <v>40</v>
      </c>
      <c r="AI45" s="2">
        <v>1986</v>
      </c>
      <c r="AJ45" s="2">
        <v>10567</v>
      </c>
      <c r="AK45" s="2">
        <v>48494</v>
      </c>
      <c r="AL45" s="2">
        <v>30661</v>
      </c>
      <c r="AM45" s="2">
        <v>30652</v>
      </c>
      <c r="AN45" s="2">
        <v>340</v>
      </c>
      <c r="AO45" s="2">
        <v>1062</v>
      </c>
      <c r="AP45" s="2">
        <v>84</v>
      </c>
      <c r="AQ45" s="2">
        <v>2131</v>
      </c>
      <c r="AR45" s="2">
        <v>9899</v>
      </c>
      <c r="AS45" s="2">
        <v>47220</v>
      </c>
      <c r="AT45" s="2">
        <v>31258</v>
      </c>
      <c r="AU45" s="2">
        <v>30149</v>
      </c>
      <c r="AV45" s="2">
        <v>283</v>
      </c>
      <c r="AW45" s="2">
        <v>71</v>
      </c>
      <c r="AX45" s="2">
        <v>1202</v>
      </c>
      <c r="AY45" s="2">
        <v>2317</v>
      </c>
      <c r="AZ45" s="2">
        <v>9671</v>
      </c>
      <c r="BA45" s="2">
        <v>47112</v>
      </c>
    </row>
    <row r="46" spans="1:55">
      <c r="A46" s="2" t="s">
        <v>72</v>
      </c>
      <c r="B46" s="7">
        <v>10141</v>
      </c>
      <c r="C46" s="52">
        <v>9732</v>
      </c>
      <c r="D46" s="66">
        <v>211</v>
      </c>
      <c r="E46" s="66">
        <v>346</v>
      </c>
      <c r="F46" s="66">
        <v>1290</v>
      </c>
      <c r="G46" s="66">
        <v>1226</v>
      </c>
      <c r="H46" s="66">
        <v>16800</v>
      </c>
      <c r="I46" s="63">
        <v>9958</v>
      </c>
      <c r="J46" s="68">
        <v>10077</v>
      </c>
      <c r="K46" s="64">
        <v>228</v>
      </c>
      <c r="L46" s="8">
        <v>355</v>
      </c>
      <c r="M46" s="8">
        <v>1434</v>
      </c>
      <c r="N46" s="8">
        <v>1049</v>
      </c>
      <c r="O46" s="8">
        <v>16969</v>
      </c>
      <c r="P46" s="63">
        <v>9682</v>
      </c>
      <c r="Q46" s="68">
        <v>9819</v>
      </c>
      <c r="R46" s="64">
        <v>227</v>
      </c>
      <c r="S46" s="8">
        <v>328</v>
      </c>
      <c r="T46" s="8">
        <v>1617</v>
      </c>
      <c r="U46" s="8">
        <v>1054</v>
      </c>
      <c r="V46" s="8">
        <v>16275</v>
      </c>
      <c r="W46" s="63">
        <v>9672</v>
      </c>
      <c r="X46" s="68">
        <v>9698</v>
      </c>
      <c r="Y46" s="64">
        <v>191</v>
      </c>
      <c r="Z46" s="8">
        <v>353</v>
      </c>
      <c r="AA46" s="8">
        <v>1812</v>
      </c>
      <c r="AB46" s="8">
        <v>1093</v>
      </c>
      <c r="AC46" s="51">
        <v>15921</v>
      </c>
      <c r="AD46" s="2">
        <v>10160</v>
      </c>
      <c r="AE46" s="2">
        <v>10171</v>
      </c>
      <c r="AF46" s="2">
        <v>236</v>
      </c>
      <c r="AG46" s="2">
        <v>353</v>
      </c>
      <c r="AH46" s="2">
        <v>29</v>
      </c>
      <c r="AI46" s="2">
        <v>2348</v>
      </c>
      <c r="AJ46" s="2">
        <v>1096</v>
      </c>
      <c r="AK46" s="2">
        <v>15781</v>
      </c>
      <c r="AL46" s="2">
        <v>10317</v>
      </c>
      <c r="AM46" s="2">
        <v>10147</v>
      </c>
      <c r="AN46" s="2">
        <v>273</v>
      </c>
      <c r="AO46" s="2">
        <v>429</v>
      </c>
      <c r="AP46" s="2">
        <v>31</v>
      </c>
      <c r="AQ46" s="2">
        <v>2520</v>
      </c>
      <c r="AR46" s="2">
        <v>1237</v>
      </c>
      <c r="AS46" s="2">
        <v>15447</v>
      </c>
      <c r="AT46" s="2">
        <v>10340</v>
      </c>
      <c r="AU46" s="2">
        <v>10102</v>
      </c>
      <c r="AV46" s="2">
        <v>230</v>
      </c>
      <c r="AW46" s="2">
        <v>20</v>
      </c>
      <c r="AX46" s="2">
        <v>393</v>
      </c>
      <c r="AY46" s="2">
        <v>2666</v>
      </c>
      <c r="AZ46" s="2">
        <v>1264</v>
      </c>
      <c r="BA46" s="2">
        <v>15329</v>
      </c>
    </row>
    <row r="47" spans="1:55">
      <c r="A47" s="2" t="s">
        <v>73</v>
      </c>
      <c r="B47" s="7">
        <v>3593</v>
      </c>
      <c r="C47" s="52">
        <v>3522</v>
      </c>
      <c r="D47" s="66">
        <v>413</v>
      </c>
      <c r="E47" s="66">
        <v>62</v>
      </c>
      <c r="F47" s="66">
        <v>68</v>
      </c>
      <c r="G47" s="66">
        <v>74</v>
      </c>
      <c r="H47" s="66">
        <v>6542</v>
      </c>
      <c r="I47" s="63">
        <v>3498</v>
      </c>
      <c r="J47" s="68">
        <v>3501</v>
      </c>
      <c r="K47" s="64">
        <v>357</v>
      </c>
      <c r="L47" s="8">
        <v>55</v>
      </c>
      <c r="M47" s="8">
        <v>79</v>
      </c>
      <c r="N47" s="8">
        <v>98</v>
      </c>
      <c r="O47" s="8">
        <v>6410</v>
      </c>
      <c r="P47" s="63">
        <v>3646</v>
      </c>
      <c r="Q47" s="68">
        <v>3586</v>
      </c>
      <c r="R47" s="64">
        <v>423</v>
      </c>
      <c r="S47" s="8">
        <v>75</v>
      </c>
      <c r="T47" s="8">
        <v>89</v>
      </c>
      <c r="U47" s="8">
        <v>138</v>
      </c>
      <c r="V47" s="8">
        <v>6507</v>
      </c>
      <c r="W47" s="63">
        <v>3642</v>
      </c>
      <c r="X47" s="68">
        <v>3513</v>
      </c>
      <c r="Y47" s="64">
        <v>489</v>
      </c>
      <c r="Z47" s="8">
        <v>76</v>
      </c>
      <c r="AA47" s="8">
        <v>90</v>
      </c>
      <c r="AB47" s="8">
        <v>136</v>
      </c>
      <c r="AC47" s="51">
        <v>6364</v>
      </c>
      <c r="AD47" s="2">
        <v>3623</v>
      </c>
      <c r="AE47" s="2">
        <v>3533</v>
      </c>
      <c r="AF47" s="2">
        <v>483</v>
      </c>
      <c r="AG47" s="2">
        <v>72</v>
      </c>
      <c r="AH47" s="2">
        <v>14</v>
      </c>
      <c r="AI47" s="2">
        <v>111</v>
      </c>
      <c r="AJ47" s="2">
        <v>126</v>
      </c>
      <c r="AK47" s="2">
        <v>6327</v>
      </c>
      <c r="AL47" s="2">
        <v>3540</v>
      </c>
      <c r="AM47" s="2">
        <v>3402</v>
      </c>
      <c r="AN47" s="2">
        <v>447</v>
      </c>
      <c r="AO47" s="2">
        <v>90</v>
      </c>
      <c r="AP47" s="2">
        <v>14</v>
      </c>
      <c r="AQ47" s="2">
        <v>114</v>
      </c>
      <c r="AR47" s="2">
        <v>159</v>
      </c>
      <c r="AS47" s="2">
        <v>6101</v>
      </c>
      <c r="AT47" s="2">
        <v>3486</v>
      </c>
      <c r="AU47" s="2">
        <v>3414</v>
      </c>
      <c r="AV47" s="2">
        <v>417</v>
      </c>
      <c r="AW47" s="2">
        <v>11</v>
      </c>
      <c r="AX47" s="2">
        <v>92</v>
      </c>
      <c r="AY47" s="2">
        <v>134</v>
      </c>
      <c r="AZ47" s="2">
        <v>164</v>
      </c>
      <c r="BA47" s="2">
        <v>6051</v>
      </c>
    </row>
    <row r="48" spans="1:55">
      <c r="A48" s="2" t="s">
        <v>74</v>
      </c>
      <c r="B48" s="7">
        <v>57988</v>
      </c>
      <c r="C48" s="52">
        <v>58148</v>
      </c>
      <c r="D48" s="66">
        <v>137</v>
      </c>
      <c r="E48" s="66">
        <v>1652</v>
      </c>
      <c r="F48" s="66">
        <v>1899</v>
      </c>
      <c r="G48" s="66">
        <v>14058</v>
      </c>
      <c r="H48" s="66">
        <v>98390</v>
      </c>
      <c r="I48" s="63">
        <v>59397</v>
      </c>
      <c r="J48" s="68">
        <v>59450</v>
      </c>
      <c r="K48" s="64">
        <v>160</v>
      </c>
      <c r="L48" s="8">
        <v>1749</v>
      </c>
      <c r="M48" s="8">
        <v>2046</v>
      </c>
      <c r="N48" s="8">
        <v>14956</v>
      </c>
      <c r="O48" s="8">
        <v>99936</v>
      </c>
      <c r="P48" s="63">
        <v>59687</v>
      </c>
      <c r="Q48" s="68">
        <v>60141</v>
      </c>
      <c r="R48" s="64">
        <v>188</v>
      </c>
      <c r="S48" s="8">
        <v>1835</v>
      </c>
      <c r="T48" s="8">
        <v>2113</v>
      </c>
      <c r="U48" s="8">
        <v>15630</v>
      </c>
      <c r="V48" s="8">
        <v>100117</v>
      </c>
      <c r="W48" s="63">
        <v>60156</v>
      </c>
      <c r="X48" s="68">
        <v>60292</v>
      </c>
      <c r="Y48" s="64">
        <v>165</v>
      </c>
      <c r="Z48" s="8">
        <v>1695</v>
      </c>
      <c r="AA48" s="8">
        <v>2314</v>
      </c>
      <c r="AB48" s="8">
        <v>16574</v>
      </c>
      <c r="AC48" s="51">
        <v>99925</v>
      </c>
      <c r="AD48" s="2">
        <v>62278</v>
      </c>
      <c r="AE48" s="2">
        <v>61951</v>
      </c>
      <c r="AF48" s="2">
        <v>180</v>
      </c>
      <c r="AG48" s="2">
        <v>1846</v>
      </c>
      <c r="AH48" s="2">
        <v>26</v>
      </c>
      <c r="AI48" s="2">
        <v>2790</v>
      </c>
      <c r="AJ48" s="2">
        <v>17199</v>
      </c>
      <c r="AK48" s="2">
        <v>99053</v>
      </c>
      <c r="AL48" s="2">
        <v>61759</v>
      </c>
      <c r="AM48" s="2">
        <v>61376</v>
      </c>
      <c r="AN48" s="2">
        <v>174</v>
      </c>
      <c r="AO48" s="2">
        <v>1965</v>
      </c>
      <c r="AP48" s="2">
        <v>44</v>
      </c>
      <c r="AQ48" s="2">
        <v>3032</v>
      </c>
      <c r="AR48" s="2">
        <v>17080</v>
      </c>
      <c r="AS48" s="2">
        <v>97324</v>
      </c>
      <c r="AT48" s="2">
        <v>61315</v>
      </c>
      <c r="AU48" s="2">
        <v>61176</v>
      </c>
      <c r="AV48" s="2">
        <v>154</v>
      </c>
      <c r="AW48" s="2">
        <v>46</v>
      </c>
      <c r="AX48" s="2">
        <v>2054</v>
      </c>
      <c r="AY48" s="2">
        <v>3286</v>
      </c>
      <c r="AZ48" s="2">
        <v>16229</v>
      </c>
      <c r="BA48" s="2">
        <v>96889</v>
      </c>
    </row>
    <row r="49" spans="1:53">
      <c r="A49" s="2" t="s">
        <v>75</v>
      </c>
      <c r="B49" s="7">
        <v>4177</v>
      </c>
      <c r="C49" s="52">
        <v>4169</v>
      </c>
      <c r="D49" s="127">
        <v>491</v>
      </c>
      <c r="E49" s="127">
        <v>111</v>
      </c>
      <c r="F49" s="127">
        <v>116</v>
      </c>
      <c r="G49" s="127">
        <v>93</v>
      </c>
      <c r="H49" s="127">
        <v>7535</v>
      </c>
      <c r="I49" s="63">
        <v>4288</v>
      </c>
      <c r="J49" s="68">
        <v>4291</v>
      </c>
      <c r="K49" s="64">
        <v>515</v>
      </c>
      <c r="L49" s="8">
        <v>111</v>
      </c>
      <c r="M49" s="8">
        <v>125</v>
      </c>
      <c r="N49" s="8">
        <v>129</v>
      </c>
      <c r="O49" s="8">
        <v>7707</v>
      </c>
      <c r="P49" s="63">
        <v>4058</v>
      </c>
      <c r="Q49" s="68">
        <v>4065</v>
      </c>
      <c r="R49" s="64">
        <v>554</v>
      </c>
      <c r="S49" s="8">
        <v>99</v>
      </c>
      <c r="T49" s="8">
        <v>137</v>
      </c>
      <c r="U49" s="8">
        <v>141</v>
      </c>
      <c r="V49" s="8">
        <v>7192</v>
      </c>
      <c r="W49" s="63">
        <v>4081</v>
      </c>
      <c r="X49" s="68">
        <v>4076</v>
      </c>
      <c r="Y49" s="64">
        <v>477</v>
      </c>
      <c r="Z49" s="8">
        <v>92</v>
      </c>
      <c r="AA49" s="8">
        <v>152</v>
      </c>
      <c r="AB49" s="8">
        <v>145</v>
      </c>
      <c r="AC49" s="51">
        <v>7296</v>
      </c>
      <c r="AD49" s="2">
        <v>4168</v>
      </c>
      <c r="AE49" s="2">
        <v>4080</v>
      </c>
      <c r="AF49" s="2">
        <v>476</v>
      </c>
      <c r="AG49" s="2">
        <v>95</v>
      </c>
      <c r="AH49" s="2">
        <v>7</v>
      </c>
      <c r="AI49" s="2">
        <v>175</v>
      </c>
      <c r="AJ49" s="2">
        <v>156</v>
      </c>
      <c r="AK49" s="2">
        <v>7287</v>
      </c>
      <c r="AL49" s="2">
        <v>4200</v>
      </c>
      <c r="AM49" s="2">
        <v>3996</v>
      </c>
      <c r="AN49" s="2">
        <v>476</v>
      </c>
      <c r="AO49" s="2">
        <v>141</v>
      </c>
      <c r="AP49" s="2">
        <v>10</v>
      </c>
      <c r="AQ49" s="2">
        <v>196</v>
      </c>
      <c r="AR49" s="2">
        <v>187</v>
      </c>
      <c r="AS49" s="2">
        <v>7123</v>
      </c>
      <c r="AT49" s="2">
        <v>4147</v>
      </c>
      <c r="AU49" s="2">
        <v>4092</v>
      </c>
      <c r="AV49" s="2">
        <v>543</v>
      </c>
      <c r="AW49" s="2">
        <v>5</v>
      </c>
      <c r="AX49" s="2">
        <v>144</v>
      </c>
      <c r="AY49" s="2">
        <v>229</v>
      </c>
      <c r="AZ49" s="2">
        <v>209</v>
      </c>
      <c r="BA49" s="2">
        <v>7025</v>
      </c>
    </row>
    <row r="50" spans="1:53">
      <c r="A50" s="6" t="s">
        <v>76</v>
      </c>
      <c r="B50" s="126">
        <v>31924</v>
      </c>
      <c r="C50" s="55">
        <v>32044</v>
      </c>
      <c r="D50" s="65">
        <v>776</v>
      </c>
      <c r="E50" s="65">
        <v>2202</v>
      </c>
      <c r="F50" s="65">
        <v>2580</v>
      </c>
      <c r="G50" s="65">
        <v>4332</v>
      </c>
      <c r="H50" s="65">
        <v>54078</v>
      </c>
      <c r="I50" s="71">
        <v>32261</v>
      </c>
      <c r="J50" s="72">
        <v>32922</v>
      </c>
      <c r="K50" s="67">
        <v>800</v>
      </c>
      <c r="L50" s="24">
        <v>2428</v>
      </c>
      <c r="M50" s="24">
        <v>2840</v>
      </c>
      <c r="N50" s="24">
        <v>4827</v>
      </c>
      <c r="O50" s="24">
        <v>54288</v>
      </c>
      <c r="P50" s="71">
        <v>32919</v>
      </c>
      <c r="Q50" s="72">
        <v>32491</v>
      </c>
      <c r="R50" s="67">
        <v>848</v>
      </c>
      <c r="S50" s="24">
        <v>2533</v>
      </c>
      <c r="T50" s="24">
        <v>3122</v>
      </c>
      <c r="U50" s="24">
        <v>4920</v>
      </c>
      <c r="V50" s="24">
        <v>53987</v>
      </c>
      <c r="W50" s="71">
        <v>32540</v>
      </c>
      <c r="X50" s="72">
        <v>32147</v>
      </c>
      <c r="Y50" s="67">
        <v>893</v>
      </c>
      <c r="Z50" s="24">
        <v>2261</v>
      </c>
      <c r="AA50" s="24">
        <v>3364</v>
      </c>
      <c r="AB50" s="24">
        <v>5050</v>
      </c>
      <c r="AC50" s="404">
        <v>53119</v>
      </c>
      <c r="AD50" s="2">
        <v>32236</v>
      </c>
      <c r="AE50" s="2">
        <v>31899</v>
      </c>
      <c r="AF50" s="2">
        <v>789</v>
      </c>
      <c r="AG50" s="2">
        <v>2399</v>
      </c>
      <c r="AH50" s="2">
        <v>34</v>
      </c>
      <c r="AI50" s="2">
        <v>3756</v>
      </c>
      <c r="AJ50" s="2">
        <v>5098</v>
      </c>
      <c r="AK50" s="2">
        <v>51446</v>
      </c>
      <c r="AL50" s="2">
        <v>31468</v>
      </c>
      <c r="AM50" s="2">
        <v>31237</v>
      </c>
      <c r="AN50" s="2">
        <v>769</v>
      </c>
      <c r="AO50" s="2">
        <v>2241</v>
      </c>
      <c r="AP50" s="2">
        <v>47</v>
      </c>
      <c r="AQ50" s="2">
        <v>3952</v>
      </c>
      <c r="AR50" s="2">
        <v>4752</v>
      </c>
      <c r="AS50" s="2">
        <v>50234</v>
      </c>
      <c r="AT50" s="2">
        <v>30832</v>
      </c>
      <c r="AU50" s="2">
        <v>30593</v>
      </c>
      <c r="AV50" s="2">
        <v>682</v>
      </c>
      <c r="AW50" s="2">
        <v>29</v>
      </c>
      <c r="AX50" s="2">
        <v>2268</v>
      </c>
      <c r="AY50" s="2">
        <v>4155</v>
      </c>
      <c r="AZ50" s="2">
        <v>4754</v>
      </c>
      <c r="BA50" s="2">
        <v>48675</v>
      </c>
    </row>
    <row r="51" spans="1:53">
      <c r="A51" s="3" t="s">
        <v>77</v>
      </c>
      <c r="B51" s="130">
        <f>SUM(B53:B61)</f>
        <v>263823</v>
      </c>
      <c r="C51" s="131">
        <f t="shared" ref="C51:BA51" si="18">SUM(C53:C61)</f>
        <v>270465</v>
      </c>
      <c r="D51" s="95">
        <f t="shared" si="18"/>
        <v>818</v>
      </c>
      <c r="E51" s="95">
        <f t="shared" si="18"/>
        <v>15482</v>
      </c>
      <c r="F51" s="95">
        <f t="shared" si="18"/>
        <v>30969</v>
      </c>
      <c r="G51" s="95">
        <f t="shared" si="18"/>
        <v>40800</v>
      </c>
      <c r="H51" s="95">
        <f t="shared" si="18"/>
        <v>278592</v>
      </c>
      <c r="I51" s="96">
        <f t="shared" si="18"/>
        <v>264955</v>
      </c>
      <c r="J51" s="133">
        <f t="shared" si="18"/>
        <v>270416</v>
      </c>
      <c r="K51" s="134">
        <f t="shared" si="18"/>
        <v>1451</v>
      </c>
      <c r="L51" s="136">
        <f t="shared" si="18"/>
        <v>29943</v>
      </c>
      <c r="M51" s="136">
        <f t="shared" si="18"/>
        <v>60104</v>
      </c>
      <c r="N51" s="136">
        <f t="shared" si="18"/>
        <v>71225</v>
      </c>
      <c r="O51" s="135">
        <f t="shared" si="18"/>
        <v>387309</v>
      </c>
      <c r="P51" s="96">
        <f t="shared" si="18"/>
        <v>269081</v>
      </c>
      <c r="Q51" s="133">
        <f t="shared" si="18"/>
        <v>274642</v>
      </c>
      <c r="R51" s="134">
        <f t="shared" si="18"/>
        <v>1429</v>
      </c>
      <c r="S51" s="136">
        <f t="shared" si="18"/>
        <v>31005</v>
      </c>
      <c r="T51" s="136">
        <f t="shared" si="18"/>
        <v>63567</v>
      </c>
      <c r="U51" s="136">
        <f t="shared" si="18"/>
        <v>73114</v>
      </c>
      <c r="V51" s="135">
        <f t="shared" si="18"/>
        <v>381909</v>
      </c>
      <c r="W51" s="96">
        <f t="shared" si="18"/>
        <v>275678.39470372914</v>
      </c>
      <c r="X51" s="133">
        <f t="shared" si="18"/>
        <v>277826.63234957674</v>
      </c>
      <c r="Y51" s="134">
        <f t="shared" si="18"/>
        <v>1603</v>
      </c>
      <c r="Z51" s="136">
        <f t="shared" si="18"/>
        <v>32043</v>
      </c>
      <c r="AA51" s="136">
        <f t="shared" si="18"/>
        <v>66644</v>
      </c>
      <c r="AB51" s="136">
        <f t="shared" si="18"/>
        <v>75118</v>
      </c>
      <c r="AC51" s="403">
        <f t="shared" si="18"/>
        <v>378243</v>
      </c>
      <c r="AD51" s="403">
        <f t="shared" si="18"/>
        <v>277310</v>
      </c>
      <c r="AE51" s="403">
        <f t="shared" si="18"/>
        <v>279301</v>
      </c>
      <c r="AF51" s="403">
        <f t="shared" si="18"/>
        <v>1768</v>
      </c>
      <c r="AG51" s="403">
        <f t="shared" si="18"/>
        <v>32527</v>
      </c>
      <c r="AH51" s="403">
        <f t="shared" si="18"/>
        <v>549</v>
      </c>
      <c r="AI51" s="403">
        <f t="shared" si="18"/>
        <v>70506</v>
      </c>
      <c r="AJ51" s="403">
        <f t="shared" si="18"/>
        <v>75515</v>
      </c>
      <c r="AK51" s="403">
        <f t="shared" si="18"/>
        <v>372460</v>
      </c>
      <c r="AL51" s="403">
        <f t="shared" si="18"/>
        <v>276533</v>
      </c>
      <c r="AM51" s="403">
        <f t="shared" si="18"/>
        <v>278172</v>
      </c>
      <c r="AN51" s="403">
        <f t="shared" si="18"/>
        <v>1653</v>
      </c>
      <c r="AO51" s="403">
        <f t="shared" si="18"/>
        <v>34141</v>
      </c>
      <c r="AP51" s="403">
        <f t="shared" si="18"/>
        <v>552</v>
      </c>
      <c r="AQ51" s="403">
        <f t="shared" si="18"/>
        <v>72551</v>
      </c>
      <c r="AR51" s="403">
        <f t="shared" si="18"/>
        <v>75059</v>
      </c>
      <c r="AS51" s="403">
        <f t="shared" si="18"/>
        <v>366622</v>
      </c>
      <c r="AT51" s="403">
        <f t="shared" si="18"/>
        <v>276915</v>
      </c>
      <c r="AU51" s="403">
        <f t="shared" si="18"/>
        <v>278287</v>
      </c>
      <c r="AV51" s="403">
        <f t="shared" si="18"/>
        <v>1531</v>
      </c>
      <c r="AW51" s="403">
        <f t="shared" si="18"/>
        <v>702</v>
      </c>
      <c r="AX51" s="403">
        <f t="shared" si="18"/>
        <v>35689</v>
      </c>
      <c r="AY51" s="403">
        <f t="shared" si="18"/>
        <v>76199</v>
      </c>
      <c r="AZ51" s="403">
        <f t="shared" si="18"/>
        <v>74867</v>
      </c>
      <c r="BA51" s="403">
        <f t="shared" si="18"/>
        <v>361241</v>
      </c>
    </row>
    <row r="52" spans="1:53">
      <c r="A52" s="3" t="s">
        <v>129</v>
      </c>
      <c r="B52" s="56"/>
      <c r="C52" s="53"/>
      <c r="D52" s="66"/>
      <c r="E52" s="66"/>
      <c r="F52" s="66"/>
      <c r="G52" s="66"/>
      <c r="H52" s="66"/>
      <c r="I52" s="63"/>
      <c r="J52" s="68"/>
      <c r="K52" s="64"/>
      <c r="P52" s="292"/>
      <c r="Q52" s="292"/>
      <c r="R52" s="64"/>
      <c r="W52" s="63"/>
      <c r="X52" s="68"/>
      <c r="Y52" s="64"/>
      <c r="AC52" s="51"/>
    </row>
    <row r="53" spans="1:53">
      <c r="A53" s="2" t="s">
        <v>78</v>
      </c>
      <c r="B53" s="7">
        <v>18555</v>
      </c>
      <c r="C53" s="52">
        <v>18986</v>
      </c>
      <c r="D53" s="66">
        <v>102</v>
      </c>
      <c r="E53" s="66">
        <v>1227</v>
      </c>
      <c r="F53" s="66">
        <v>4139</v>
      </c>
      <c r="G53" s="66">
        <v>4689</v>
      </c>
      <c r="H53" s="66">
        <v>27384</v>
      </c>
      <c r="I53" s="63">
        <v>19135</v>
      </c>
      <c r="J53" s="68">
        <v>19284</v>
      </c>
      <c r="K53" s="64">
        <v>104</v>
      </c>
      <c r="L53" s="8">
        <v>1307</v>
      </c>
      <c r="M53" s="8">
        <v>4451</v>
      </c>
      <c r="N53" s="8">
        <v>4775</v>
      </c>
      <c r="O53" s="8">
        <v>27782</v>
      </c>
      <c r="P53" s="63">
        <v>17270</v>
      </c>
      <c r="Q53" s="68">
        <v>17696</v>
      </c>
      <c r="R53" s="64">
        <v>77</v>
      </c>
      <c r="S53" s="8">
        <v>1248</v>
      </c>
      <c r="T53" s="8">
        <v>3861</v>
      </c>
      <c r="U53" s="8">
        <v>4221</v>
      </c>
      <c r="V53" s="8">
        <v>25561</v>
      </c>
      <c r="W53" s="96">
        <v>17036.394703729122</v>
      </c>
      <c r="X53" s="133">
        <v>17456.632349576754</v>
      </c>
      <c r="Y53" s="64">
        <v>95</v>
      </c>
      <c r="Z53" s="8">
        <v>1324</v>
      </c>
      <c r="AA53" s="8">
        <v>4063</v>
      </c>
      <c r="AB53" s="8">
        <v>4226</v>
      </c>
      <c r="AC53" s="51">
        <v>24787</v>
      </c>
      <c r="AD53" s="2">
        <v>19411</v>
      </c>
      <c r="AE53" s="2">
        <v>19443</v>
      </c>
      <c r="AF53" s="2">
        <v>168</v>
      </c>
      <c r="AG53" s="2">
        <v>1395</v>
      </c>
      <c r="AH53" s="2">
        <v>17</v>
      </c>
      <c r="AI53" s="2">
        <v>5301</v>
      </c>
      <c r="AJ53" s="2">
        <v>4884</v>
      </c>
      <c r="AK53" s="2">
        <v>26819</v>
      </c>
      <c r="AL53" s="2">
        <v>19171</v>
      </c>
      <c r="AM53" s="2">
        <v>19510</v>
      </c>
      <c r="AN53" s="2">
        <v>213</v>
      </c>
      <c r="AO53" s="2">
        <v>1495</v>
      </c>
      <c r="AP53" s="2">
        <v>21</v>
      </c>
      <c r="AQ53" s="2">
        <v>5507</v>
      </c>
      <c r="AR53" s="2">
        <v>4713</v>
      </c>
      <c r="AS53" s="2">
        <v>26337</v>
      </c>
      <c r="AT53" s="2">
        <v>19435</v>
      </c>
      <c r="AU53" s="2">
        <v>19287</v>
      </c>
      <c r="AV53" s="2">
        <v>142</v>
      </c>
      <c r="AW53" s="2">
        <v>65</v>
      </c>
      <c r="AX53" s="2">
        <v>1642</v>
      </c>
      <c r="AY53" s="2">
        <v>5838</v>
      </c>
      <c r="AZ53" s="2">
        <v>4758</v>
      </c>
      <c r="BA53" s="2">
        <v>25828</v>
      </c>
    </row>
    <row r="54" spans="1:53">
      <c r="A54" s="2" t="s">
        <v>79</v>
      </c>
      <c r="B54" s="7">
        <v>6563</v>
      </c>
      <c r="C54" s="52">
        <v>6588</v>
      </c>
      <c r="D54" s="66">
        <v>76</v>
      </c>
      <c r="E54" s="66">
        <v>184</v>
      </c>
      <c r="F54" s="66">
        <v>103</v>
      </c>
      <c r="G54" s="66">
        <v>227</v>
      </c>
      <c r="H54" s="66">
        <v>12561</v>
      </c>
      <c r="I54" s="63" t="s">
        <v>503</v>
      </c>
      <c r="J54" s="68" t="s">
        <v>503</v>
      </c>
      <c r="K54" s="64">
        <v>73</v>
      </c>
      <c r="L54" s="8">
        <v>234</v>
      </c>
      <c r="M54" s="8">
        <v>129</v>
      </c>
      <c r="N54" s="8">
        <v>285</v>
      </c>
      <c r="O54" s="8">
        <v>13629</v>
      </c>
      <c r="P54" s="63">
        <v>6403</v>
      </c>
      <c r="Q54" s="68">
        <v>6390</v>
      </c>
      <c r="R54" s="64">
        <v>90</v>
      </c>
      <c r="S54" s="8">
        <v>216</v>
      </c>
      <c r="T54" s="8">
        <v>116</v>
      </c>
      <c r="U54" s="8">
        <v>274</v>
      </c>
      <c r="V54" s="8">
        <v>13397</v>
      </c>
      <c r="W54" s="63">
        <v>6577</v>
      </c>
      <c r="X54" s="66">
        <v>6258</v>
      </c>
      <c r="Y54" s="64">
        <v>100</v>
      </c>
      <c r="Z54" s="8">
        <v>217</v>
      </c>
      <c r="AA54" s="8">
        <v>146</v>
      </c>
      <c r="AB54" s="8">
        <v>290</v>
      </c>
      <c r="AC54" s="51">
        <v>13316</v>
      </c>
      <c r="AD54" s="2">
        <v>6898</v>
      </c>
      <c r="AE54" s="2">
        <v>6755</v>
      </c>
      <c r="AF54" s="2">
        <v>102</v>
      </c>
      <c r="AG54" s="2">
        <v>188</v>
      </c>
      <c r="AH54" s="2">
        <v>8</v>
      </c>
      <c r="AI54" s="2">
        <v>189</v>
      </c>
      <c r="AJ54" s="2">
        <v>279</v>
      </c>
      <c r="AK54" s="2">
        <v>12805</v>
      </c>
      <c r="AL54" s="2">
        <v>6934</v>
      </c>
      <c r="AM54" s="2">
        <v>6539</v>
      </c>
      <c r="AN54" s="2">
        <v>82</v>
      </c>
      <c r="AO54" s="2">
        <v>243</v>
      </c>
      <c r="AP54" s="2">
        <v>14</v>
      </c>
      <c r="AQ54" s="2">
        <v>153</v>
      </c>
      <c r="AR54" s="2">
        <v>315</v>
      </c>
      <c r="AS54" s="2">
        <v>12613</v>
      </c>
      <c r="AT54" s="2">
        <v>6660</v>
      </c>
      <c r="AU54" s="2">
        <v>6510</v>
      </c>
      <c r="AV54" s="2">
        <v>92</v>
      </c>
      <c r="AW54" s="2">
        <v>10</v>
      </c>
      <c r="AX54" s="2">
        <v>284</v>
      </c>
      <c r="AY54" s="2">
        <v>191</v>
      </c>
      <c r="AZ54" s="2">
        <v>319</v>
      </c>
      <c r="BA54" s="2">
        <v>12175</v>
      </c>
    </row>
    <row r="55" spans="1:53">
      <c r="A55" s="74" t="s">
        <v>80</v>
      </c>
      <c r="B55" s="7">
        <v>31188</v>
      </c>
      <c r="C55" s="52">
        <v>31953</v>
      </c>
      <c r="D55" s="66">
        <v>141</v>
      </c>
      <c r="E55" s="66">
        <v>3004</v>
      </c>
      <c r="F55" s="66">
        <v>5918</v>
      </c>
      <c r="G55" s="66">
        <v>4791</v>
      </c>
      <c r="H55" s="66">
        <v>49287</v>
      </c>
      <c r="I55" s="63">
        <v>31864</v>
      </c>
      <c r="J55" s="68">
        <v>32473</v>
      </c>
      <c r="K55" s="64">
        <v>161</v>
      </c>
      <c r="L55" s="8">
        <v>3072</v>
      </c>
      <c r="M55" s="8">
        <v>6377</v>
      </c>
      <c r="N55" s="8">
        <v>5161</v>
      </c>
      <c r="O55" s="8">
        <v>49566</v>
      </c>
      <c r="P55" s="63">
        <v>32388</v>
      </c>
      <c r="Q55" s="68">
        <v>32870</v>
      </c>
      <c r="R55" s="64">
        <v>171</v>
      </c>
      <c r="S55" s="8">
        <v>3279</v>
      </c>
      <c r="T55" s="8">
        <v>6972</v>
      </c>
      <c r="U55" s="8">
        <v>5240</v>
      </c>
      <c r="V55" s="8">
        <v>48694</v>
      </c>
      <c r="W55" s="63">
        <v>31956</v>
      </c>
      <c r="X55" s="66">
        <v>32506</v>
      </c>
      <c r="Y55" s="64">
        <v>179</v>
      </c>
      <c r="Z55" s="8">
        <v>3314</v>
      </c>
      <c r="AA55" s="8">
        <v>6979</v>
      </c>
      <c r="AB55" s="8">
        <v>5133</v>
      </c>
      <c r="AC55" s="51">
        <v>47891</v>
      </c>
      <c r="AD55" s="2">
        <v>32284</v>
      </c>
      <c r="AE55" s="2">
        <v>32440</v>
      </c>
      <c r="AF55" s="2">
        <v>155</v>
      </c>
      <c r="AG55" s="2">
        <v>3226</v>
      </c>
      <c r="AH55" s="2">
        <v>70</v>
      </c>
      <c r="AI55" s="2">
        <v>7184</v>
      </c>
      <c r="AJ55" s="2">
        <v>5290</v>
      </c>
      <c r="AK55" s="2">
        <v>47771</v>
      </c>
      <c r="AL55" s="2">
        <v>32545</v>
      </c>
      <c r="AM55" s="2">
        <v>32612</v>
      </c>
      <c r="AN55" s="2">
        <v>150</v>
      </c>
      <c r="AO55" s="2">
        <v>3476</v>
      </c>
      <c r="AP55" s="2">
        <v>63</v>
      </c>
      <c r="AQ55" s="2">
        <v>7421</v>
      </c>
      <c r="AR55" s="2">
        <v>5484</v>
      </c>
      <c r="AS55" s="2">
        <v>47432</v>
      </c>
      <c r="AT55" s="2">
        <v>33048</v>
      </c>
      <c r="AU55" s="2">
        <v>33312</v>
      </c>
      <c r="AV55" s="2">
        <v>153</v>
      </c>
      <c r="AW55" s="2">
        <v>74</v>
      </c>
      <c r="AX55" s="2">
        <v>3800</v>
      </c>
      <c r="AY55" s="2">
        <v>7941</v>
      </c>
      <c r="AZ55" s="2">
        <v>5870</v>
      </c>
      <c r="BA55" s="2">
        <v>47254</v>
      </c>
    </row>
    <row r="56" spans="1:53">
      <c r="A56" s="2" t="s">
        <v>81</v>
      </c>
      <c r="B56" s="7">
        <v>7079</v>
      </c>
      <c r="C56" s="7">
        <v>7373</v>
      </c>
      <c r="D56" s="66">
        <v>31</v>
      </c>
      <c r="E56" s="66">
        <v>237</v>
      </c>
      <c r="F56" s="66">
        <v>188</v>
      </c>
      <c r="G56" s="66">
        <v>257</v>
      </c>
      <c r="H56" s="66">
        <v>13739</v>
      </c>
      <c r="I56" s="66">
        <v>7515</v>
      </c>
      <c r="J56" s="66">
        <v>7467</v>
      </c>
      <c r="K56" s="2">
        <v>30</v>
      </c>
      <c r="L56" s="8">
        <v>257</v>
      </c>
      <c r="M56" s="8">
        <v>201</v>
      </c>
      <c r="N56" s="8">
        <v>320</v>
      </c>
      <c r="O56" s="8">
        <v>14174</v>
      </c>
      <c r="P56" s="66">
        <v>7434</v>
      </c>
      <c r="Q56" s="66">
        <v>7323</v>
      </c>
      <c r="R56" s="2">
        <v>38</v>
      </c>
      <c r="S56" s="8">
        <v>276</v>
      </c>
      <c r="T56" s="8">
        <v>192</v>
      </c>
      <c r="U56" s="8">
        <v>359</v>
      </c>
      <c r="V56" s="8">
        <v>13892</v>
      </c>
      <c r="W56" s="63">
        <v>7436</v>
      </c>
      <c r="X56" s="66">
        <v>7598</v>
      </c>
      <c r="Y56" s="64">
        <v>35</v>
      </c>
      <c r="Z56" s="8">
        <v>260</v>
      </c>
      <c r="AA56" s="8">
        <v>392</v>
      </c>
      <c r="AB56" s="8">
        <v>205</v>
      </c>
      <c r="AC56" s="51">
        <v>14086</v>
      </c>
      <c r="AD56" s="2">
        <v>7307</v>
      </c>
      <c r="AE56" s="2">
        <v>7188</v>
      </c>
      <c r="AF56" s="2">
        <v>43</v>
      </c>
      <c r="AG56" s="2">
        <v>307</v>
      </c>
      <c r="AH56" s="2">
        <v>7</v>
      </c>
      <c r="AI56" s="2">
        <v>443</v>
      </c>
      <c r="AJ56" s="2">
        <v>244</v>
      </c>
      <c r="AK56" s="2">
        <v>13382</v>
      </c>
      <c r="AL56" s="2">
        <v>7187</v>
      </c>
      <c r="AM56" s="2">
        <v>7239</v>
      </c>
      <c r="AN56" s="2">
        <v>38</v>
      </c>
      <c r="AO56" s="2">
        <v>344</v>
      </c>
      <c r="AP56" s="2">
        <v>7</v>
      </c>
      <c r="AQ56" s="2">
        <v>471</v>
      </c>
      <c r="AR56" s="2">
        <v>235</v>
      </c>
      <c r="AS56" s="2">
        <v>13221</v>
      </c>
      <c r="AT56" s="2">
        <v>7176</v>
      </c>
      <c r="AU56" s="2">
        <v>7086</v>
      </c>
      <c r="AV56" s="2">
        <v>37</v>
      </c>
      <c r="AW56" s="2">
        <v>9</v>
      </c>
      <c r="AX56" s="2">
        <v>344</v>
      </c>
      <c r="AY56" s="2">
        <v>457</v>
      </c>
      <c r="AZ56" s="2">
        <v>261</v>
      </c>
      <c r="BA56" s="2">
        <v>13022</v>
      </c>
    </row>
    <row r="57" spans="1:53">
      <c r="A57" s="2" t="s">
        <v>82</v>
      </c>
      <c r="B57" s="7">
        <v>46682</v>
      </c>
      <c r="C57" s="7">
        <v>46040</v>
      </c>
      <c r="D57" s="66">
        <v>197</v>
      </c>
      <c r="E57" s="66">
        <v>7243</v>
      </c>
      <c r="F57" s="66">
        <v>13507</v>
      </c>
      <c r="G57" s="66">
        <v>14359</v>
      </c>
      <c r="H57" s="66">
        <v>57416</v>
      </c>
      <c r="I57" s="66">
        <v>47487</v>
      </c>
      <c r="J57" s="66">
        <v>47312</v>
      </c>
      <c r="K57" s="2">
        <v>227</v>
      </c>
      <c r="L57" s="8">
        <v>7501</v>
      </c>
      <c r="M57" s="8">
        <v>14593</v>
      </c>
      <c r="N57" s="8">
        <v>14776</v>
      </c>
      <c r="O57" s="8">
        <v>57702</v>
      </c>
      <c r="P57" s="66">
        <v>47721</v>
      </c>
      <c r="Q57" s="66">
        <v>47364</v>
      </c>
      <c r="R57" s="2">
        <v>136</v>
      </c>
      <c r="S57" s="8">
        <v>7776</v>
      </c>
      <c r="T57" s="8">
        <v>14808</v>
      </c>
      <c r="U57" s="8">
        <v>15220</v>
      </c>
      <c r="V57" s="8">
        <v>56875</v>
      </c>
      <c r="W57" s="63">
        <v>48796</v>
      </c>
      <c r="X57" s="66">
        <v>47429</v>
      </c>
      <c r="Y57" s="64">
        <v>176</v>
      </c>
      <c r="Z57" s="8">
        <v>7811</v>
      </c>
      <c r="AA57" s="8">
        <v>15456</v>
      </c>
      <c r="AB57" s="8">
        <v>14918</v>
      </c>
      <c r="AC57" s="51">
        <v>57186</v>
      </c>
      <c r="AD57" s="2">
        <v>47295</v>
      </c>
      <c r="AE57" s="2">
        <v>47891</v>
      </c>
      <c r="AF57" s="2">
        <v>300</v>
      </c>
      <c r="AG57" s="2">
        <v>7928</v>
      </c>
      <c r="AH57" s="2">
        <v>171</v>
      </c>
      <c r="AI57" s="2">
        <v>15779</v>
      </c>
      <c r="AJ57" s="2">
        <v>14589</v>
      </c>
      <c r="AK57" s="2">
        <v>56149</v>
      </c>
      <c r="AL57" s="2">
        <v>46675</v>
      </c>
      <c r="AM57" s="2">
        <v>47144</v>
      </c>
      <c r="AN57" s="2">
        <v>140</v>
      </c>
      <c r="AO57" s="2">
        <v>8164</v>
      </c>
      <c r="AP57" s="2">
        <v>161</v>
      </c>
      <c r="AQ57" s="2">
        <v>16092</v>
      </c>
      <c r="AR57" s="2">
        <v>14496</v>
      </c>
      <c r="AS57" s="2">
        <v>54429</v>
      </c>
      <c r="AT57" s="2">
        <v>48698</v>
      </c>
      <c r="AU57" s="2">
        <v>47792</v>
      </c>
      <c r="AV57" s="2">
        <v>111</v>
      </c>
      <c r="AW57" s="2">
        <v>233</v>
      </c>
      <c r="AX57" s="2">
        <v>8555</v>
      </c>
      <c r="AY57" s="2">
        <v>17711</v>
      </c>
      <c r="AZ57" s="2">
        <v>14930</v>
      </c>
      <c r="BA57" s="2">
        <v>54591</v>
      </c>
    </row>
    <row r="58" spans="1:53">
      <c r="A58" s="2" t="s">
        <v>83</v>
      </c>
      <c r="B58" s="7">
        <v>81150</v>
      </c>
      <c r="C58" s="7">
        <v>86802</v>
      </c>
      <c r="D58" s="66" t="s">
        <v>47</v>
      </c>
      <c r="E58" s="66" t="s">
        <v>47</v>
      </c>
      <c r="F58" s="66" t="s">
        <v>47</v>
      </c>
      <c r="G58" s="66" t="s">
        <v>47</v>
      </c>
      <c r="H58" s="66" t="s">
        <v>47</v>
      </c>
      <c r="I58" s="66">
        <v>85887</v>
      </c>
      <c r="J58" s="66">
        <v>90163</v>
      </c>
      <c r="K58" s="2">
        <v>599</v>
      </c>
      <c r="L58" s="8">
        <v>13720</v>
      </c>
      <c r="M58" s="8">
        <v>26698</v>
      </c>
      <c r="N58" s="8">
        <v>28814</v>
      </c>
      <c r="O58" s="8">
        <v>106219</v>
      </c>
      <c r="P58" s="66">
        <v>88242</v>
      </c>
      <c r="Q58" s="66">
        <v>92352</v>
      </c>
      <c r="R58" s="2">
        <v>646</v>
      </c>
      <c r="S58" s="8">
        <v>14346</v>
      </c>
      <c r="T58" s="8">
        <v>29529</v>
      </c>
      <c r="U58" s="8">
        <v>30441</v>
      </c>
      <c r="V58" s="8">
        <v>105632</v>
      </c>
      <c r="W58" s="63">
        <v>90295</v>
      </c>
      <c r="X58" s="66">
        <v>93122</v>
      </c>
      <c r="Y58" s="64">
        <v>727</v>
      </c>
      <c r="Z58" s="8">
        <v>15058</v>
      </c>
      <c r="AA58" s="8">
        <v>30909</v>
      </c>
      <c r="AB58" s="8">
        <v>31609</v>
      </c>
      <c r="AC58" s="51">
        <v>105114</v>
      </c>
      <c r="AD58" s="2">
        <v>90843</v>
      </c>
      <c r="AE58" s="2">
        <v>91916</v>
      </c>
      <c r="AF58" s="2">
        <v>751</v>
      </c>
      <c r="AG58" s="2">
        <v>15315</v>
      </c>
      <c r="AH58" s="2">
        <v>175</v>
      </c>
      <c r="AI58" s="2">
        <v>32147</v>
      </c>
      <c r="AJ58" s="2">
        <v>31525</v>
      </c>
      <c r="AK58" s="2">
        <v>102344</v>
      </c>
      <c r="AL58" s="2">
        <v>89487</v>
      </c>
      <c r="AM58" s="2">
        <v>91319</v>
      </c>
      <c r="AN58" s="2">
        <v>761</v>
      </c>
      <c r="AO58" s="2">
        <v>15965</v>
      </c>
      <c r="AP58" s="2">
        <v>181</v>
      </c>
      <c r="AQ58" s="2">
        <v>32692</v>
      </c>
      <c r="AR58" s="2">
        <v>30597</v>
      </c>
      <c r="AS58" s="2">
        <v>99959</v>
      </c>
      <c r="AT58" s="2">
        <v>88740</v>
      </c>
      <c r="AU58" s="2">
        <v>91611</v>
      </c>
      <c r="AV58" s="2">
        <v>785</v>
      </c>
      <c r="AW58" s="2">
        <v>201</v>
      </c>
      <c r="AX58" s="2">
        <v>16295</v>
      </c>
      <c r="AY58" s="2">
        <v>33532</v>
      </c>
      <c r="AZ58" s="2">
        <v>30059</v>
      </c>
      <c r="BA58" s="2">
        <v>98641</v>
      </c>
    </row>
    <row r="59" spans="1:53">
      <c r="A59" s="2" t="s">
        <v>84</v>
      </c>
      <c r="B59" s="7">
        <v>64336</v>
      </c>
      <c r="C59" s="7">
        <v>64267</v>
      </c>
      <c r="D59" s="66">
        <v>132</v>
      </c>
      <c r="E59" s="66">
        <v>3173</v>
      </c>
      <c r="F59" s="66">
        <v>5566</v>
      </c>
      <c r="G59" s="66">
        <v>15515</v>
      </c>
      <c r="H59" s="66">
        <v>104217</v>
      </c>
      <c r="I59" s="66">
        <v>64725</v>
      </c>
      <c r="J59" s="66">
        <v>65304</v>
      </c>
      <c r="K59" s="2">
        <v>146</v>
      </c>
      <c r="L59" s="8">
        <v>3439</v>
      </c>
      <c r="M59" s="8">
        <v>5978</v>
      </c>
      <c r="N59" s="8">
        <v>16111</v>
      </c>
      <c r="O59" s="8">
        <v>104355</v>
      </c>
      <c r="P59" s="66">
        <v>64759</v>
      </c>
      <c r="Q59" s="66">
        <v>65483</v>
      </c>
      <c r="R59" s="2">
        <v>169</v>
      </c>
      <c r="S59" s="8">
        <v>3428</v>
      </c>
      <c r="T59" s="8">
        <v>6509</v>
      </c>
      <c r="U59" s="8">
        <v>16424</v>
      </c>
      <c r="V59" s="8">
        <v>103712</v>
      </c>
      <c r="W59" s="63">
        <v>65393</v>
      </c>
      <c r="X59" s="66">
        <v>65200</v>
      </c>
      <c r="Y59" s="64">
        <v>198</v>
      </c>
      <c r="Z59" s="8">
        <v>3530</v>
      </c>
      <c r="AA59" s="8">
        <v>7055</v>
      </c>
      <c r="AB59" s="8">
        <v>17753</v>
      </c>
      <c r="AC59" s="51">
        <v>102057</v>
      </c>
      <c r="AD59" s="2">
        <v>65111</v>
      </c>
      <c r="AE59" s="2">
        <v>65173</v>
      </c>
      <c r="AF59" s="2">
        <v>175</v>
      </c>
      <c r="AG59" s="2">
        <v>3723</v>
      </c>
      <c r="AH59" s="2">
        <v>64</v>
      </c>
      <c r="AI59" s="2">
        <v>7682</v>
      </c>
      <c r="AJ59" s="2">
        <v>17764</v>
      </c>
      <c r="AK59" s="2">
        <v>100050</v>
      </c>
      <c r="AL59" s="2">
        <v>66271</v>
      </c>
      <c r="AM59" s="2">
        <v>65462</v>
      </c>
      <c r="AN59" s="2">
        <v>201</v>
      </c>
      <c r="AO59" s="2">
        <v>4016</v>
      </c>
      <c r="AP59" s="2">
        <v>76</v>
      </c>
      <c r="AQ59" s="2">
        <v>8403</v>
      </c>
      <c r="AR59" s="2">
        <v>18305</v>
      </c>
      <c r="AS59" s="2">
        <v>99570</v>
      </c>
      <c r="AT59" s="2">
        <v>65092</v>
      </c>
      <c r="AU59" s="2">
        <v>64685</v>
      </c>
      <c r="AV59" s="2">
        <v>163</v>
      </c>
      <c r="AW59" s="2">
        <v>85</v>
      </c>
      <c r="AX59" s="2">
        <v>4344</v>
      </c>
      <c r="AY59" s="2">
        <v>8706</v>
      </c>
      <c r="AZ59" s="2">
        <v>17765</v>
      </c>
      <c r="BA59" s="2">
        <v>97199</v>
      </c>
    </row>
    <row r="60" spans="1:53">
      <c r="A60" s="2" t="s">
        <v>85</v>
      </c>
      <c r="B60" s="7">
        <v>5077</v>
      </c>
      <c r="C60" s="7">
        <v>5307</v>
      </c>
      <c r="D60" s="127">
        <v>43</v>
      </c>
      <c r="E60" s="127">
        <v>322</v>
      </c>
      <c r="F60" s="127">
        <v>1485</v>
      </c>
      <c r="G60" s="127">
        <v>871</v>
      </c>
      <c r="H60" s="127">
        <v>7663</v>
      </c>
      <c r="I60" s="66">
        <v>5065</v>
      </c>
      <c r="J60" s="66">
        <v>5282</v>
      </c>
      <c r="K60" s="2">
        <v>64</v>
      </c>
      <c r="L60" s="8">
        <v>314</v>
      </c>
      <c r="M60" s="8">
        <v>1605</v>
      </c>
      <c r="N60" s="8">
        <v>890</v>
      </c>
      <c r="O60" s="8">
        <v>7474</v>
      </c>
      <c r="P60" s="66">
        <v>4864</v>
      </c>
      <c r="Q60" s="66">
        <v>5164</v>
      </c>
      <c r="R60" s="2">
        <v>63</v>
      </c>
      <c r="S60" s="8">
        <v>286</v>
      </c>
      <c r="T60" s="8">
        <v>1519</v>
      </c>
      <c r="U60" s="8">
        <v>836</v>
      </c>
      <c r="V60" s="8">
        <v>7324</v>
      </c>
      <c r="W60" s="63">
        <v>4883</v>
      </c>
      <c r="X60" s="66">
        <v>5025</v>
      </c>
      <c r="Y60" s="64">
        <v>61</v>
      </c>
      <c r="Z60" s="8">
        <v>337</v>
      </c>
      <c r="AA60" s="8">
        <v>1563</v>
      </c>
      <c r="AB60" s="8">
        <v>865</v>
      </c>
      <c r="AC60" s="51">
        <v>7082</v>
      </c>
      <c r="AD60" s="2">
        <v>4643</v>
      </c>
      <c r="AE60" s="2">
        <v>5081</v>
      </c>
      <c r="AF60" s="2">
        <v>51</v>
      </c>
      <c r="AG60" s="2">
        <v>249</v>
      </c>
      <c r="AH60" s="2">
        <v>28</v>
      </c>
      <c r="AI60" s="2">
        <v>1685</v>
      </c>
      <c r="AJ60" s="2">
        <v>813</v>
      </c>
      <c r="AK60" s="2">
        <v>6762</v>
      </c>
      <c r="AL60" s="2">
        <v>4800</v>
      </c>
      <c r="AM60" s="2">
        <v>4951</v>
      </c>
      <c r="AN60" s="2">
        <v>43</v>
      </c>
      <c r="AO60" s="2">
        <v>277</v>
      </c>
      <c r="AP60" s="2">
        <v>24</v>
      </c>
      <c r="AQ60" s="2">
        <v>1719</v>
      </c>
      <c r="AR60" s="2">
        <v>796</v>
      </c>
      <c r="AS60" s="2">
        <v>6737</v>
      </c>
      <c r="AT60" s="2">
        <v>4749</v>
      </c>
      <c r="AU60" s="2">
        <v>4830</v>
      </c>
      <c r="AV60" s="2">
        <v>36</v>
      </c>
      <c r="AW60" s="2">
        <v>16</v>
      </c>
      <c r="AX60" s="2">
        <v>282</v>
      </c>
      <c r="AY60" s="2">
        <v>1740</v>
      </c>
      <c r="AZ60" s="2">
        <v>770</v>
      </c>
      <c r="BA60" s="2">
        <v>6582</v>
      </c>
    </row>
    <row r="61" spans="1:53">
      <c r="A61" s="6" t="s">
        <v>86</v>
      </c>
      <c r="B61" s="126">
        <v>3193</v>
      </c>
      <c r="C61" s="126">
        <v>3149</v>
      </c>
      <c r="D61" s="65">
        <v>96</v>
      </c>
      <c r="E61" s="65">
        <v>92</v>
      </c>
      <c r="F61" s="65">
        <v>63</v>
      </c>
      <c r="G61" s="65">
        <v>91</v>
      </c>
      <c r="H61" s="65">
        <v>6325</v>
      </c>
      <c r="I61" s="65">
        <v>3277</v>
      </c>
      <c r="J61" s="65">
        <v>3131</v>
      </c>
      <c r="K61" s="6">
        <v>47</v>
      </c>
      <c r="L61" s="24">
        <v>99</v>
      </c>
      <c r="M61" s="24">
        <v>72</v>
      </c>
      <c r="N61" s="24">
        <v>93</v>
      </c>
      <c r="O61" s="24">
        <v>6408</v>
      </c>
      <c r="P61" s="65" t="s">
        <v>47</v>
      </c>
      <c r="Q61" s="65" t="s">
        <v>47</v>
      </c>
      <c r="R61" s="6">
        <v>39</v>
      </c>
      <c r="S61" s="24">
        <v>150</v>
      </c>
      <c r="T61" s="24">
        <v>61</v>
      </c>
      <c r="U61" s="24">
        <v>99</v>
      </c>
      <c r="V61" s="24">
        <v>6822</v>
      </c>
      <c r="W61" s="71">
        <v>3306</v>
      </c>
      <c r="X61" s="65">
        <v>3232</v>
      </c>
      <c r="Y61" s="67">
        <v>32</v>
      </c>
      <c r="Z61" s="24">
        <v>192</v>
      </c>
      <c r="AA61" s="24">
        <v>81</v>
      </c>
      <c r="AB61" s="24">
        <v>119</v>
      </c>
      <c r="AC61" s="404">
        <v>6724</v>
      </c>
      <c r="AD61" s="2">
        <v>3518</v>
      </c>
      <c r="AE61" s="2">
        <v>3414</v>
      </c>
      <c r="AF61" s="2">
        <v>23</v>
      </c>
      <c r="AG61" s="2">
        <v>196</v>
      </c>
      <c r="AH61" s="2">
        <v>9</v>
      </c>
      <c r="AI61" s="2">
        <v>96</v>
      </c>
      <c r="AJ61" s="2">
        <v>127</v>
      </c>
      <c r="AK61" s="2">
        <v>6378</v>
      </c>
      <c r="AL61" s="2">
        <v>3463</v>
      </c>
      <c r="AM61" s="2">
        <v>3396</v>
      </c>
      <c r="AN61" s="2">
        <v>25</v>
      </c>
      <c r="AO61" s="2">
        <v>161</v>
      </c>
      <c r="AP61" s="2">
        <v>5</v>
      </c>
      <c r="AQ61" s="2">
        <v>93</v>
      </c>
      <c r="AR61" s="2">
        <v>118</v>
      </c>
      <c r="AS61" s="2">
        <v>6324</v>
      </c>
      <c r="AT61" s="2">
        <v>3317</v>
      </c>
      <c r="AU61" s="2">
        <v>3174</v>
      </c>
      <c r="AV61" s="2">
        <v>12</v>
      </c>
      <c r="AW61" s="2">
        <v>9</v>
      </c>
      <c r="AX61" s="2">
        <v>143</v>
      </c>
      <c r="AY61" s="2">
        <v>83</v>
      </c>
      <c r="AZ61" s="2">
        <v>135</v>
      </c>
      <c r="BA61" s="2">
        <v>5949</v>
      </c>
    </row>
    <row r="62" spans="1:53">
      <c r="A62" s="73" t="s">
        <v>87</v>
      </c>
      <c r="B62" s="73">
        <v>162</v>
      </c>
      <c r="C62" s="73">
        <v>293</v>
      </c>
      <c r="D62" s="129"/>
      <c r="E62" s="129"/>
      <c r="F62" s="129"/>
      <c r="G62" s="129"/>
      <c r="H62" s="129"/>
      <c r="I62" s="129">
        <v>1403</v>
      </c>
      <c r="J62" s="129">
        <v>1949</v>
      </c>
      <c r="K62" s="39">
        <v>3</v>
      </c>
      <c r="L62" s="78">
        <v>58</v>
      </c>
      <c r="M62" s="78">
        <v>277</v>
      </c>
      <c r="N62" s="78">
        <v>2871</v>
      </c>
      <c r="O62" s="78">
        <v>144</v>
      </c>
      <c r="P62" s="129">
        <v>1498</v>
      </c>
      <c r="Q62" s="129">
        <v>2019</v>
      </c>
      <c r="R62" s="39">
        <v>2</v>
      </c>
      <c r="S62" s="78">
        <v>55</v>
      </c>
      <c r="T62" s="78">
        <v>245</v>
      </c>
      <c r="U62" s="78">
        <v>3084</v>
      </c>
      <c r="V62" s="78">
        <v>131</v>
      </c>
      <c r="W62" s="291">
        <v>1647</v>
      </c>
      <c r="X62" s="129">
        <v>1955</v>
      </c>
      <c r="Y62" s="290">
        <v>2</v>
      </c>
      <c r="Z62" s="78">
        <v>65</v>
      </c>
      <c r="AA62" s="78">
        <v>309</v>
      </c>
      <c r="AB62" s="78">
        <v>3097</v>
      </c>
      <c r="AC62" s="70">
        <v>129</v>
      </c>
      <c r="AD62" s="2">
        <v>1602</v>
      </c>
      <c r="AE62" s="2">
        <v>1875</v>
      </c>
      <c r="AF62" s="2">
        <v>4</v>
      </c>
      <c r="AG62" s="2">
        <v>32</v>
      </c>
      <c r="AH62" s="2">
        <v>4</v>
      </c>
      <c r="AI62" s="2">
        <v>334</v>
      </c>
      <c r="AJ62" s="2">
        <v>2946</v>
      </c>
      <c r="AK62" s="2">
        <v>137</v>
      </c>
      <c r="AL62" s="2">
        <v>1668</v>
      </c>
      <c r="AM62" s="2">
        <v>2192</v>
      </c>
      <c r="AN62" s="2">
        <v>13</v>
      </c>
      <c r="AO62" s="2">
        <v>42</v>
      </c>
      <c r="AP62" s="2">
        <v>9</v>
      </c>
      <c r="AQ62" s="2">
        <v>284</v>
      </c>
      <c r="AR62" s="2">
        <v>3321</v>
      </c>
      <c r="AS62" s="2">
        <v>147</v>
      </c>
      <c r="AT62" s="2">
        <v>1732</v>
      </c>
      <c r="AU62" s="2">
        <v>2228</v>
      </c>
      <c r="AV62" s="2">
        <v>7</v>
      </c>
      <c r="AW62" s="2">
        <v>5</v>
      </c>
      <c r="AX62" s="2">
        <v>54</v>
      </c>
      <c r="AY62" s="2">
        <v>422</v>
      </c>
      <c r="AZ62" s="2">
        <v>3028</v>
      </c>
      <c r="BA62" s="2">
        <v>142</v>
      </c>
    </row>
    <row r="63" spans="1:53">
      <c r="A63" s="3"/>
      <c r="B63" s="56"/>
      <c r="C63" s="56"/>
      <c r="D63" s="66"/>
      <c r="E63" s="66"/>
      <c r="F63" s="66"/>
      <c r="G63" s="66"/>
      <c r="H63" s="66"/>
      <c r="I63" s="66"/>
      <c r="J63" s="66"/>
      <c r="P63" s="66"/>
      <c r="Q63" s="66"/>
      <c r="W63" s="66"/>
      <c r="X63" s="66"/>
    </row>
    <row r="64" spans="1:53" ht="276.75" customHeight="1">
      <c r="A64" s="2"/>
      <c r="B64" s="472" t="s">
        <v>506</v>
      </c>
      <c r="P64" s="472" t="s">
        <v>507</v>
      </c>
      <c r="W64" s="122" t="s">
        <v>508</v>
      </c>
    </row>
    <row r="65" spans="2:3">
      <c r="B65" s="472"/>
      <c r="C65" s="472"/>
    </row>
  </sheetData>
  <mergeCells count="4">
    <mergeCell ref="AD1:AK1"/>
    <mergeCell ref="AL1:AS1"/>
    <mergeCell ref="AT1:BA1"/>
    <mergeCell ref="BB1:BI1"/>
  </mergeCells>
  <phoneticPr fontId="10" type="noConversion"/>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sheetPr>
  <dimension ref="A1:WY69"/>
  <sheetViews>
    <sheetView zoomScale="40" zoomScaleNormal="40" workbookViewId="0">
      <pane xSplit="1" ySplit="4" topLeftCell="B59" activePane="bottomRight" state="frozen"/>
      <selection pane="bottomRight" activeCell="AI67" sqref="AI67"/>
      <selection pane="bottomLeft" activeCell="A5" sqref="A5"/>
      <selection pane="topRight" activeCell="B1" sqref="B1"/>
    </sheetView>
  </sheetViews>
  <sheetFormatPr defaultColWidth="11.42578125" defaultRowHeight="12.6"/>
  <cols>
    <col min="1" max="1" width="26.42578125" style="76" customWidth="1"/>
    <col min="2" max="2" width="8.28515625" style="8" customWidth="1"/>
    <col min="3" max="3" width="9" style="8" customWidth="1"/>
    <col min="4" max="4" width="9" style="2" customWidth="1"/>
    <col min="5" max="16" width="9" style="29" customWidth="1"/>
    <col min="17" max="17" width="7.42578125" style="29" customWidth="1"/>
    <col min="18" max="18" width="8.140625" style="29" customWidth="1"/>
    <col min="19" max="19" width="7" style="29" customWidth="1"/>
    <col min="20" max="20" width="7.7109375" style="29" customWidth="1"/>
    <col min="21" max="21" width="7.85546875" style="29" customWidth="1"/>
    <col min="22" max="22" width="6.7109375" style="29" customWidth="1"/>
    <col min="23" max="23" width="8.28515625" style="29" customWidth="1"/>
    <col min="24" max="28" width="7.7109375" style="29" customWidth="1"/>
    <col min="29" max="34" width="8.7109375" style="29" customWidth="1"/>
    <col min="35" max="35" width="7.42578125" style="29" customWidth="1"/>
    <col min="36" max="36" width="6.5703125" style="29" customWidth="1"/>
    <col min="37" max="37" width="5.7109375" style="29" bestFit="1" customWidth="1"/>
    <col min="38" max="38" width="7.5703125" style="29" customWidth="1"/>
    <col min="39" max="39" width="5.7109375" style="29" bestFit="1" customWidth="1"/>
    <col min="40" max="40" width="5.85546875" style="29" bestFit="1" customWidth="1"/>
    <col min="41" max="41" width="10.28515625" style="29" customWidth="1"/>
    <col min="42" max="16384" width="11.42578125" style="29"/>
  </cols>
  <sheetData>
    <row r="1" spans="1:58" ht="12.95">
      <c r="A1" s="44" t="s">
        <v>505</v>
      </c>
    </row>
    <row r="2" spans="1:58">
      <c r="B2" s="3" t="s">
        <v>509</v>
      </c>
      <c r="E2" s="32"/>
    </row>
    <row r="3" spans="1:58">
      <c r="B3" s="83" t="s">
        <v>215</v>
      </c>
      <c r="C3" s="83" t="s">
        <v>217</v>
      </c>
      <c r="D3" s="83" t="s">
        <v>270</v>
      </c>
      <c r="E3" s="83" t="s">
        <v>271</v>
      </c>
      <c r="F3" s="83" t="s">
        <v>272</v>
      </c>
      <c r="G3" s="83" t="s">
        <v>273</v>
      </c>
      <c r="H3" s="83" t="s">
        <v>274</v>
      </c>
      <c r="I3" s="83" t="s">
        <v>275</v>
      </c>
      <c r="J3" s="83" t="s">
        <v>276</v>
      </c>
      <c r="K3" s="83" t="s">
        <v>277</v>
      </c>
      <c r="L3" s="83" t="s">
        <v>278</v>
      </c>
      <c r="M3" s="83" t="s">
        <v>279</v>
      </c>
      <c r="N3" s="83" t="s">
        <v>280</v>
      </c>
      <c r="O3" s="83" t="s">
        <v>281</v>
      </c>
      <c r="P3" s="83" t="s">
        <v>282</v>
      </c>
      <c r="Q3" s="58" t="s">
        <v>283</v>
      </c>
      <c r="R3" s="49"/>
      <c r="S3" s="49"/>
      <c r="T3" s="49"/>
      <c r="U3" s="49"/>
      <c r="V3" s="49"/>
      <c r="W3" s="58" t="s">
        <v>30</v>
      </c>
      <c r="X3" s="49"/>
      <c r="Y3" s="49"/>
      <c r="Z3" s="49"/>
      <c r="AA3" s="49"/>
      <c r="AB3" s="49"/>
      <c r="AC3" s="58" t="s">
        <v>232</v>
      </c>
      <c r="AD3" s="49"/>
      <c r="AE3" s="49"/>
      <c r="AF3" s="49"/>
      <c r="AG3" s="49"/>
      <c r="AH3" s="49"/>
      <c r="AI3" s="58" t="s">
        <v>284</v>
      </c>
      <c r="AJ3" s="49"/>
      <c r="AK3" s="49"/>
      <c r="AL3" s="49"/>
      <c r="AM3" s="49"/>
      <c r="AN3" s="340"/>
      <c r="AO3" s="611" t="s">
        <v>95</v>
      </c>
      <c r="AP3" s="573"/>
      <c r="AQ3" s="573"/>
      <c r="AR3" s="573"/>
      <c r="AS3" s="573"/>
      <c r="AT3" s="612"/>
      <c r="AU3" s="613" t="s">
        <v>96</v>
      </c>
      <c r="AV3" s="614"/>
      <c r="AW3" s="614"/>
      <c r="AX3" s="614"/>
      <c r="AY3" s="614"/>
      <c r="AZ3" s="615"/>
      <c r="BA3" s="613" t="s">
        <v>97</v>
      </c>
      <c r="BB3" s="614"/>
      <c r="BC3" s="614"/>
      <c r="BD3" s="614"/>
      <c r="BE3" s="614"/>
      <c r="BF3" s="615"/>
    </row>
    <row r="4" spans="1:58">
      <c r="A4" s="82"/>
      <c r="B4" s="84"/>
      <c r="C4" s="84"/>
      <c r="D4" s="84"/>
      <c r="E4" s="84"/>
      <c r="F4" s="84"/>
      <c r="G4" s="84"/>
      <c r="H4" s="84"/>
      <c r="I4" s="84"/>
      <c r="J4" s="84"/>
      <c r="K4" s="84"/>
      <c r="L4" s="84"/>
      <c r="M4" s="84"/>
      <c r="N4" s="84"/>
      <c r="O4" s="84"/>
      <c r="P4" s="84"/>
      <c r="Q4" s="59" t="s">
        <v>510</v>
      </c>
      <c r="R4" s="50" t="s">
        <v>498</v>
      </c>
      <c r="S4" s="50" t="s">
        <v>499</v>
      </c>
      <c r="T4" s="50" t="s">
        <v>21</v>
      </c>
      <c r="U4" s="50" t="s">
        <v>22</v>
      </c>
      <c r="V4" s="50" t="s">
        <v>23</v>
      </c>
      <c r="W4" s="59" t="s">
        <v>510</v>
      </c>
      <c r="X4" s="50" t="s">
        <v>498</v>
      </c>
      <c r="Y4" s="50" t="s">
        <v>499</v>
      </c>
      <c r="Z4" s="50" t="s">
        <v>21</v>
      </c>
      <c r="AA4" s="50" t="s">
        <v>22</v>
      </c>
      <c r="AB4" s="50" t="s">
        <v>23</v>
      </c>
      <c r="AC4" s="59" t="s">
        <v>510</v>
      </c>
      <c r="AD4" s="50" t="s">
        <v>498</v>
      </c>
      <c r="AE4" s="50" t="s">
        <v>499</v>
      </c>
      <c r="AF4" s="50" t="s">
        <v>21</v>
      </c>
      <c r="AG4" s="50" t="s">
        <v>22</v>
      </c>
      <c r="AH4" s="50" t="s">
        <v>23</v>
      </c>
      <c r="AI4" s="59" t="s">
        <v>510</v>
      </c>
      <c r="AJ4" s="50" t="s">
        <v>498</v>
      </c>
      <c r="AK4" s="50" t="s">
        <v>499</v>
      </c>
      <c r="AL4" s="50" t="s">
        <v>21</v>
      </c>
      <c r="AM4" s="50" t="s">
        <v>22</v>
      </c>
      <c r="AN4" s="341" t="s">
        <v>23</v>
      </c>
      <c r="AO4" s="348" t="s">
        <v>510</v>
      </c>
      <c r="AP4" s="50" t="s">
        <v>498</v>
      </c>
      <c r="AQ4" s="50" t="s">
        <v>499</v>
      </c>
      <c r="AR4" s="50" t="s">
        <v>21</v>
      </c>
      <c r="AS4" s="50" t="s">
        <v>22</v>
      </c>
      <c r="AT4" s="341" t="s">
        <v>23</v>
      </c>
      <c r="AU4" s="348" t="s">
        <v>510</v>
      </c>
      <c r="AV4" s="50" t="s">
        <v>498</v>
      </c>
      <c r="AW4" s="50" t="s">
        <v>499</v>
      </c>
      <c r="AX4" s="50" t="s">
        <v>21</v>
      </c>
      <c r="AY4" s="50" t="s">
        <v>22</v>
      </c>
      <c r="AZ4" s="341" t="s">
        <v>23</v>
      </c>
      <c r="BA4" s="348" t="s">
        <v>510</v>
      </c>
      <c r="BB4" s="50" t="s">
        <v>498</v>
      </c>
      <c r="BC4" s="50" t="s">
        <v>499</v>
      </c>
      <c r="BD4" s="50" t="s">
        <v>21</v>
      </c>
      <c r="BE4" s="50" t="s">
        <v>22</v>
      </c>
      <c r="BF4" s="341" t="s">
        <v>23</v>
      </c>
    </row>
    <row r="5" spans="1:58">
      <c r="A5" s="39" t="s">
        <v>31</v>
      </c>
      <c r="B5" s="85">
        <v>73.721536421523894</v>
      </c>
      <c r="C5" s="85">
        <v>73.836784755187651</v>
      </c>
      <c r="D5" s="85">
        <v>73.053451175185032</v>
      </c>
      <c r="E5" s="85">
        <v>71.753084081768819</v>
      </c>
      <c r="F5" s="85">
        <v>71.018288111926424</v>
      </c>
      <c r="G5" s="85">
        <v>71.300089472796117</v>
      </c>
      <c r="H5" s="85">
        <v>71.289308679034249</v>
      </c>
      <c r="I5" s="85">
        <v>71.07169463050036</v>
      </c>
      <c r="J5" s="85">
        <v>71.673179399573826</v>
      </c>
      <c r="K5" s="85">
        <v>71.686663399063264</v>
      </c>
      <c r="L5" s="85">
        <v>72.57858855667277</v>
      </c>
      <c r="M5" s="85">
        <v>73.867398297096159</v>
      </c>
      <c r="N5" s="85">
        <v>75</v>
      </c>
      <c r="O5" s="85">
        <v>74.674397786322203</v>
      </c>
      <c r="P5" s="85">
        <v>73.2</v>
      </c>
      <c r="Q5" s="86">
        <v>73.900000000000006</v>
      </c>
      <c r="R5" s="486">
        <v>61.3</v>
      </c>
      <c r="S5" s="486">
        <v>91.4</v>
      </c>
      <c r="T5" s="486">
        <v>62.3</v>
      </c>
      <c r="U5" s="486">
        <v>60.3</v>
      </c>
      <c r="V5" s="486">
        <v>80.3</v>
      </c>
      <c r="W5" s="86">
        <v>74.7</v>
      </c>
      <c r="X5" s="50">
        <v>64.2</v>
      </c>
      <c r="Y5" s="50">
        <v>91.4</v>
      </c>
      <c r="Z5" s="50">
        <v>63.5</v>
      </c>
      <c r="AA5" s="50">
        <v>61.5</v>
      </c>
      <c r="AB5" s="50">
        <v>81</v>
      </c>
      <c r="AC5" s="86">
        <v>75.5</v>
      </c>
      <c r="AD5" s="50">
        <v>64.8</v>
      </c>
      <c r="AE5" s="50">
        <v>91.8</v>
      </c>
      <c r="AF5" s="50">
        <v>65.900000000000006</v>
      </c>
      <c r="AG5" s="50">
        <v>63.5</v>
      </c>
      <c r="AH5" s="50">
        <v>82</v>
      </c>
      <c r="AI5" s="86">
        <v>78.2</v>
      </c>
      <c r="AJ5" s="50">
        <v>69.099999999999994</v>
      </c>
      <c r="AK5" s="50">
        <v>93.5</v>
      </c>
      <c r="AL5" s="50">
        <v>71.400000000000006</v>
      </c>
      <c r="AM5" s="50">
        <v>66.099999999999994</v>
      </c>
      <c r="AN5" s="342">
        <v>83</v>
      </c>
      <c r="AO5" s="62">
        <v>80</v>
      </c>
      <c r="AP5" s="29">
        <v>68</v>
      </c>
      <c r="AQ5" s="29">
        <v>93</v>
      </c>
      <c r="AR5" s="29">
        <v>75</v>
      </c>
      <c r="AS5" s="29">
        <v>67</v>
      </c>
      <c r="AT5" s="344">
        <v>84</v>
      </c>
      <c r="BA5" s="34">
        <v>81.899999856948853</v>
      </c>
      <c r="BB5" s="34">
        <v>67.699999809265137</v>
      </c>
      <c r="BC5" s="34">
        <v>94.599999904632568</v>
      </c>
      <c r="BD5" s="34">
        <v>78.199999809265137</v>
      </c>
      <c r="BE5" s="34">
        <v>69.399999856948853</v>
      </c>
      <c r="BF5" s="34">
        <v>85.599999904632568</v>
      </c>
    </row>
    <row r="6" spans="1:58">
      <c r="A6" s="2" t="s">
        <v>128</v>
      </c>
      <c r="B6" s="92">
        <f>MEDIAN(B8:B23)</f>
        <v>71.728843822645388</v>
      </c>
      <c r="C6" s="92">
        <f t="shared" ref="C6:AH6" si="0">MEDIAN(C8:C23)</f>
        <v>70.441962674619361</v>
      </c>
      <c r="D6" s="92">
        <f t="shared" si="0"/>
        <v>68.006913350655466</v>
      </c>
      <c r="E6" s="92">
        <f t="shared" si="0"/>
        <v>67.723944915439262</v>
      </c>
      <c r="F6" s="92">
        <f t="shared" si="0"/>
        <v>66.532915114789972</v>
      </c>
      <c r="G6" s="92">
        <f t="shared" si="0"/>
        <v>66.266449992314477</v>
      </c>
      <c r="H6" s="92">
        <f t="shared" si="0"/>
        <v>67.472655968593699</v>
      </c>
      <c r="I6" s="92">
        <f t="shared" si="0"/>
        <v>67.311666849601934</v>
      </c>
      <c r="J6" s="92">
        <f t="shared" si="0"/>
        <v>66.31965136639684</v>
      </c>
      <c r="K6" s="92">
        <f t="shared" si="0"/>
        <v>68.151549553760248</v>
      </c>
      <c r="L6" s="92">
        <f t="shared" si="0"/>
        <v>68.838788424274128</v>
      </c>
      <c r="M6" s="92">
        <f t="shared" si="0"/>
        <v>70.895722214060072</v>
      </c>
      <c r="N6" s="92">
        <f t="shared" si="0"/>
        <v>72.113372798822127</v>
      </c>
      <c r="O6" s="92">
        <f t="shared" si="0"/>
        <v>72.845567458785041</v>
      </c>
      <c r="P6" s="92">
        <f t="shared" si="0"/>
        <v>72.5</v>
      </c>
      <c r="Q6" s="93">
        <f t="shared" si="0"/>
        <v>71.900000000000006</v>
      </c>
      <c r="R6" s="92">
        <f t="shared" si="0"/>
        <v>66.7</v>
      </c>
      <c r="S6" s="92">
        <f t="shared" si="0"/>
        <v>94.5</v>
      </c>
      <c r="T6" s="92">
        <f t="shared" si="0"/>
        <v>64.7</v>
      </c>
      <c r="U6" s="92">
        <f t="shared" si="0"/>
        <v>63.1</v>
      </c>
      <c r="V6" s="92">
        <f t="shared" si="0"/>
        <v>75.2</v>
      </c>
      <c r="W6" s="93">
        <f t="shared" si="0"/>
        <v>72.949999999999989</v>
      </c>
      <c r="X6" s="92">
        <f t="shared" si="0"/>
        <v>71.099999999999994</v>
      </c>
      <c r="Y6" s="92">
        <f t="shared" si="0"/>
        <v>96.449999999999989</v>
      </c>
      <c r="Z6" s="92">
        <f t="shared" si="0"/>
        <v>71.400000000000006</v>
      </c>
      <c r="AA6" s="92">
        <f t="shared" si="0"/>
        <v>65.5</v>
      </c>
      <c r="AB6" s="92">
        <f t="shared" si="0"/>
        <v>77.3</v>
      </c>
      <c r="AC6" s="93">
        <f t="shared" si="0"/>
        <v>74.55</v>
      </c>
      <c r="AD6" s="92">
        <f t="shared" si="0"/>
        <v>73.5</v>
      </c>
      <c r="AE6" s="92">
        <f t="shared" si="0"/>
        <v>94.300000000000011</v>
      </c>
      <c r="AF6" s="92">
        <f t="shared" si="0"/>
        <v>70.699999999999989</v>
      </c>
      <c r="AG6" s="92">
        <f t="shared" si="0"/>
        <v>67</v>
      </c>
      <c r="AH6" s="92">
        <f t="shared" si="0"/>
        <v>77.400000000000006</v>
      </c>
      <c r="AI6" s="93">
        <f t="shared" ref="AI6:AT6" si="1">MEDIAN(AI8:AI23)</f>
        <v>76.2</v>
      </c>
      <c r="AJ6" s="92">
        <f t="shared" si="1"/>
        <v>77.349999999999994</v>
      </c>
      <c r="AK6" s="92">
        <f t="shared" si="1"/>
        <v>98.1</v>
      </c>
      <c r="AL6" s="92">
        <f t="shared" si="1"/>
        <v>73</v>
      </c>
      <c r="AM6" s="92">
        <f t="shared" si="1"/>
        <v>68.5</v>
      </c>
      <c r="AN6" s="343">
        <f t="shared" si="1"/>
        <v>79.050000000000011</v>
      </c>
      <c r="AO6" s="351">
        <f t="shared" si="1"/>
        <v>77</v>
      </c>
      <c r="AP6" s="352">
        <f t="shared" si="1"/>
        <v>76.5</v>
      </c>
      <c r="AQ6" s="352">
        <f t="shared" si="1"/>
        <v>95.5</v>
      </c>
      <c r="AR6" s="352">
        <f t="shared" si="1"/>
        <v>74.5</v>
      </c>
      <c r="AS6" s="352">
        <f t="shared" si="1"/>
        <v>69.5</v>
      </c>
      <c r="AT6" s="353">
        <f t="shared" si="1"/>
        <v>79.5</v>
      </c>
    </row>
    <row r="7" spans="1:58">
      <c r="A7" s="3" t="s">
        <v>129</v>
      </c>
      <c r="B7" s="33"/>
      <c r="C7" s="33"/>
      <c r="Q7" s="62"/>
      <c r="W7" s="62"/>
      <c r="AC7" s="62"/>
      <c r="AI7" s="62"/>
      <c r="AN7" s="344"/>
      <c r="AT7" s="344"/>
    </row>
    <row r="8" spans="1:58">
      <c r="A8" s="2" t="s">
        <v>33</v>
      </c>
      <c r="B8" s="33">
        <v>69.778082273390723</v>
      </c>
      <c r="C8" s="33">
        <v>66.06061717976003</v>
      </c>
      <c r="D8" s="36">
        <v>64.327998655437085</v>
      </c>
      <c r="E8" s="34">
        <v>64.817142550770569</v>
      </c>
      <c r="F8" s="34">
        <v>62.673780851317517</v>
      </c>
      <c r="G8" s="34">
        <v>62.440749291329375</v>
      </c>
      <c r="H8" s="34">
        <v>64.397542831379624</v>
      </c>
      <c r="I8" s="34">
        <v>61.322414726583652</v>
      </c>
      <c r="J8" s="34">
        <v>64.136597719602705</v>
      </c>
      <c r="K8" s="34">
        <v>63.662635985418589</v>
      </c>
      <c r="L8" s="34">
        <v>62.146295847331409</v>
      </c>
      <c r="M8" s="34">
        <v>64.7433713567426</v>
      </c>
      <c r="N8" s="34">
        <v>65.041114460517633</v>
      </c>
      <c r="O8" s="34">
        <v>65.887340792343963</v>
      </c>
      <c r="P8" s="34">
        <v>66.2</v>
      </c>
      <c r="Q8" s="60">
        <v>67.099999999999994</v>
      </c>
      <c r="R8" s="487">
        <v>72</v>
      </c>
      <c r="S8" s="487">
        <v>80.099999999999994</v>
      </c>
      <c r="T8" s="487">
        <v>61.4</v>
      </c>
      <c r="U8" s="487">
        <v>59.3</v>
      </c>
      <c r="V8" s="487">
        <v>71.7</v>
      </c>
      <c r="W8" s="60">
        <v>69</v>
      </c>
      <c r="X8" s="32">
        <v>82.3</v>
      </c>
      <c r="Y8" s="32">
        <v>87.3</v>
      </c>
      <c r="Z8" s="32">
        <v>62.2</v>
      </c>
      <c r="AA8" s="32">
        <v>60.6</v>
      </c>
      <c r="AB8" s="32">
        <v>73.900000000000006</v>
      </c>
      <c r="AC8" s="60">
        <v>69.900000000000006</v>
      </c>
      <c r="AD8" s="48">
        <v>84.7</v>
      </c>
      <c r="AE8" s="48">
        <v>90.2</v>
      </c>
      <c r="AF8" s="48">
        <v>63</v>
      </c>
      <c r="AG8" s="48">
        <v>62.2</v>
      </c>
      <c r="AH8" s="48">
        <v>74.5</v>
      </c>
      <c r="AI8" s="60">
        <v>71.8</v>
      </c>
      <c r="AJ8" s="48">
        <v>75.900000000000006</v>
      </c>
      <c r="AK8" s="48">
        <v>91.7</v>
      </c>
      <c r="AL8" s="48">
        <v>66.5</v>
      </c>
      <c r="AM8" s="48">
        <v>65.400000000000006</v>
      </c>
      <c r="AN8" s="345">
        <v>75.8</v>
      </c>
      <c r="AO8" s="29">
        <v>76</v>
      </c>
      <c r="AP8" s="29">
        <v>87</v>
      </c>
      <c r="AQ8" s="29">
        <v>87</v>
      </c>
      <c r="AR8" s="29">
        <v>73</v>
      </c>
      <c r="AS8" s="29">
        <v>70</v>
      </c>
      <c r="AT8" s="344">
        <v>80</v>
      </c>
      <c r="BA8" s="34">
        <v>74.199999809265137</v>
      </c>
      <c r="BB8" s="34">
        <v>84.699999809265137</v>
      </c>
      <c r="BC8" s="34">
        <v>87.199999809265137</v>
      </c>
      <c r="BD8" s="34">
        <v>67.5</v>
      </c>
      <c r="BE8" s="34">
        <v>67.599999904632568</v>
      </c>
      <c r="BF8" s="34">
        <v>78.099999904632568</v>
      </c>
    </row>
    <row r="9" spans="1:58">
      <c r="A9" s="2" t="s">
        <v>34</v>
      </c>
      <c r="B9" s="33">
        <v>76.601909212771844</v>
      </c>
      <c r="C9" s="33">
        <v>77.943958656766426</v>
      </c>
      <c r="D9" s="36">
        <v>76.069205836585269</v>
      </c>
      <c r="E9" s="34">
        <v>72.711041717111129</v>
      </c>
      <c r="F9" s="34">
        <v>74.185239499876531</v>
      </c>
      <c r="G9" s="34">
        <v>70.587253021166433</v>
      </c>
      <c r="H9" s="34">
        <v>73.861303316325234</v>
      </c>
      <c r="I9" s="34">
        <v>73.676081172385167</v>
      </c>
      <c r="J9" s="34">
        <v>74.609140451003071</v>
      </c>
      <c r="K9" s="34">
        <v>73.929207323562991</v>
      </c>
      <c r="L9" s="34">
        <v>74.849241964473748</v>
      </c>
      <c r="M9" s="34">
        <v>76.602609880651755</v>
      </c>
      <c r="N9" s="34">
        <v>76.751399528886338</v>
      </c>
      <c r="O9" s="34">
        <v>75.699674620217706</v>
      </c>
      <c r="P9" s="34">
        <v>80.400000000000006</v>
      </c>
      <c r="Q9" s="60">
        <v>74.400000000000006</v>
      </c>
      <c r="R9" s="487">
        <v>72.599999999999994</v>
      </c>
      <c r="S9" s="487">
        <v>100</v>
      </c>
      <c r="T9" s="487">
        <v>70.599999999999994</v>
      </c>
      <c r="U9" s="487">
        <v>65.8</v>
      </c>
      <c r="V9" s="487">
        <v>75.2</v>
      </c>
      <c r="W9" s="60">
        <v>76.400000000000006</v>
      </c>
      <c r="X9" s="32">
        <v>86.9</v>
      </c>
      <c r="Y9" s="32">
        <v>100</v>
      </c>
      <c r="Z9" s="32">
        <v>77.900000000000006</v>
      </c>
      <c r="AA9" s="32">
        <v>70.2</v>
      </c>
      <c r="AB9" s="32">
        <v>77.7</v>
      </c>
      <c r="AC9" s="60">
        <v>74</v>
      </c>
      <c r="AD9" s="48">
        <v>79.2</v>
      </c>
      <c r="AE9" s="48">
        <v>94.4</v>
      </c>
      <c r="AF9" s="48">
        <v>75.7</v>
      </c>
      <c r="AG9" s="48">
        <v>68</v>
      </c>
      <c r="AH9" s="48">
        <v>75.5</v>
      </c>
      <c r="AI9" s="60">
        <v>75</v>
      </c>
      <c r="AJ9" s="48">
        <v>65.8</v>
      </c>
      <c r="AK9" s="48">
        <v>85.7</v>
      </c>
      <c r="AL9" s="48">
        <v>77</v>
      </c>
      <c r="AM9" s="48">
        <v>67.599999999999994</v>
      </c>
      <c r="AN9" s="345">
        <v>75.8</v>
      </c>
      <c r="AO9" s="29">
        <v>77</v>
      </c>
      <c r="AP9" s="29">
        <v>77</v>
      </c>
      <c r="AQ9" s="29">
        <v>98</v>
      </c>
      <c r="AR9" s="29">
        <v>79</v>
      </c>
      <c r="AS9" s="29">
        <v>70</v>
      </c>
      <c r="AT9" s="344">
        <v>78</v>
      </c>
      <c r="BA9" s="34">
        <v>80.099999904632568</v>
      </c>
      <c r="BB9" s="34">
        <v>67</v>
      </c>
      <c r="BC9" s="34">
        <v>87.799999952316284</v>
      </c>
      <c r="BD9" s="34">
        <v>81.099999904632568</v>
      </c>
      <c r="BE9" s="34">
        <v>74.5</v>
      </c>
      <c r="BF9" s="34">
        <v>81</v>
      </c>
    </row>
    <row r="10" spans="1:58">
      <c r="A10" s="2" t="s">
        <v>35</v>
      </c>
      <c r="B10" s="33">
        <v>72.454452973272907</v>
      </c>
      <c r="C10" s="33">
        <v>74.525058802243535</v>
      </c>
      <c r="D10" s="36">
        <v>70.77769758210033</v>
      </c>
      <c r="E10" s="34">
        <v>68.681655148280981</v>
      </c>
      <c r="F10" s="34">
        <v>70.438277031269621</v>
      </c>
      <c r="G10" s="34">
        <v>71.662453352594198</v>
      </c>
      <c r="H10" s="34">
        <v>74.127940442841251</v>
      </c>
      <c r="I10" s="34">
        <v>70.399189316347574</v>
      </c>
      <c r="J10" s="34">
        <v>66.802770689026616</v>
      </c>
      <c r="K10" s="34">
        <v>71.016463851109506</v>
      </c>
      <c r="L10" s="34">
        <v>69.509579639691154</v>
      </c>
      <c r="M10" s="34">
        <v>73.036677261526378</v>
      </c>
      <c r="N10" s="34">
        <v>72.860713468657266</v>
      </c>
      <c r="O10" s="34">
        <v>73.099999999999994</v>
      </c>
      <c r="P10" s="34">
        <v>76.3</v>
      </c>
      <c r="Q10" s="60">
        <v>71.900000000000006</v>
      </c>
      <c r="R10" s="487">
        <v>77.099999999999994</v>
      </c>
      <c r="S10" s="487">
        <v>100</v>
      </c>
      <c r="T10" s="487">
        <v>64.7</v>
      </c>
      <c r="U10" s="487">
        <v>64</v>
      </c>
      <c r="V10" s="487">
        <v>75.8</v>
      </c>
      <c r="W10" s="60">
        <v>72.099999999999994</v>
      </c>
      <c r="X10" s="32" t="s">
        <v>503</v>
      </c>
      <c r="Y10" s="32" t="s">
        <v>503</v>
      </c>
      <c r="Z10" s="32" t="s">
        <v>503</v>
      </c>
      <c r="AA10" s="32" t="s">
        <v>503</v>
      </c>
      <c r="AB10" s="32" t="s">
        <v>503</v>
      </c>
      <c r="AC10" s="60">
        <v>73.7</v>
      </c>
      <c r="AD10" s="48">
        <v>81.599999999999994</v>
      </c>
      <c r="AE10" s="48">
        <v>91.8</v>
      </c>
      <c r="AF10" s="48">
        <v>61.3</v>
      </c>
      <c r="AG10" s="48">
        <v>66.8</v>
      </c>
      <c r="AH10" s="48">
        <v>79</v>
      </c>
      <c r="AI10" s="60">
        <v>75.5</v>
      </c>
      <c r="AJ10" s="48">
        <v>96.3</v>
      </c>
      <c r="AK10" s="48">
        <v>100</v>
      </c>
      <c r="AL10" s="48">
        <v>67.3</v>
      </c>
      <c r="AM10" s="48">
        <v>68.2</v>
      </c>
      <c r="AN10" s="345">
        <v>79.900000000000006</v>
      </c>
      <c r="AO10" s="29">
        <v>76</v>
      </c>
      <c r="AP10" s="29">
        <v>90</v>
      </c>
      <c r="AQ10" s="29">
        <v>94</v>
      </c>
      <c r="AR10" s="29">
        <v>73</v>
      </c>
      <c r="AS10" s="29">
        <v>69</v>
      </c>
      <c r="AT10" s="344">
        <v>79</v>
      </c>
      <c r="BA10" s="34">
        <v>77</v>
      </c>
      <c r="BB10" s="34">
        <v>83</v>
      </c>
      <c r="BC10" s="34">
        <v>94.199999809265137</v>
      </c>
      <c r="BD10" s="34">
        <v>75.799999952316284</v>
      </c>
      <c r="BE10" s="34">
        <v>70.599999904632568</v>
      </c>
      <c r="BF10" s="34">
        <v>79.799999952316284</v>
      </c>
    </row>
    <row r="11" spans="1:58">
      <c r="A11" s="2" t="s">
        <v>36</v>
      </c>
      <c r="B11" s="33">
        <v>65.628565994674787</v>
      </c>
      <c r="C11" s="33">
        <v>65.826549089463697</v>
      </c>
      <c r="D11" s="36">
        <v>64.214281025012582</v>
      </c>
      <c r="E11" s="34">
        <v>63.477343232885232</v>
      </c>
      <c r="F11" s="34">
        <v>62.259688615513411</v>
      </c>
      <c r="G11" s="34">
        <v>62.651221633588996</v>
      </c>
      <c r="H11" s="34">
        <v>62.074528759681613</v>
      </c>
      <c r="I11" s="34">
        <v>61.377833018275993</v>
      </c>
      <c r="J11" s="34">
        <v>61.006910167818361</v>
      </c>
      <c r="K11" s="34">
        <v>61.204906880539376</v>
      </c>
      <c r="L11" s="34">
        <v>63.402969558314439</v>
      </c>
      <c r="M11" s="34">
        <v>66.722959416881551</v>
      </c>
      <c r="N11" s="34">
        <v>66.447228710978976</v>
      </c>
      <c r="O11" s="34">
        <v>64.638821369466285</v>
      </c>
      <c r="P11" s="34">
        <v>63.6</v>
      </c>
      <c r="Q11" s="60">
        <v>65</v>
      </c>
      <c r="R11" s="487">
        <v>64.900000000000006</v>
      </c>
      <c r="S11" s="487">
        <v>91.5</v>
      </c>
      <c r="T11" s="487">
        <v>62.2</v>
      </c>
      <c r="U11" s="487">
        <v>51.8</v>
      </c>
      <c r="V11" s="487">
        <v>69.3</v>
      </c>
      <c r="W11" s="60">
        <v>66.900000000000006</v>
      </c>
      <c r="X11" s="32">
        <v>70.3</v>
      </c>
      <c r="Y11" s="32">
        <v>91.4</v>
      </c>
      <c r="Z11" s="32">
        <v>63.9</v>
      </c>
      <c r="AA11" s="32">
        <v>55.7</v>
      </c>
      <c r="AB11" s="32">
        <v>70.099999999999994</v>
      </c>
      <c r="AC11" s="60">
        <v>68.900000000000006</v>
      </c>
      <c r="AD11" s="48">
        <v>68.400000000000006</v>
      </c>
      <c r="AE11" s="48">
        <v>94</v>
      </c>
      <c r="AF11" s="48">
        <v>66.900000000000006</v>
      </c>
      <c r="AG11" s="48">
        <v>59.8</v>
      </c>
      <c r="AH11" s="48">
        <v>71.099999999999994</v>
      </c>
      <c r="AI11" s="60">
        <v>70.8</v>
      </c>
      <c r="AJ11" s="48">
        <v>78.099999999999994</v>
      </c>
      <c r="AK11" s="48">
        <v>92.5</v>
      </c>
      <c r="AL11" s="48">
        <v>71.099999999999994</v>
      </c>
      <c r="AM11" s="48">
        <v>63.6</v>
      </c>
      <c r="AN11" s="345">
        <v>72.3</v>
      </c>
      <c r="AO11" s="29">
        <v>72</v>
      </c>
      <c r="AP11" s="29">
        <v>94</v>
      </c>
      <c r="AQ11" s="29">
        <v>92</v>
      </c>
      <c r="AR11" s="29">
        <v>75</v>
      </c>
      <c r="AS11" s="29">
        <v>63</v>
      </c>
      <c r="AT11" s="344">
        <v>75</v>
      </c>
      <c r="BA11" s="34">
        <v>75.799999952316284</v>
      </c>
      <c r="BB11" s="34">
        <v>85.199999809265137</v>
      </c>
      <c r="BC11" s="34">
        <v>93.299999952316284</v>
      </c>
      <c r="BD11" s="34">
        <v>79.099999904632568</v>
      </c>
      <c r="BE11" s="34">
        <v>67.199999809265137</v>
      </c>
      <c r="BF11" s="34">
        <v>77.799999952316284</v>
      </c>
    </row>
    <row r="12" spans="1:58">
      <c r="A12" s="2" t="s">
        <v>37</v>
      </c>
      <c r="B12" s="33">
        <v>70.258437088717045</v>
      </c>
      <c r="C12" s="33">
        <v>68.21109970790242</v>
      </c>
      <c r="D12" s="36">
        <v>66.290517995145876</v>
      </c>
      <c r="E12" s="34">
        <v>63.543450142428846</v>
      </c>
      <c r="F12" s="34">
        <v>61.916096945512159</v>
      </c>
      <c r="G12" s="34">
        <v>61.96299473103786</v>
      </c>
      <c r="H12" s="34">
        <v>58.205452068145881</v>
      </c>
      <c r="I12" s="34">
        <v>57.494313052313437</v>
      </c>
      <c r="J12" s="34">
        <v>59.661653776832622</v>
      </c>
      <c r="K12" s="34">
        <v>58.662290650489183</v>
      </c>
      <c r="L12" s="34">
        <v>61.06125898803446</v>
      </c>
      <c r="M12" s="34">
        <v>60.775020064509292</v>
      </c>
      <c r="N12" s="34">
        <v>61.192426600331473</v>
      </c>
      <c r="O12" s="34">
        <v>61.739198647270577</v>
      </c>
      <c r="P12" s="34">
        <v>62.4</v>
      </c>
      <c r="Q12" s="60">
        <v>64.099999999999994</v>
      </c>
      <c r="R12" s="487">
        <v>48</v>
      </c>
      <c r="S12" s="487">
        <v>94.5</v>
      </c>
      <c r="T12" s="487">
        <v>53</v>
      </c>
      <c r="U12" s="487">
        <v>55.2</v>
      </c>
      <c r="V12" s="487">
        <v>69</v>
      </c>
      <c r="W12" s="60">
        <v>65.400000000000006</v>
      </c>
      <c r="X12" s="32">
        <v>72.099999999999994</v>
      </c>
      <c r="Y12" s="32">
        <v>92.9</v>
      </c>
      <c r="Z12" s="32">
        <v>55.4</v>
      </c>
      <c r="AA12" s="32">
        <v>57.4</v>
      </c>
      <c r="AB12" s="32">
        <v>70.7</v>
      </c>
      <c r="AC12" s="60">
        <v>67.8</v>
      </c>
      <c r="AD12" s="48">
        <v>76.099999999999994</v>
      </c>
      <c r="AE12" s="48">
        <v>94.1</v>
      </c>
      <c r="AF12" s="48">
        <v>56.6</v>
      </c>
      <c r="AG12" s="48">
        <v>61.2</v>
      </c>
      <c r="AH12" s="48">
        <v>73</v>
      </c>
      <c r="AI12" s="60">
        <v>69.900000000000006</v>
      </c>
      <c r="AJ12" s="48">
        <v>100</v>
      </c>
      <c r="AK12" s="48">
        <v>92.3</v>
      </c>
      <c r="AL12" s="48">
        <v>66.3</v>
      </c>
      <c r="AM12" s="48">
        <v>62.9</v>
      </c>
      <c r="AN12" s="345">
        <v>74.599999999999994</v>
      </c>
      <c r="AO12" s="29">
        <v>70</v>
      </c>
      <c r="AP12" s="29">
        <v>98</v>
      </c>
      <c r="AQ12" s="29">
        <v>93</v>
      </c>
      <c r="AR12" s="29">
        <v>66</v>
      </c>
      <c r="AS12" s="29">
        <v>63</v>
      </c>
      <c r="AT12" s="344">
        <v>74</v>
      </c>
      <c r="BA12" s="34">
        <v>70.5</v>
      </c>
      <c r="BB12" s="34">
        <v>66.899999856948853</v>
      </c>
      <c r="BC12" s="34">
        <v>90.799999952316284</v>
      </c>
      <c r="BD12" s="34">
        <v>64.399999856948853</v>
      </c>
      <c r="BE12" s="34">
        <v>63.699999928474426</v>
      </c>
      <c r="BF12" s="34">
        <v>76.5</v>
      </c>
    </row>
    <row r="13" spans="1:58">
      <c r="A13" s="2" t="s">
        <v>38</v>
      </c>
      <c r="B13" s="33">
        <v>72.935948390525297</v>
      </c>
      <c r="C13" s="33">
        <v>75.445479170597849</v>
      </c>
      <c r="D13" s="36">
        <v>79.230405565787294</v>
      </c>
      <c r="E13" s="34">
        <v>73.784000896948427</v>
      </c>
      <c r="F13" s="34">
        <v>71.257287275895294</v>
      </c>
      <c r="G13" s="34">
        <v>71.101070599593683</v>
      </c>
      <c r="H13" s="34">
        <v>70.17734380051867</v>
      </c>
      <c r="I13" s="34">
        <v>70.030363926832379</v>
      </c>
      <c r="J13" s="34">
        <v>69.676214494716774</v>
      </c>
      <c r="K13" s="34">
        <v>69.763142165163643</v>
      </c>
      <c r="L13" s="34">
        <v>69.761647154864178</v>
      </c>
      <c r="M13" s="34">
        <v>71.738739986136423</v>
      </c>
      <c r="N13" s="34">
        <v>73.048079446588446</v>
      </c>
      <c r="O13" s="34">
        <v>75.897797485663531</v>
      </c>
      <c r="P13" s="34">
        <v>77.2</v>
      </c>
      <c r="Q13" s="60">
        <v>76.400000000000006</v>
      </c>
      <c r="R13" s="488" t="s">
        <v>47</v>
      </c>
      <c r="S13" s="488" t="s">
        <v>47</v>
      </c>
      <c r="T13" s="488" t="s">
        <v>47</v>
      </c>
      <c r="U13" s="488" t="s">
        <v>47</v>
      </c>
      <c r="V13" s="488" t="s">
        <v>47</v>
      </c>
      <c r="W13" s="60">
        <v>74.400000000000006</v>
      </c>
      <c r="X13" s="32">
        <v>51</v>
      </c>
      <c r="Y13" s="32">
        <v>100</v>
      </c>
      <c r="Z13" s="32">
        <v>75.599999999999994</v>
      </c>
      <c r="AA13" s="32">
        <v>67.8</v>
      </c>
      <c r="AB13" s="32">
        <v>74.2</v>
      </c>
      <c r="AC13" s="60">
        <v>77.599999999999994</v>
      </c>
      <c r="AD13" s="48">
        <v>7.2</v>
      </c>
      <c r="AE13" s="48">
        <v>99</v>
      </c>
      <c r="AF13" s="48">
        <v>80.2</v>
      </c>
      <c r="AG13" s="48">
        <v>70.2</v>
      </c>
      <c r="AH13" s="48">
        <v>77.8</v>
      </c>
      <c r="AI13" s="60">
        <v>79.900000000000006</v>
      </c>
      <c r="AJ13" s="48">
        <v>67.099999999999994</v>
      </c>
      <c r="AK13" s="48">
        <v>100</v>
      </c>
      <c r="AL13" s="48">
        <v>81.099999999999994</v>
      </c>
      <c r="AM13" s="48">
        <v>75.599999999999994</v>
      </c>
      <c r="AN13" s="345">
        <v>80.900000000000006</v>
      </c>
      <c r="AO13" s="29">
        <v>81</v>
      </c>
      <c r="AP13" s="29">
        <v>63</v>
      </c>
      <c r="AQ13" s="29">
        <v>99</v>
      </c>
      <c r="AR13" s="29">
        <v>89</v>
      </c>
      <c r="AS13" s="29">
        <v>76</v>
      </c>
      <c r="AT13" s="344">
        <v>82</v>
      </c>
      <c r="BA13" s="34">
        <v>83.099999904632568</v>
      </c>
      <c r="BB13" s="34">
        <v>100</v>
      </c>
      <c r="BC13" s="34">
        <v>99.699999809265137</v>
      </c>
      <c r="BD13" s="34">
        <v>86.799999952316284</v>
      </c>
      <c r="BE13" s="34">
        <v>79.5</v>
      </c>
      <c r="BF13" s="34">
        <v>83.399999856948853</v>
      </c>
    </row>
    <row r="14" spans="1:58">
      <c r="A14" s="2" t="s">
        <v>39</v>
      </c>
      <c r="B14" s="33">
        <v>57.532497610062308</v>
      </c>
      <c r="C14" s="33">
        <v>59.393538885119057</v>
      </c>
      <c r="D14" s="36">
        <v>61.456002328344027</v>
      </c>
      <c r="E14" s="34">
        <v>62.363966806454826</v>
      </c>
      <c r="F14" s="34">
        <v>61.731846302351968</v>
      </c>
      <c r="G14" s="34">
        <v>59.317218229416802</v>
      </c>
      <c r="H14" s="34">
        <v>61.31917544954679</v>
      </c>
      <c r="I14" s="34">
        <v>61.104800274181883</v>
      </c>
      <c r="J14" s="34">
        <v>62.161208499281692</v>
      </c>
      <c r="K14" s="34">
        <v>63.7221130754453</v>
      </c>
      <c r="L14" s="34">
        <v>64.394031398046863</v>
      </c>
      <c r="M14" s="34">
        <v>64.055149537376622</v>
      </c>
      <c r="N14" s="34">
        <v>69.400000000000006</v>
      </c>
      <c r="O14" s="34">
        <v>63.892716362351798</v>
      </c>
      <c r="P14" s="34">
        <v>59.5</v>
      </c>
      <c r="Q14" s="60">
        <v>61.3</v>
      </c>
      <c r="R14" s="487">
        <v>59.5</v>
      </c>
      <c r="S14" s="487">
        <v>82.8</v>
      </c>
      <c r="T14" s="487">
        <v>63</v>
      </c>
      <c r="U14" s="487">
        <v>49.9</v>
      </c>
      <c r="V14" s="487">
        <v>71.3</v>
      </c>
      <c r="W14" s="60">
        <v>63.5</v>
      </c>
      <c r="X14" s="32">
        <v>65.2</v>
      </c>
      <c r="Y14" s="32">
        <v>86.1</v>
      </c>
      <c r="Z14" s="32">
        <v>72.3</v>
      </c>
      <c r="AA14" s="32">
        <v>53.3</v>
      </c>
      <c r="AB14" s="32">
        <v>71.900000000000006</v>
      </c>
      <c r="AC14" s="60">
        <v>67.3</v>
      </c>
      <c r="AD14" s="48">
        <v>70</v>
      </c>
      <c r="AE14" s="48">
        <v>94.2</v>
      </c>
      <c r="AF14" s="48">
        <v>73.599999999999994</v>
      </c>
      <c r="AG14" s="48">
        <v>59.6</v>
      </c>
      <c r="AH14" s="48">
        <v>73.2</v>
      </c>
      <c r="AI14" s="60">
        <v>68.8</v>
      </c>
      <c r="AJ14" s="48">
        <v>66</v>
      </c>
      <c r="AK14" s="48">
        <v>100</v>
      </c>
      <c r="AL14" s="48">
        <v>78.3</v>
      </c>
      <c r="AM14" s="48">
        <v>61.9</v>
      </c>
      <c r="AN14" s="345">
        <v>74</v>
      </c>
      <c r="AO14" s="29">
        <v>71</v>
      </c>
      <c r="AP14" s="29">
        <v>66</v>
      </c>
      <c r="AQ14" s="29">
        <v>98</v>
      </c>
      <c r="AR14" s="29">
        <v>90</v>
      </c>
      <c r="AS14" s="29">
        <v>64</v>
      </c>
      <c r="AT14" s="344">
        <v>76</v>
      </c>
      <c r="BA14" s="34">
        <v>72.699999809265137</v>
      </c>
      <c r="BB14" s="34">
        <v>69.5</v>
      </c>
      <c r="BC14" s="34">
        <v>97.099999904632568</v>
      </c>
      <c r="BD14" s="34">
        <v>94.399999856948853</v>
      </c>
      <c r="BE14" s="34">
        <v>64.299999952316284</v>
      </c>
      <c r="BF14" s="34">
        <v>78</v>
      </c>
    </row>
    <row r="15" spans="1:58">
      <c r="A15" s="2" t="s">
        <v>40</v>
      </c>
      <c r="B15" s="33">
        <v>77.484422684123018</v>
      </c>
      <c r="C15" s="33">
        <v>80.026864264342208</v>
      </c>
      <c r="D15" s="36">
        <v>78.928424591416004</v>
      </c>
      <c r="E15" s="34">
        <v>78.19337953563344</v>
      </c>
      <c r="F15" s="34">
        <v>78.345503014496856</v>
      </c>
      <c r="G15" s="34">
        <v>76.593447099061777</v>
      </c>
      <c r="H15" s="34">
        <v>76.159252958572409</v>
      </c>
      <c r="I15" s="34">
        <v>76.64459273100212</v>
      </c>
      <c r="J15" s="34">
        <v>77.647886200844596</v>
      </c>
      <c r="K15" s="34">
        <v>78.689323387578455</v>
      </c>
      <c r="L15" s="34">
        <v>79.74948199792037</v>
      </c>
      <c r="M15" s="34">
        <v>79.220201013077599</v>
      </c>
      <c r="N15" s="34">
        <v>79.549509787487054</v>
      </c>
      <c r="O15" s="34">
        <v>79.307023752084874</v>
      </c>
      <c r="P15" s="34">
        <v>79.900000000000006</v>
      </c>
      <c r="Q15" s="60">
        <v>80</v>
      </c>
      <c r="R15" s="487">
        <v>71.599999999999994</v>
      </c>
      <c r="S15" s="487">
        <v>99.6</v>
      </c>
      <c r="T15" s="487">
        <v>76.8</v>
      </c>
      <c r="U15" s="487">
        <v>72.400000000000006</v>
      </c>
      <c r="V15" s="487">
        <v>84.3</v>
      </c>
      <c r="W15" s="60">
        <v>80.400000000000006</v>
      </c>
      <c r="X15" s="32">
        <v>73.400000000000006</v>
      </c>
      <c r="Y15" s="32">
        <v>100</v>
      </c>
      <c r="Z15" s="32">
        <v>75.900000000000006</v>
      </c>
      <c r="AA15" s="32">
        <v>73</v>
      </c>
      <c r="AB15" s="32">
        <v>84.9</v>
      </c>
      <c r="AC15" s="60">
        <v>80.099999999999994</v>
      </c>
      <c r="AD15" s="48">
        <v>71.5</v>
      </c>
      <c r="AE15" s="48">
        <v>98.8</v>
      </c>
      <c r="AF15" s="48">
        <v>76.8</v>
      </c>
      <c r="AG15" s="48">
        <v>71.8</v>
      </c>
      <c r="AH15" s="48">
        <v>85.6</v>
      </c>
      <c r="AI15" s="60">
        <v>82.2</v>
      </c>
      <c r="AJ15" s="48">
        <v>78.2</v>
      </c>
      <c r="AK15" s="48">
        <v>100</v>
      </c>
      <c r="AL15" s="48">
        <v>77.400000000000006</v>
      </c>
      <c r="AM15" s="48">
        <v>74.099999999999994</v>
      </c>
      <c r="AN15" s="345">
        <v>87.5</v>
      </c>
      <c r="AO15" s="29">
        <v>84</v>
      </c>
      <c r="AP15" s="29">
        <v>76</v>
      </c>
      <c r="AQ15" s="29">
        <v>96</v>
      </c>
      <c r="AR15" s="29">
        <v>85</v>
      </c>
      <c r="AS15" s="29">
        <v>75</v>
      </c>
      <c r="AT15" s="344">
        <v>86</v>
      </c>
      <c r="BA15" s="34">
        <v>85.599999904632568</v>
      </c>
      <c r="BB15" s="34">
        <v>85</v>
      </c>
      <c r="BC15" s="34">
        <v>99.299999952316284</v>
      </c>
      <c r="BD15" s="34">
        <v>84.5</v>
      </c>
      <c r="BE15" s="34">
        <v>76.199999809265137</v>
      </c>
      <c r="BF15" s="34">
        <v>88.599999904632568</v>
      </c>
    </row>
    <row r="16" spans="1:58">
      <c r="A16" s="2" t="s">
        <v>41</v>
      </c>
      <c r="B16" s="33">
        <v>63.266850512246251</v>
      </c>
      <c r="C16" s="33">
        <v>64.607353867592948</v>
      </c>
      <c r="D16" s="36">
        <v>63.821522448444547</v>
      </c>
      <c r="E16" s="34">
        <v>61.991765612349269</v>
      </c>
      <c r="F16" s="34">
        <v>59.726582339463562</v>
      </c>
      <c r="G16" s="34">
        <v>59.642506207807308</v>
      </c>
      <c r="H16" s="34">
        <v>59.832835703313656</v>
      </c>
      <c r="I16" s="34">
        <v>59.227127624424099</v>
      </c>
      <c r="J16" s="34">
        <v>59.400958894621894</v>
      </c>
      <c r="K16" s="34">
        <v>59.717869809978851</v>
      </c>
      <c r="L16" s="34">
        <v>61.241947111368845</v>
      </c>
      <c r="M16" s="34">
        <v>62.705699113026803</v>
      </c>
      <c r="N16" s="34">
        <v>62.730986424753389</v>
      </c>
      <c r="O16" s="34">
        <v>63.342927689860851</v>
      </c>
      <c r="P16" s="34">
        <v>63.5</v>
      </c>
      <c r="Q16" s="60">
        <v>63.6</v>
      </c>
      <c r="R16" s="487">
        <v>57.4</v>
      </c>
      <c r="S16" s="487">
        <v>84.1</v>
      </c>
      <c r="T16" s="487">
        <v>66.400000000000006</v>
      </c>
      <c r="U16" s="487">
        <v>60</v>
      </c>
      <c r="V16" s="487">
        <v>66.900000000000006</v>
      </c>
      <c r="W16" s="60">
        <v>63.9</v>
      </c>
      <c r="X16" s="32">
        <v>58</v>
      </c>
      <c r="Y16" s="32">
        <v>88.3</v>
      </c>
      <c r="Z16" s="32">
        <v>65.900000000000006</v>
      </c>
      <c r="AA16" s="32">
        <v>60.5</v>
      </c>
      <c r="AB16" s="32">
        <v>67</v>
      </c>
      <c r="AC16" s="60">
        <v>62</v>
      </c>
      <c r="AD16" s="48">
        <v>49.3</v>
      </c>
      <c r="AE16" s="48">
        <v>79.900000000000006</v>
      </c>
      <c r="AF16" s="48">
        <v>67.7</v>
      </c>
      <c r="AG16" s="48">
        <v>58.6</v>
      </c>
      <c r="AH16" s="48">
        <v>65.3</v>
      </c>
      <c r="AI16" s="60">
        <v>63.8</v>
      </c>
      <c r="AJ16" s="48">
        <v>59.7</v>
      </c>
      <c r="AK16" s="48">
        <v>86.7</v>
      </c>
      <c r="AL16" s="48">
        <v>61.8</v>
      </c>
      <c r="AM16" s="48">
        <v>59.3</v>
      </c>
      <c r="AN16" s="345">
        <v>68.400000000000006</v>
      </c>
      <c r="AO16" s="29">
        <v>69</v>
      </c>
      <c r="AP16" s="29">
        <v>55</v>
      </c>
      <c r="AQ16" s="29">
        <v>93</v>
      </c>
      <c r="AR16" s="29">
        <v>68</v>
      </c>
      <c r="AS16" s="29">
        <v>65</v>
      </c>
      <c r="AT16" s="344">
        <v>72</v>
      </c>
      <c r="BA16" s="34">
        <v>68.399999856948853</v>
      </c>
      <c r="BB16" s="34">
        <v>60.799999952316284</v>
      </c>
      <c r="BC16" s="34">
        <v>88.699999809265137</v>
      </c>
      <c r="BD16" s="34">
        <v>64.699999809265137</v>
      </c>
      <c r="BE16" s="34">
        <v>63.099999904632568</v>
      </c>
      <c r="BF16" s="34">
        <v>74.199999809265137</v>
      </c>
    </row>
    <row r="17" spans="1:58">
      <c r="A17" s="2" t="s">
        <v>42</v>
      </c>
      <c r="B17" s="33">
        <v>71.259466236749063</v>
      </c>
      <c r="C17" s="33">
        <v>70.904064632106937</v>
      </c>
      <c r="D17" s="36">
        <v>69.723308706165056</v>
      </c>
      <c r="E17" s="34">
        <v>69.097789295619833</v>
      </c>
      <c r="F17" s="34">
        <v>66.46182609839633</v>
      </c>
      <c r="G17" s="34">
        <v>65.485539923259054</v>
      </c>
      <c r="H17" s="34">
        <v>65.554506988929205</v>
      </c>
      <c r="I17" s="34">
        <v>65.376562943182861</v>
      </c>
      <c r="J17" s="34">
        <v>65.83653204376705</v>
      </c>
      <c r="K17" s="34">
        <v>66.539956942356866</v>
      </c>
      <c r="L17" s="34">
        <v>68.167997208857102</v>
      </c>
      <c r="M17" s="34">
        <v>70.052704441983707</v>
      </c>
      <c r="N17" s="34">
        <v>71.366032128987001</v>
      </c>
      <c r="O17" s="34">
        <v>72.591134917570074</v>
      </c>
      <c r="P17" s="34">
        <v>71.8</v>
      </c>
      <c r="Q17" s="60">
        <v>68.599999999999994</v>
      </c>
      <c r="R17" s="487">
        <v>53.8</v>
      </c>
      <c r="S17" s="487">
        <v>84.4</v>
      </c>
      <c r="T17" s="487">
        <v>58.1</v>
      </c>
      <c r="U17" s="487">
        <v>58</v>
      </c>
      <c r="V17" s="487">
        <v>73.099999999999994</v>
      </c>
      <c r="W17" s="60">
        <v>72.8</v>
      </c>
      <c r="X17" s="32">
        <v>60.7</v>
      </c>
      <c r="Y17" s="32">
        <v>86.9</v>
      </c>
      <c r="Z17" s="32">
        <v>63.7</v>
      </c>
      <c r="AA17" s="32">
        <v>61.9</v>
      </c>
      <c r="AB17" s="32">
        <v>77.3</v>
      </c>
      <c r="AC17" s="60">
        <v>75.099999999999994</v>
      </c>
      <c r="AD17" s="48">
        <v>67.2</v>
      </c>
      <c r="AE17" s="48">
        <v>93.3</v>
      </c>
      <c r="AF17" s="48">
        <v>66.5</v>
      </c>
      <c r="AG17" s="48">
        <v>65</v>
      </c>
      <c r="AH17" s="48">
        <v>79.3</v>
      </c>
      <c r="AI17" s="60">
        <v>76.900000000000006</v>
      </c>
      <c r="AJ17" s="48">
        <v>75.2</v>
      </c>
      <c r="AK17" s="48">
        <v>93.1</v>
      </c>
      <c r="AL17" s="48">
        <v>67.400000000000006</v>
      </c>
      <c r="AM17" s="48">
        <v>69.5</v>
      </c>
      <c r="AN17" s="345">
        <v>80.599999999999994</v>
      </c>
      <c r="AO17" s="29">
        <v>77</v>
      </c>
      <c r="AP17" s="29">
        <v>71</v>
      </c>
      <c r="AQ17" s="29">
        <v>84</v>
      </c>
      <c r="AR17" s="29">
        <v>74</v>
      </c>
      <c r="AS17" s="29">
        <v>68</v>
      </c>
      <c r="AT17" s="344">
        <v>81</v>
      </c>
      <c r="BA17" s="34">
        <v>80.5</v>
      </c>
      <c r="BB17" s="34">
        <v>76.299999952316284</v>
      </c>
      <c r="BC17" s="34">
        <v>91.899999856948853</v>
      </c>
      <c r="BD17" s="34">
        <v>79.899999856948853</v>
      </c>
      <c r="BE17" s="34">
        <v>69.699999809265137</v>
      </c>
      <c r="BF17" s="34">
        <v>83.399999856948853</v>
      </c>
    </row>
    <row r="18" spans="1:58">
      <c r="A18" s="2" t="s">
        <v>43</v>
      </c>
      <c r="B18" s="33">
        <v>76.483137728957516</v>
      </c>
      <c r="C18" s="33">
        <v>77.417342283805027</v>
      </c>
      <c r="D18" s="36">
        <v>77.639759504681891</v>
      </c>
      <c r="E18" s="34">
        <v>77.415005026487265</v>
      </c>
      <c r="F18" s="34">
        <v>75.619908973008137</v>
      </c>
      <c r="G18" s="34">
        <v>74.843469833918334</v>
      </c>
      <c r="H18" s="34">
        <v>75.073633569205526</v>
      </c>
      <c r="I18" s="34">
        <v>76.374381832318633</v>
      </c>
      <c r="J18" s="34">
        <v>75.751032405466106</v>
      </c>
      <c r="K18" s="34">
        <v>75.819901303986413</v>
      </c>
      <c r="L18" s="34">
        <v>75.958910245159672</v>
      </c>
      <c r="M18" s="34">
        <v>75.989860486070853</v>
      </c>
      <c r="N18" s="34">
        <v>77.033370098674851</v>
      </c>
      <c r="O18" s="34">
        <v>76.905995176298063</v>
      </c>
      <c r="P18" s="34">
        <v>77.8</v>
      </c>
      <c r="Q18" s="60">
        <v>77.8</v>
      </c>
      <c r="R18" s="487">
        <v>77.3</v>
      </c>
      <c r="S18" s="487">
        <v>100</v>
      </c>
      <c r="T18" s="487">
        <v>75</v>
      </c>
      <c r="U18" s="487">
        <v>70.7</v>
      </c>
      <c r="V18" s="487">
        <v>78.599999999999994</v>
      </c>
      <c r="W18" s="60">
        <v>78</v>
      </c>
      <c r="X18" s="32">
        <v>76.400000000000006</v>
      </c>
      <c r="Y18" s="32">
        <v>100</v>
      </c>
      <c r="Z18" s="32">
        <v>73</v>
      </c>
      <c r="AA18" s="32">
        <v>72.400000000000006</v>
      </c>
      <c r="AB18" s="32">
        <v>79</v>
      </c>
      <c r="AC18" s="60">
        <v>77.3</v>
      </c>
      <c r="AD18" s="48">
        <v>75.5</v>
      </c>
      <c r="AE18" s="48">
        <v>100</v>
      </c>
      <c r="AF18" s="48">
        <v>73.7</v>
      </c>
      <c r="AG18" s="48">
        <v>68.7</v>
      </c>
      <c r="AH18" s="48">
        <v>79</v>
      </c>
      <c r="AI18" s="60">
        <v>78.5</v>
      </c>
      <c r="AJ18" s="48">
        <v>76.900000000000006</v>
      </c>
      <c r="AK18" s="48">
        <v>100</v>
      </c>
      <c r="AL18" s="48">
        <v>70.7</v>
      </c>
      <c r="AM18" s="48">
        <v>68.8</v>
      </c>
      <c r="AN18" s="345">
        <v>80.7</v>
      </c>
      <c r="AO18" s="29">
        <v>80</v>
      </c>
      <c r="AP18" s="29">
        <v>74</v>
      </c>
      <c r="AQ18" s="29">
        <v>99</v>
      </c>
      <c r="AR18" s="29">
        <v>74</v>
      </c>
      <c r="AS18" s="29">
        <v>67</v>
      </c>
      <c r="AT18" s="344">
        <v>82</v>
      </c>
      <c r="BA18" s="34">
        <v>79.399999856948853</v>
      </c>
      <c r="BB18" s="34">
        <v>71.5</v>
      </c>
      <c r="BC18" s="34">
        <v>92.799999952316284</v>
      </c>
      <c r="BD18" s="34">
        <v>76.599999904632568</v>
      </c>
      <c r="BE18" s="34">
        <v>66.199999809265137</v>
      </c>
      <c r="BF18" s="34">
        <v>81</v>
      </c>
    </row>
    <row r="19" spans="1:58">
      <c r="A19" s="2" t="s">
        <v>44</v>
      </c>
      <c r="B19" s="33">
        <v>66.649835390115328</v>
      </c>
      <c r="C19" s="33">
        <v>65.412402377087446</v>
      </c>
      <c r="D19" s="36">
        <v>64.258267716535428</v>
      </c>
      <c r="E19" s="34">
        <v>61.639019294004193</v>
      </c>
      <c r="F19" s="34">
        <v>60.884358315738517</v>
      </c>
      <c r="G19" s="34">
        <v>59.610191230591738</v>
      </c>
      <c r="H19" s="34">
        <v>59.263666931126977</v>
      </c>
      <c r="I19" s="34">
        <v>59.082296884086517</v>
      </c>
      <c r="J19" s="34">
        <v>58.605711602387458</v>
      </c>
      <c r="K19" s="34">
        <v>56.506765530609556</v>
      </c>
      <c r="L19" s="34">
        <v>57.948781240357917</v>
      </c>
      <c r="M19" s="34">
        <v>59.705534553430837</v>
      </c>
      <c r="N19" s="34">
        <v>60.642646003381707</v>
      </c>
      <c r="O19" s="34">
        <v>60.076175419054636</v>
      </c>
      <c r="P19" s="48" t="s">
        <v>47</v>
      </c>
      <c r="Q19" s="60">
        <v>58.9</v>
      </c>
      <c r="R19" s="487">
        <v>28.6</v>
      </c>
      <c r="S19" s="487">
        <v>73.7</v>
      </c>
      <c r="T19" s="487">
        <v>44.1</v>
      </c>
      <c r="U19" s="487">
        <v>51</v>
      </c>
      <c r="V19" s="487">
        <v>66.2</v>
      </c>
      <c r="W19" s="60">
        <v>62.2</v>
      </c>
      <c r="X19" s="32" t="s">
        <v>503</v>
      </c>
      <c r="Y19" s="32" t="s">
        <v>503</v>
      </c>
      <c r="Z19" s="32" t="s">
        <v>503</v>
      </c>
      <c r="AA19" s="32" t="s">
        <v>503</v>
      </c>
      <c r="AB19" s="32" t="s">
        <v>503</v>
      </c>
      <c r="AC19" s="60">
        <v>66</v>
      </c>
      <c r="AD19" s="48">
        <v>62.9</v>
      </c>
      <c r="AE19" s="48">
        <v>90.3</v>
      </c>
      <c r="AF19" s="48">
        <v>64</v>
      </c>
      <c r="AG19" s="48">
        <v>58.9</v>
      </c>
      <c r="AH19" s="48">
        <v>71.599999999999994</v>
      </c>
      <c r="AI19" s="60">
        <v>68.2</v>
      </c>
      <c r="AJ19" s="48">
        <v>59.6</v>
      </c>
      <c r="AK19" s="48">
        <v>97.1</v>
      </c>
      <c r="AL19" s="48">
        <v>65.7</v>
      </c>
      <c r="AM19" s="48">
        <v>61.5</v>
      </c>
      <c r="AN19" s="345">
        <v>72.8</v>
      </c>
      <c r="AO19" s="29">
        <v>69</v>
      </c>
      <c r="AP19" s="29">
        <v>61</v>
      </c>
      <c r="AQ19" s="29">
        <v>79</v>
      </c>
      <c r="AR19" s="29">
        <v>70</v>
      </c>
      <c r="AS19" s="29">
        <v>62</v>
      </c>
      <c r="AT19" s="344">
        <v>73</v>
      </c>
      <c r="BA19" s="34">
        <v>74.199999809265137</v>
      </c>
      <c r="BB19" s="34">
        <v>57.399999976158142</v>
      </c>
      <c r="BC19" s="34">
        <v>86.299999952316284</v>
      </c>
      <c r="BD19" s="34">
        <v>74.699999809265137</v>
      </c>
      <c r="BE19" s="34">
        <v>66.299999952316284</v>
      </c>
      <c r="BF19" s="34">
        <v>78.199999809265137</v>
      </c>
    </row>
    <row r="20" spans="1:58">
      <c r="A20" s="2" t="s">
        <v>45</v>
      </c>
      <c r="B20" s="33">
        <v>69.763631599125915</v>
      </c>
      <c r="C20" s="33">
        <v>69.979860717131771</v>
      </c>
      <c r="D20" s="36">
        <v>65.741829137747828</v>
      </c>
      <c r="E20" s="34">
        <v>66.728990593630257</v>
      </c>
      <c r="F20" s="34">
        <v>66.604004131183629</v>
      </c>
      <c r="G20" s="34">
        <v>61.640119112074473</v>
      </c>
      <c r="H20" s="34">
        <v>58.390529766233456</v>
      </c>
      <c r="I20" s="34">
        <v>58.495959904392755</v>
      </c>
      <c r="J20" s="34">
        <v>59.545158388314526</v>
      </c>
      <c r="K20" s="34">
        <v>58.977522842253137</v>
      </c>
      <c r="L20" s="34">
        <v>59.578351527772824</v>
      </c>
      <c r="M20" s="34">
        <v>63.362001565993076</v>
      </c>
      <c r="N20" s="34">
        <v>66.114360375756391</v>
      </c>
      <c r="O20" s="34">
        <v>68.487016627108574</v>
      </c>
      <c r="P20" s="34">
        <v>70.599999999999994</v>
      </c>
      <c r="Q20" s="60">
        <v>72.599999999999994</v>
      </c>
      <c r="R20" s="487">
        <v>68.599999999999994</v>
      </c>
      <c r="S20" s="487">
        <v>94.1</v>
      </c>
      <c r="T20" s="487">
        <v>71.099999999999994</v>
      </c>
      <c r="U20" s="487">
        <v>64.400000000000006</v>
      </c>
      <c r="V20" s="487">
        <v>75.2</v>
      </c>
      <c r="W20" s="60">
        <v>74.900000000000006</v>
      </c>
      <c r="X20" s="32">
        <v>71.900000000000006</v>
      </c>
      <c r="Y20" s="32">
        <v>94.3</v>
      </c>
      <c r="Z20" s="32">
        <v>72.3</v>
      </c>
      <c r="AA20" s="32">
        <v>67.400000000000006</v>
      </c>
      <c r="AB20" s="32">
        <v>77.3</v>
      </c>
      <c r="AC20" s="60">
        <v>77.400000000000006</v>
      </c>
      <c r="AD20" s="48">
        <v>83.2</v>
      </c>
      <c r="AE20" s="48">
        <v>97.8</v>
      </c>
      <c r="AF20" s="48">
        <v>74.3</v>
      </c>
      <c r="AG20" s="48">
        <v>71.400000000000006</v>
      </c>
      <c r="AH20" s="48">
        <v>79.400000000000006</v>
      </c>
      <c r="AI20" s="60">
        <v>80.400000000000006</v>
      </c>
      <c r="AJ20" s="48">
        <v>83.8</v>
      </c>
      <c r="AK20" s="48">
        <v>99.1</v>
      </c>
      <c r="AL20" s="48">
        <v>78.099999999999994</v>
      </c>
      <c r="AM20" s="48">
        <v>75.599999999999994</v>
      </c>
      <c r="AN20" s="345">
        <v>82</v>
      </c>
      <c r="AO20" s="29">
        <v>81</v>
      </c>
      <c r="AP20" s="29">
        <v>98</v>
      </c>
      <c r="AQ20" s="29">
        <v>97</v>
      </c>
      <c r="AR20" s="29">
        <v>74</v>
      </c>
      <c r="AS20" s="29">
        <v>75</v>
      </c>
      <c r="AT20" s="344">
        <v>83</v>
      </c>
      <c r="BA20" s="34">
        <v>82.399999856948853</v>
      </c>
      <c r="BB20" s="34">
        <v>96.099999904632568</v>
      </c>
      <c r="BC20" s="34">
        <v>100</v>
      </c>
      <c r="BD20" s="34">
        <v>82.699999809265137</v>
      </c>
      <c r="BE20" s="34">
        <v>77.599999904632568</v>
      </c>
      <c r="BF20" s="34">
        <v>83.799999952316284</v>
      </c>
    </row>
    <row r="21" spans="1:58">
      <c r="A21" s="2" t="s">
        <v>46</v>
      </c>
      <c r="B21" s="33">
        <v>72.198221408541713</v>
      </c>
      <c r="C21" s="33">
        <v>65.773010885284592</v>
      </c>
      <c r="D21" s="36">
        <v>66.218557638074529</v>
      </c>
      <c r="E21" s="34">
        <v>66.766234682597542</v>
      </c>
      <c r="F21" s="34">
        <v>66.109102100484733</v>
      </c>
      <c r="G21" s="34">
        <v>67.047360061369901</v>
      </c>
      <c r="H21" s="34">
        <v>69.390804948258193</v>
      </c>
      <c r="I21" s="34">
        <v>69.246770756021007</v>
      </c>
      <c r="J21" s="34">
        <v>71.033563226571232</v>
      </c>
      <c r="K21" s="34">
        <v>70.8448767134105</v>
      </c>
      <c r="L21" s="34">
        <v>73.53144158422738</v>
      </c>
      <c r="M21" s="34">
        <v>75.472353967266187</v>
      </c>
      <c r="N21" s="34">
        <v>76.719604427877314</v>
      </c>
      <c r="O21" s="34">
        <v>74.013226957799702</v>
      </c>
      <c r="P21" s="34">
        <v>72.5</v>
      </c>
      <c r="Q21" s="60">
        <v>71.900000000000006</v>
      </c>
      <c r="R21" s="487">
        <v>85.4</v>
      </c>
      <c r="S21" s="487">
        <v>99</v>
      </c>
      <c r="T21" s="487">
        <v>63.1</v>
      </c>
      <c r="U21" s="487">
        <v>64.7</v>
      </c>
      <c r="V21" s="487">
        <v>81.099999999999994</v>
      </c>
      <c r="W21" s="60">
        <v>73.099999999999994</v>
      </c>
      <c r="X21" s="32">
        <v>80.099999999999994</v>
      </c>
      <c r="Y21" s="32">
        <v>98.6</v>
      </c>
      <c r="Z21" s="32">
        <v>65.900000000000006</v>
      </c>
      <c r="AA21" s="32">
        <v>65.7</v>
      </c>
      <c r="AB21" s="32">
        <v>81.599999999999994</v>
      </c>
      <c r="AC21" s="60">
        <v>75.400000000000006</v>
      </c>
      <c r="AD21" s="48">
        <v>81.900000000000006</v>
      </c>
      <c r="AE21" s="48">
        <v>100</v>
      </c>
      <c r="AF21" s="48">
        <v>69.599999999999994</v>
      </c>
      <c r="AG21" s="48">
        <v>68</v>
      </c>
      <c r="AH21" s="48">
        <v>82.7</v>
      </c>
      <c r="AI21" s="60">
        <v>78.900000000000006</v>
      </c>
      <c r="AJ21" s="48">
        <v>100</v>
      </c>
      <c r="AK21" s="48">
        <v>95.9</v>
      </c>
      <c r="AL21" s="48">
        <v>77.400000000000006</v>
      </c>
      <c r="AM21" s="48">
        <v>69.400000000000006</v>
      </c>
      <c r="AN21" s="345">
        <v>82.8</v>
      </c>
      <c r="AO21" s="29">
        <v>81</v>
      </c>
      <c r="AP21" s="29">
        <v>99</v>
      </c>
      <c r="AQ21" s="29">
        <v>95</v>
      </c>
      <c r="AR21" s="29">
        <v>80</v>
      </c>
      <c r="AS21" s="29">
        <v>71</v>
      </c>
      <c r="AT21" s="344">
        <v>83</v>
      </c>
      <c r="BA21" s="34">
        <v>83.599999904632568</v>
      </c>
      <c r="BB21" s="34">
        <v>71.5</v>
      </c>
      <c r="BC21" s="34">
        <v>97.399999856948853</v>
      </c>
      <c r="BD21" s="34">
        <v>82.099999904632568</v>
      </c>
      <c r="BE21" s="34">
        <v>77</v>
      </c>
      <c r="BF21" s="34">
        <v>85.799999952316284</v>
      </c>
    </row>
    <row r="22" spans="1:58">
      <c r="A22" s="2" t="s">
        <v>48</v>
      </c>
      <c r="B22" s="33">
        <v>76.19664551367859</v>
      </c>
      <c r="C22" s="33">
        <v>77.012625733815923</v>
      </c>
      <c r="D22" s="36">
        <v>75.669548908390922</v>
      </c>
      <c r="E22" s="34">
        <v>74.954443028650516</v>
      </c>
      <c r="F22" s="34">
        <v>76.205649040019296</v>
      </c>
      <c r="G22" s="34">
        <v>76.555113624919485</v>
      </c>
      <c r="H22" s="34">
        <v>76.636149583240126</v>
      </c>
      <c r="I22" s="34">
        <v>76.281993805219699</v>
      </c>
      <c r="J22" s="34">
        <v>76.903135516923271</v>
      </c>
      <c r="K22" s="34">
        <v>77.532415001724402</v>
      </c>
      <c r="L22" s="34">
        <v>76.724432096634331</v>
      </c>
      <c r="M22" s="34">
        <v>80.596470290151089</v>
      </c>
      <c r="N22" s="34">
        <v>79.29248209295622</v>
      </c>
      <c r="O22" s="34">
        <v>79.627972033014757</v>
      </c>
      <c r="P22" s="34">
        <v>74.5</v>
      </c>
      <c r="Q22" s="60">
        <v>75.5</v>
      </c>
      <c r="R22" s="487">
        <v>58</v>
      </c>
      <c r="S22" s="487">
        <v>97.4</v>
      </c>
      <c r="T22" s="487">
        <v>66.8</v>
      </c>
      <c r="U22" s="487">
        <v>63.1</v>
      </c>
      <c r="V22" s="487">
        <v>79.8</v>
      </c>
      <c r="W22" s="60">
        <v>77</v>
      </c>
      <c r="X22" s="32">
        <v>55.2</v>
      </c>
      <c r="Y22" s="32">
        <v>99.1</v>
      </c>
      <c r="Z22" s="32">
        <v>70.5</v>
      </c>
      <c r="AA22" s="32">
        <v>65.3</v>
      </c>
      <c r="AB22" s="32">
        <v>80.8</v>
      </c>
      <c r="AC22" s="60">
        <v>78.400000000000006</v>
      </c>
      <c r="AD22" s="48">
        <v>79.7</v>
      </c>
      <c r="AE22" s="48">
        <v>99.4</v>
      </c>
      <c r="AF22" s="48">
        <v>71.8</v>
      </c>
      <c r="AG22" s="48">
        <v>67.2</v>
      </c>
      <c r="AH22" s="48">
        <v>82.3</v>
      </c>
      <c r="AI22" s="60">
        <v>81.2</v>
      </c>
      <c r="AJ22" s="48">
        <v>85.2</v>
      </c>
      <c r="AK22" s="48">
        <v>100</v>
      </c>
      <c r="AL22" s="48">
        <v>75.900000000000006</v>
      </c>
      <c r="AM22" s="48">
        <v>71</v>
      </c>
      <c r="AN22" s="345">
        <v>84.9</v>
      </c>
      <c r="AO22" s="29">
        <v>83</v>
      </c>
      <c r="AP22" s="29">
        <v>87</v>
      </c>
      <c r="AQ22" s="29">
        <v>99</v>
      </c>
      <c r="AR22" s="29">
        <v>91</v>
      </c>
      <c r="AS22" s="29">
        <v>70</v>
      </c>
      <c r="AT22" s="344">
        <v>84</v>
      </c>
      <c r="BA22" s="34">
        <v>84.799999952316284</v>
      </c>
      <c r="BB22" s="34">
        <v>76.199999809265137</v>
      </c>
      <c r="BC22" s="34">
        <v>98.5</v>
      </c>
      <c r="BD22" s="34">
        <v>89.699999809265137</v>
      </c>
      <c r="BE22" s="34">
        <v>72.699999809265137</v>
      </c>
      <c r="BF22" s="34">
        <v>86.399999856948853</v>
      </c>
    </row>
    <row r="23" spans="1:58">
      <c r="A23" s="6" t="s">
        <v>49</v>
      </c>
      <c r="B23" s="30">
        <v>76.592483079347375</v>
      </c>
      <c r="C23" s="30">
        <v>77.443745253545217</v>
      </c>
      <c r="D23" s="37">
        <v>77.660879485692192</v>
      </c>
      <c r="E23" s="38">
        <v>75.680247981984223</v>
      </c>
      <c r="F23" s="38">
        <v>76.998873917078598</v>
      </c>
      <c r="G23" s="38">
        <v>76.660234843404027</v>
      </c>
      <c r="H23" s="38">
        <v>77.448349707260803</v>
      </c>
      <c r="I23" s="38">
        <v>77.908734511086564</v>
      </c>
      <c r="J23" s="38">
        <v>76.744984669521159</v>
      </c>
      <c r="K23" s="38">
        <v>75.859561965293892</v>
      </c>
      <c r="L23" s="38">
        <v>74.174766370677958</v>
      </c>
      <c r="M23" s="38">
        <v>75.732180591679182</v>
      </c>
      <c r="N23" s="38">
        <v>76.894147188891921</v>
      </c>
      <c r="O23" s="38">
        <v>77.29150191435734</v>
      </c>
      <c r="P23" s="38">
        <v>76.900000000000006</v>
      </c>
      <c r="Q23" s="61">
        <v>78.2</v>
      </c>
      <c r="R23" s="489">
        <v>66.7</v>
      </c>
      <c r="S23" s="489">
        <v>100</v>
      </c>
      <c r="T23" s="489">
        <v>93.5</v>
      </c>
      <c r="U23" s="489">
        <v>73.900000000000006</v>
      </c>
      <c r="V23" s="489">
        <v>78.2</v>
      </c>
      <c r="W23" s="61">
        <v>77.3</v>
      </c>
      <c r="X23" s="54">
        <v>70</v>
      </c>
      <c r="Y23" s="54">
        <v>100</v>
      </c>
      <c r="Z23" s="54">
        <v>87.8</v>
      </c>
      <c r="AA23" s="54">
        <v>72.3</v>
      </c>
      <c r="AB23" s="54">
        <v>77.3</v>
      </c>
      <c r="AC23" s="61">
        <v>77</v>
      </c>
      <c r="AD23" s="80">
        <v>57.1</v>
      </c>
      <c r="AE23" s="80">
        <v>100</v>
      </c>
      <c r="AF23" s="80">
        <v>88.1</v>
      </c>
      <c r="AG23" s="80">
        <v>70.2</v>
      </c>
      <c r="AH23" s="80">
        <v>77</v>
      </c>
      <c r="AI23" s="61">
        <v>78.3</v>
      </c>
      <c r="AJ23" s="80">
        <v>77.8</v>
      </c>
      <c r="AK23" s="80">
        <v>100</v>
      </c>
      <c r="AL23" s="80">
        <v>74.900000000000006</v>
      </c>
      <c r="AM23" s="80">
        <v>74.400000000000006</v>
      </c>
      <c r="AN23" s="346">
        <v>78.2</v>
      </c>
      <c r="AO23" s="29">
        <v>78</v>
      </c>
      <c r="AP23" s="29">
        <v>55</v>
      </c>
      <c r="AQ23" s="29">
        <v>97</v>
      </c>
      <c r="AR23" s="29">
        <v>81</v>
      </c>
      <c r="AS23" s="29">
        <v>74</v>
      </c>
      <c r="AT23" s="344">
        <v>78</v>
      </c>
      <c r="BA23" s="34">
        <v>81.5</v>
      </c>
      <c r="BB23" s="34" t="s">
        <v>131</v>
      </c>
      <c r="BC23" s="34">
        <v>93.699999809265137</v>
      </c>
      <c r="BD23" s="34">
        <v>83.399999856948853</v>
      </c>
      <c r="BE23" s="34">
        <v>73.5</v>
      </c>
      <c r="BF23" s="34">
        <v>81.5</v>
      </c>
    </row>
    <row r="24" spans="1:58">
      <c r="A24" s="3" t="s">
        <v>140</v>
      </c>
      <c r="B24" s="92">
        <f>MEDIAN(B26:B38)</f>
        <v>76.327083106659941</v>
      </c>
      <c r="C24" s="92">
        <f t="shared" ref="C24:AH24" si="2">MEDIAN(C26:C38)</f>
        <v>75.357385976855014</v>
      </c>
      <c r="D24" s="92">
        <f t="shared" si="2"/>
        <v>75.703925462185936</v>
      </c>
      <c r="E24" s="92">
        <f t="shared" si="2"/>
        <v>74.761085472862561</v>
      </c>
      <c r="F24" s="92">
        <f t="shared" si="2"/>
        <v>74.536075543939546</v>
      </c>
      <c r="G24" s="92">
        <f t="shared" si="2"/>
        <v>73.248905968027458</v>
      </c>
      <c r="H24" s="92">
        <f t="shared" si="2"/>
        <v>70.625357905524055</v>
      </c>
      <c r="I24" s="92">
        <f t="shared" si="2"/>
        <v>71.075645134262274</v>
      </c>
      <c r="J24" s="92">
        <f t="shared" si="2"/>
        <v>71.722677606998957</v>
      </c>
      <c r="K24" s="92">
        <f t="shared" si="2"/>
        <v>71.618892882937345</v>
      </c>
      <c r="L24" s="92">
        <f t="shared" si="2"/>
        <v>72.682882878419591</v>
      </c>
      <c r="M24" s="92">
        <f t="shared" si="2"/>
        <v>74.074035210611854</v>
      </c>
      <c r="N24" s="92">
        <f t="shared" si="2"/>
        <v>74.240459991218671</v>
      </c>
      <c r="O24" s="92">
        <f t="shared" si="2"/>
        <v>75.128716846080707</v>
      </c>
      <c r="P24" s="92">
        <f t="shared" si="2"/>
        <v>73</v>
      </c>
      <c r="Q24" s="93">
        <f t="shared" si="2"/>
        <v>74.8</v>
      </c>
      <c r="R24" s="92">
        <f t="shared" si="2"/>
        <v>57.650000000000006</v>
      </c>
      <c r="S24" s="92">
        <f t="shared" si="2"/>
        <v>90.199999999999989</v>
      </c>
      <c r="T24" s="92">
        <f t="shared" si="2"/>
        <v>64.25</v>
      </c>
      <c r="U24" s="92">
        <f t="shared" si="2"/>
        <v>61.599999999999994</v>
      </c>
      <c r="V24" s="92">
        <f t="shared" si="2"/>
        <v>77.199999999999989</v>
      </c>
      <c r="W24" s="93">
        <f t="shared" si="2"/>
        <v>74.3</v>
      </c>
      <c r="X24" s="92">
        <f t="shared" si="2"/>
        <v>61.5</v>
      </c>
      <c r="Y24" s="92">
        <f t="shared" si="2"/>
        <v>91.35</v>
      </c>
      <c r="Z24" s="92">
        <f t="shared" si="2"/>
        <v>66.099999999999994</v>
      </c>
      <c r="AA24" s="92">
        <f t="shared" si="2"/>
        <v>64.849999999999994</v>
      </c>
      <c r="AB24" s="92">
        <f t="shared" si="2"/>
        <v>77.5</v>
      </c>
      <c r="AC24" s="93">
        <f t="shared" si="2"/>
        <v>75.2</v>
      </c>
      <c r="AD24" s="92">
        <f t="shared" si="2"/>
        <v>61.45</v>
      </c>
      <c r="AE24" s="92">
        <f t="shared" si="2"/>
        <v>91.6</v>
      </c>
      <c r="AF24" s="92">
        <f t="shared" si="2"/>
        <v>69.400000000000006</v>
      </c>
      <c r="AG24" s="92">
        <f t="shared" si="2"/>
        <v>68.599999999999994</v>
      </c>
      <c r="AH24" s="92">
        <f t="shared" si="2"/>
        <v>77.25</v>
      </c>
      <c r="AI24" s="93">
        <f t="shared" ref="AI24:AT24" si="3">MEDIAN(AI26:AI38)</f>
        <v>77.2</v>
      </c>
      <c r="AJ24" s="92">
        <f t="shared" si="3"/>
        <v>58.7</v>
      </c>
      <c r="AK24" s="92">
        <f t="shared" si="3"/>
        <v>86.8</v>
      </c>
      <c r="AL24" s="92">
        <f t="shared" si="3"/>
        <v>71.7</v>
      </c>
      <c r="AM24" s="92">
        <f t="shared" si="3"/>
        <v>65.900000000000006</v>
      </c>
      <c r="AN24" s="343">
        <f t="shared" si="3"/>
        <v>78.400000000000006</v>
      </c>
      <c r="AO24" s="351">
        <f t="shared" si="3"/>
        <v>79</v>
      </c>
      <c r="AP24" s="352">
        <f t="shared" si="3"/>
        <v>57</v>
      </c>
      <c r="AQ24" s="352">
        <f t="shared" si="3"/>
        <v>84</v>
      </c>
      <c r="AR24" s="352">
        <f t="shared" si="3"/>
        <v>75</v>
      </c>
      <c r="AS24" s="352">
        <f t="shared" si="3"/>
        <v>67</v>
      </c>
      <c r="AT24" s="353">
        <f t="shared" si="3"/>
        <v>81</v>
      </c>
      <c r="BA24" s="34"/>
      <c r="BB24" s="34"/>
      <c r="BC24" s="34"/>
      <c r="BD24" s="34"/>
      <c r="BE24" s="34"/>
      <c r="BF24" s="34"/>
    </row>
    <row r="25" spans="1:58">
      <c r="A25" s="3" t="s">
        <v>129</v>
      </c>
      <c r="B25" s="33"/>
      <c r="C25" s="33"/>
      <c r="Q25" s="62"/>
      <c r="W25" s="62"/>
      <c r="AC25" s="62"/>
      <c r="AI25" s="62"/>
      <c r="AN25" s="344"/>
      <c r="AT25" s="344"/>
      <c r="BA25" s="34"/>
      <c r="BB25" s="34"/>
      <c r="BC25" s="34"/>
      <c r="BD25" s="34"/>
      <c r="BE25" s="34"/>
      <c r="BF25" s="34"/>
    </row>
    <row r="26" spans="1:58">
      <c r="A26" s="2" t="s">
        <v>51</v>
      </c>
      <c r="B26" s="33">
        <v>74.607007791497693</v>
      </c>
      <c r="C26" s="33">
        <v>75.357385976855014</v>
      </c>
      <c r="D26" s="36">
        <v>73.818290803219739</v>
      </c>
      <c r="E26" s="34">
        <v>71.158197901666327</v>
      </c>
      <c r="F26" s="34">
        <v>68.252267421836137</v>
      </c>
      <c r="G26" s="34">
        <v>67.92055816013881</v>
      </c>
      <c r="H26" s="34">
        <v>68.861892583120209</v>
      </c>
      <c r="I26" s="34">
        <v>69.984927377363675</v>
      </c>
      <c r="J26" s="34">
        <v>66.694673164174091</v>
      </c>
      <c r="K26" s="34">
        <v>68.013445601890382</v>
      </c>
      <c r="L26" s="34">
        <v>65.906430898680924</v>
      </c>
      <c r="M26" s="34">
        <v>68.037296037296031</v>
      </c>
      <c r="N26" s="34">
        <v>67.197694487793257</v>
      </c>
      <c r="O26" s="34">
        <v>64.109174343375528</v>
      </c>
      <c r="P26" s="34">
        <v>66.5</v>
      </c>
      <c r="Q26" s="60">
        <v>69.099999999999994</v>
      </c>
      <c r="R26" s="487">
        <v>57.1</v>
      </c>
      <c r="S26" s="487">
        <v>78.2</v>
      </c>
      <c r="T26" s="487">
        <v>64.400000000000006</v>
      </c>
      <c r="U26" s="487">
        <v>60.6</v>
      </c>
      <c r="V26" s="487">
        <v>74.3</v>
      </c>
      <c r="W26" s="60">
        <v>69.099999999999994</v>
      </c>
      <c r="X26" s="32">
        <v>51.9</v>
      </c>
      <c r="Y26" s="32">
        <v>76.599999999999994</v>
      </c>
      <c r="Z26" s="32">
        <v>90.7</v>
      </c>
      <c r="AA26" s="32">
        <v>51.8</v>
      </c>
      <c r="AB26" s="32">
        <v>70.3</v>
      </c>
      <c r="AC26" s="60">
        <v>72.599999999999994</v>
      </c>
      <c r="AD26" s="48">
        <v>51.8</v>
      </c>
      <c r="AE26" s="48">
        <v>79.900000000000006</v>
      </c>
      <c r="AF26" s="48">
        <v>89.4</v>
      </c>
      <c r="AG26" s="48">
        <v>56.3</v>
      </c>
      <c r="AH26" s="48">
        <v>75.2</v>
      </c>
      <c r="AI26" s="60">
        <v>75.5</v>
      </c>
      <c r="AJ26" s="48">
        <v>55.8</v>
      </c>
      <c r="AK26" s="48">
        <v>71.900000000000006</v>
      </c>
      <c r="AL26" s="48">
        <v>85.8</v>
      </c>
      <c r="AM26" s="48">
        <v>61.3</v>
      </c>
      <c r="AN26" s="345">
        <v>78.400000000000006</v>
      </c>
      <c r="AO26" s="29">
        <v>78</v>
      </c>
      <c r="AP26" s="29">
        <v>57</v>
      </c>
      <c r="AQ26" s="29">
        <v>99</v>
      </c>
      <c r="AR26" s="29">
        <v>80</v>
      </c>
      <c r="AS26" s="29">
        <v>70</v>
      </c>
      <c r="AT26" s="344">
        <v>83</v>
      </c>
      <c r="BA26" s="34">
        <v>79.899999856948853</v>
      </c>
      <c r="BB26" s="34">
        <v>68.599999904632568</v>
      </c>
      <c r="BC26" s="34">
        <v>94.099999904632568</v>
      </c>
      <c r="BD26" s="34">
        <v>87.599999904632568</v>
      </c>
      <c r="BE26" s="34">
        <v>74.699999809265137</v>
      </c>
      <c r="BF26" s="34">
        <v>82.299999952316284</v>
      </c>
    </row>
    <row r="27" spans="1:58">
      <c r="A27" s="2" t="s">
        <v>52</v>
      </c>
      <c r="B27" s="33">
        <v>76.744780817303877</v>
      </c>
      <c r="C27" s="33">
        <v>75.006537815574802</v>
      </c>
      <c r="D27" s="36">
        <v>71.661315078183605</v>
      </c>
      <c r="E27" s="34">
        <v>65.05856934413768</v>
      </c>
      <c r="F27" s="34">
        <v>60.796727422223384</v>
      </c>
      <c r="G27" s="34">
        <v>65.301164917045753</v>
      </c>
      <c r="H27" s="34">
        <v>65.58286348915793</v>
      </c>
      <c r="I27" s="34">
        <v>62.298562707984253</v>
      </c>
      <c r="J27" s="34">
        <v>63.554659641854926</v>
      </c>
      <c r="K27" s="34">
        <v>74.213711247641598</v>
      </c>
      <c r="L27" s="34">
        <v>74.690804465362632</v>
      </c>
      <c r="M27" s="34">
        <v>75.917692006397957</v>
      </c>
      <c r="N27" s="34">
        <v>66.834126272041345</v>
      </c>
      <c r="O27" s="34">
        <v>84.672498209915716</v>
      </c>
      <c r="P27" s="34">
        <v>70.5</v>
      </c>
      <c r="Q27" s="60">
        <v>69.599999999999994</v>
      </c>
      <c r="R27" s="487">
        <v>46.9</v>
      </c>
      <c r="S27" s="487">
        <v>99.4</v>
      </c>
      <c r="T27" s="487">
        <v>65.599999999999994</v>
      </c>
      <c r="U27" s="487">
        <v>76.3</v>
      </c>
      <c r="V27" s="487">
        <v>74</v>
      </c>
      <c r="W27" s="60">
        <v>70.7</v>
      </c>
      <c r="X27" s="32">
        <v>56.3</v>
      </c>
      <c r="Y27" s="32">
        <v>98.5</v>
      </c>
      <c r="Z27" s="32">
        <v>66.7</v>
      </c>
      <c r="AA27" s="32">
        <v>76.900000000000006</v>
      </c>
      <c r="AB27" s="32">
        <v>73.599999999999994</v>
      </c>
      <c r="AC27" s="60">
        <v>72.5</v>
      </c>
      <c r="AD27" s="48">
        <v>53.8</v>
      </c>
      <c r="AE27" s="48">
        <v>98.9</v>
      </c>
      <c r="AF27" s="48">
        <v>69.2</v>
      </c>
      <c r="AG27" s="48">
        <v>78.7</v>
      </c>
      <c r="AH27" s="48">
        <v>75.8</v>
      </c>
      <c r="AI27" s="60">
        <v>74.7</v>
      </c>
      <c r="AJ27" s="48">
        <v>66.2</v>
      </c>
      <c r="AK27" s="48">
        <v>95.8</v>
      </c>
      <c r="AL27" s="48">
        <v>70.599999999999994</v>
      </c>
      <c r="AM27" s="48">
        <v>81</v>
      </c>
      <c r="AN27" s="345">
        <v>76.5</v>
      </c>
      <c r="AO27" s="29">
        <v>79</v>
      </c>
      <c r="AP27" s="29">
        <v>66</v>
      </c>
      <c r="AQ27" s="29">
        <v>94</v>
      </c>
      <c r="AR27" s="29">
        <v>74</v>
      </c>
      <c r="AS27" s="29">
        <v>80</v>
      </c>
      <c r="AT27" s="344">
        <v>83</v>
      </c>
      <c r="BA27" s="34">
        <v>76.5</v>
      </c>
      <c r="BB27" s="34">
        <v>64.199999809265137</v>
      </c>
      <c r="BC27" s="34">
        <v>90.099999904632568</v>
      </c>
      <c r="BD27" s="34">
        <v>72.099999904632568</v>
      </c>
      <c r="BE27" s="34">
        <v>70</v>
      </c>
      <c r="BF27" s="34">
        <v>80.099999904632568</v>
      </c>
    </row>
    <row r="28" spans="1:58">
      <c r="A28" s="2" t="s">
        <v>53</v>
      </c>
      <c r="B28" s="33">
        <v>69.627834680009428</v>
      </c>
      <c r="C28" s="33">
        <v>69.803844178303578</v>
      </c>
      <c r="D28" s="36">
        <v>68.594761768581321</v>
      </c>
      <c r="E28" s="34">
        <v>66.838663821864245</v>
      </c>
      <c r="F28" s="34">
        <v>67.55089151372016</v>
      </c>
      <c r="G28" s="34">
        <v>68.777739923761871</v>
      </c>
      <c r="H28" s="34">
        <v>69.604304421551717</v>
      </c>
      <c r="I28" s="34">
        <v>71.075645134262274</v>
      </c>
      <c r="J28" s="34">
        <v>71.722677606998957</v>
      </c>
      <c r="K28" s="34">
        <v>71.618892882937345</v>
      </c>
      <c r="L28" s="34">
        <v>72.682882878419591</v>
      </c>
      <c r="M28" s="34">
        <v>74.074035210611854</v>
      </c>
      <c r="N28" s="34">
        <v>73.871509115290053</v>
      </c>
      <c r="O28" s="34">
        <v>74.551401085736373</v>
      </c>
      <c r="P28" s="34">
        <v>69.2</v>
      </c>
      <c r="Q28" s="60">
        <v>70.7</v>
      </c>
      <c r="R28" s="487">
        <v>61.7</v>
      </c>
      <c r="S28" s="487">
        <v>89.6</v>
      </c>
      <c r="T28" s="487">
        <v>59.4</v>
      </c>
      <c r="U28" s="487">
        <v>58.4</v>
      </c>
      <c r="V28" s="487">
        <v>79.2</v>
      </c>
      <c r="W28" s="60">
        <v>71.2</v>
      </c>
      <c r="X28" s="32">
        <v>65.3</v>
      </c>
      <c r="Y28" s="32">
        <v>91.1</v>
      </c>
      <c r="Z28" s="32">
        <v>61.2</v>
      </c>
      <c r="AA28" s="32">
        <v>57.4</v>
      </c>
      <c r="AB28" s="32">
        <v>80.099999999999994</v>
      </c>
      <c r="AC28" s="60">
        <v>71</v>
      </c>
      <c r="AD28" s="48">
        <v>65.8</v>
      </c>
      <c r="AE28" s="48">
        <v>91.9</v>
      </c>
      <c r="AF28" s="48">
        <v>61.6</v>
      </c>
      <c r="AG28" s="48">
        <v>57.7</v>
      </c>
      <c r="AH28" s="48">
        <v>80.8</v>
      </c>
      <c r="AI28" s="60">
        <v>78.2</v>
      </c>
      <c r="AJ28" s="48">
        <v>75.099999999999994</v>
      </c>
      <c r="AK28" s="48">
        <v>90.1</v>
      </c>
      <c r="AL28" s="48">
        <v>71.7</v>
      </c>
      <c r="AM28" s="48">
        <v>65.400000000000006</v>
      </c>
      <c r="AN28" s="345">
        <v>83.9</v>
      </c>
      <c r="AO28" s="29">
        <v>80</v>
      </c>
      <c r="AP28" s="29">
        <v>75</v>
      </c>
      <c r="AQ28" s="29">
        <v>95</v>
      </c>
      <c r="AR28" s="29">
        <v>75</v>
      </c>
      <c r="AS28" s="29">
        <v>67</v>
      </c>
      <c r="AT28" s="344">
        <v>87</v>
      </c>
      <c r="BA28" s="34">
        <v>83.599999904632568</v>
      </c>
      <c r="BB28" s="34">
        <v>73.5</v>
      </c>
      <c r="BC28" s="34">
        <v>97.299999952316284</v>
      </c>
      <c r="BD28" s="34">
        <v>79.699999809265137</v>
      </c>
      <c r="BE28" s="34">
        <v>72.699999809265137</v>
      </c>
      <c r="BF28" s="34">
        <v>88.699999809265137</v>
      </c>
    </row>
    <row r="29" spans="1:58">
      <c r="A29" s="2" t="s">
        <v>54</v>
      </c>
      <c r="B29" s="33">
        <v>76.327083106659941</v>
      </c>
      <c r="C29" s="33">
        <v>77.780198615794234</v>
      </c>
      <c r="D29" s="36">
        <v>77.260135757276771</v>
      </c>
      <c r="E29" s="34">
        <v>76.006654131754217</v>
      </c>
      <c r="F29" s="34">
        <v>74.817339925903156</v>
      </c>
      <c r="G29" s="34">
        <v>74.684243483552805</v>
      </c>
      <c r="H29" s="34">
        <v>73.938569631707509</v>
      </c>
      <c r="I29" s="34">
        <v>73.355934175477188</v>
      </c>
      <c r="J29" s="34">
        <v>74.078617347430622</v>
      </c>
      <c r="K29" s="34">
        <v>73.215902720652238</v>
      </c>
      <c r="L29" s="34">
        <v>74.688168625140776</v>
      </c>
      <c r="M29" s="34">
        <v>76.371203540206466</v>
      </c>
      <c r="N29" s="34">
        <v>78.668667223096406</v>
      </c>
      <c r="O29" s="34">
        <v>76.744907455278664</v>
      </c>
      <c r="P29" s="34">
        <v>75.5</v>
      </c>
      <c r="Q29" s="60">
        <v>76.599999999999994</v>
      </c>
      <c r="R29" s="487">
        <v>60.2</v>
      </c>
      <c r="S29" s="487">
        <v>91.5</v>
      </c>
      <c r="T29" s="487">
        <v>59.2</v>
      </c>
      <c r="U29" s="487">
        <v>69.099999999999994</v>
      </c>
      <c r="V29" s="487">
        <v>82.9</v>
      </c>
      <c r="W29" s="60">
        <v>75.400000000000006</v>
      </c>
      <c r="X29" s="32">
        <v>62</v>
      </c>
      <c r="Y29" s="32">
        <v>92.1</v>
      </c>
      <c r="Z29" s="32">
        <v>56.7</v>
      </c>
      <c r="AA29" s="32">
        <v>65.099999999999994</v>
      </c>
      <c r="AB29" s="32">
        <v>82.9</v>
      </c>
      <c r="AC29" s="60">
        <v>77.599999999999994</v>
      </c>
      <c r="AD29" s="48">
        <v>61.4</v>
      </c>
      <c r="AE29" s="48">
        <v>96.3</v>
      </c>
      <c r="AF29" s="48">
        <v>60.8</v>
      </c>
      <c r="AG29" s="48">
        <v>69.8</v>
      </c>
      <c r="AH29" s="48">
        <v>84.3</v>
      </c>
      <c r="AI29" s="60">
        <v>79.8</v>
      </c>
      <c r="AJ29" s="48">
        <v>62.1</v>
      </c>
      <c r="AK29" s="48">
        <v>97.4</v>
      </c>
      <c r="AL29" s="48">
        <v>65.900000000000006</v>
      </c>
      <c r="AM29" s="48">
        <v>75.900000000000006</v>
      </c>
      <c r="AN29" s="345">
        <v>85.4</v>
      </c>
      <c r="AO29" s="29">
        <v>82</v>
      </c>
      <c r="AP29" s="29">
        <v>57</v>
      </c>
      <c r="AQ29" s="29">
        <v>84</v>
      </c>
      <c r="AR29" s="29">
        <v>75</v>
      </c>
      <c r="AS29" s="29">
        <v>69</v>
      </c>
      <c r="AT29" s="344">
        <v>84</v>
      </c>
      <c r="BA29" s="34">
        <v>83.299999952316284</v>
      </c>
      <c r="BB29" s="34">
        <v>62.699999928474426</v>
      </c>
      <c r="BC29" s="34">
        <v>90.399999856948853</v>
      </c>
      <c r="BD29" s="34">
        <v>77.699999809265137</v>
      </c>
      <c r="BE29" s="34">
        <v>68.699999809265137</v>
      </c>
      <c r="BF29" s="34">
        <v>84.5</v>
      </c>
    </row>
    <row r="30" spans="1:58">
      <c r="A30" s="2" t="s">
        <v>55</v>
      </c>
      <c r="B30" s="33">
        <v>75.856495130099304</v>
      </c>
      <c r="C30" s="33">
        <v>74.915867685975101</v>
      </c>
      <c r="D30" s="36">
        <v>75.703925462185936</v>
      </c>
      <c r="E30" s="34">
        <v>74.761085472862561</v>
      </c>
      <c r="F30" s="34">
        <v>74.536075543939546</v>
      </c>
      <c r="G30" s="34">
        <v>69.101325145462539</v>
      </c>
      <c r="H30" s="34">
        <v>68.847919716471381</v>
      </c>
      <c r="I30" s="34">
        <v>67.529952975424138</v>
      </c>
      <c r="J30" s="34">
        <v>70.912600532083928</v>
      </c>
      <c r="K30" s="34">
        <v>68.312620523764238</v>
      </c>
      <c r="L30" s="34">
        <v>72.076820044148761</v>
      </c>
      <c r="M30" s="34">
        <v>71.288785758999722</v>
      </c>
      <c r="N30" s="34">
        <v>72.647605082843924</v>
      </c>
      <c r="O30" s="34">
        <v>75.128716846080707</v>
      </c>
      <c r="P30" s="34">
        <v>75.5</v>
      </c>
      <c r="Q30" s="60">
        <v>75.400000000000006</v>
      </c>
      <c r="R30" s="487">
        <v>62</v>
      </c>
      <c r="S30" s="487">
        <v>76.7</v>
      </c>
      <c r="T30" s="487">
        <v>69.7</v>
      </c>
      <c r="U30" s="487">
        <v>68.599999999999994</v>
      </c>
      <c r="V30" s="487">
        <v>72.7</v>
      </c>
      <c r="W30" s="60">
        <v>76</v>
      </c>
      <c r="X30" s="32">
        <v>80.3</v>
      </c>
      <c r="Y30" s="32">
        <v>77.3</v>
      </c>
      <c r="Z30" s="32">
        <v>71.3</v>
      </c>
      <c r="AA30" s="32">
        <v>69.599999999999994</v>
      </c>
      <c r="AB30" s="32">
        <v>72.7</v>
      </c>
      <c r="AC30" s="60">
        <v>75.3</v>
      </c>
      <c r="AD30" s="48">
        <v>77</v>
      </c>
      <c r="AE30" s="48">
        <v>76.7</v>
      </c>
      <c r="AF30" s="48">
        <v>71</v>
      </c>
      <c r="AG30" s="48">
        <v>75.3</v>
      </c>
      <c r="AH30" s="48">
        <v>70.5</v>
      </c>
      <c r="AI30" s="60">
        <v>75.400000000000006</v>
      </c>
      <c r="AJ30" s="48">
        <v>67.5</v>
      </c>
      <c r="AK30" s="48">
        <v>77</v>
      </c>
      <c r="AL30" s="48">
        <v>72.400000000000006</v>
      </c>
      <c r="AM30" s="48">
        <v>67.3</v>
      </c>
      <c r="AN30" s="345">
        <v>71</v>
      </c>
      <c r="AO30" s="29">
        <v>74</v>
      </c>
      <c r="AP30" s="29">
        <v>48</v>
      </c>
      <c r="AQ30" s="29">
        <v>73</v>
      </c>
      <c r="AR30" s="29">
        <v>56</v>
      </c>
      <c r="AS30" s="29">
        <v>80</v>
      </c>
      <c r="AT30" s="344">
        <v>53</v>
      </c>
      <c r="BA30" s="34">
        <v>78</v>
      </c>
      <c r="BB30" s="34">
        <v>57</v>
      </c>
      <c r="BC30" s="34">
        <v>79.799999952316284</v>
      </c>
      <c r="BD30" s="34">
        <v>84.799999952316284</v>
      </c>
      <c r="BE30" s="34">
        <v>70.599999904632568</v>
      </c>
      <c r="BF30" s="34">
        <v>57.5</v>
      </c>
    </row>
    <row r="31" spans="1:58">
      <c r="A31" s="2" t="s">
        <v>56</v>
      </c>
      <c r="B31" s="33">
        <v>79.618879527162917</v>
      </c>
      <c r="C31" s="33">
        <v>81.659912626749005</v>
      </c>
      <c r="D31" s="36">
        <v>79.890627483655848</v>
      </c>
      <c r="E31" s="34">
        <v>80.186487290599331</v>
      </c>
      <c r="F31" s="34">
        <v>80.452998128595084</v>
      </c>
      <c r="G31" s="34">
        <v>80.067820022989096</v>
      </c>
      <c r="H31" s="34">
        <v>79.721700747885521</v>
      </c>
      <c r="I31" s="34">
        <v>79.463367771729054</v>
      </c>
      <c r="J31" s="34">
        <v>79.38274231291625</v>
      </c>
      <c r="K31" s="34">
        <v>79.560465154968469</v>
      </c>
      <c r="L31" s="34">
        <v>79.303527993345782</v>
      </c>
      <c r="M31" s="34">
        <v>81.362725390977914</v>
      </c>
      <c r="N31" s="34">
        <v>81.5367758000762</v>
      </c>
      <c r="O31" s="34">
        <v>81.034459716442726</v>
      </c>
      <c r="P31" s="34">
        <v>80.5</v>
      </c>
      <c r="Q31" s="60">
        <v>80.400000000000006</v>
      </c>
      <c r="R31" s="487">
        <v>68.2</v>
      </c>
      <c r="S31" s="487">
        <v>100</v>
      </c>
      <c r="T31" s="487">
        <v>68.900000000000006</v>
      </c>
      <c r="U31" s="487">
        <v>82.2</v>
      </c>
      <c r="V31" s="487">
        <v>81.599999999999994</v>
      </c>
      <c r="W31" s="60">
        <v>80.099999999999994</v>
      </c>
      <c r="X31" s="32">
        <v>65.8</v>
      </c>
      <c r="Y31" s="32">
        <v>91.5</v>
      </c>
      <c r="Z31" s="32">
        <v>68.7</v>
      </c>
      <c r="AA31" s="32">
        <v>78.2</v>
      </c>
      <c r="AB31" s="32">
        <v>81.7</v>
      </c>
      <c r="AC31" s="60">
        <v>80.599999999999994</v>
      </c>
      <c r="AD31" s="48">
        <v>61.5</v>
      </c>
      <c r="AE31" s="48">
        <v>96.7</v>
      </c>
      <c r="AF31" s="48">
        <v>72.7</v>
      </c>
      <c r="AG31" s="48">
        <v>91.9</v>
      </c>
      <c r="AH31" s="48">
        <v>81.599999999999994</v>
      </c>
      <c r="AI31" s="60">
        <v>84</v>
      </c>
      <c r="AJ31" s="48">
        <v>56.7</v>
      </c>
      <c r="AK31" s="48">
        <v>97.5</v>
      </c>
      <c r="AL31" s="48">
        <v>80.400000000000006</v>
      </c>
      <c r="AM31" s="48">
        <v>75</v>
      </c>
      <c r="AN31" s="345">
        <v>85</v>
      </c>
      <c r="AO31" s="29">
        <v>83</v>
      </c>
      <c r="AP31" s="29">
        <v>75</v>
      </c>
      <c r="AQ31" s="29">
        <v>93</v>
      </c>
      <c r="AR31" s="29">
        <v>77</v>
      </c>
      <c r="AS31" s="29">
        <v>67</v>
      </c>
      <c r="AT31" s="344">
        <v>83</v>
      </c>
      <c r="BA31" s="34">
        <v>82.099999904632568</v>
      </c>
      <c r="BB31" s="34">
        <v>55.199999928474426</v>
      </c>
      <c r="BC31" s="34">
        <v>88.799999952316284</v>
      </c>
      <c r="BD31" s="34">
        <v>78.699999809265137</v>
      </c>
      <c r="BE31" s="34">
        <v>77.299999952316284</v>
      </c>
      <c r="BF31" s="34">
        <v>82.399999856948853</v>
      </c>
    </row>
    <row r="32" spans="1:58">
      <c r="A32" s="2" t="s">
        <v>57</v>
      </c>
      <c r="B32" s="33">
        <v>84.380917936263884</v>
      </c>
      <c r="C32" s="33">
        <v>86.336915561102145</v>
      </c>
      <c r="D32" s="36">
        <v>85.452986210547465</v>
      </c>
      <c r="E32" s="34">
        <v>86.507105906249322</v>
      </c>
      <c r="F32" s="34">
        <v>83.920302101602388</v>
      </c>
      <c r="G32" s="34">
        <v>83.232864567718025</v>
      </c>
      <c r="H32" s="34">
        <v>82.239966140461704</v>
      </c>
      <c r="I32" s="34">
        <v>81.337171880571574</v>
      </c>
      <c r="J32" s="34">
        <v>80.759887981961185</v>
      </c>
      <c r="K32" s="34">
        <v>80.005957026925785</v>
      </c>
      <c r="L32" s="34">
        <v>79.843985625360318</v>
      </c>
      <c r="M32" s="34">
        <v>80.997919184719251</v>
      </c>
      <c r="N32" s="34">
        <v>80.425752889095918</v>
      </c>
      <c r="O32" s="34">
        <v>81.493703106666828</v>
      </c>
      <c r="P32" s="34">
        <v>81.900000000000006</v>
      </c>
      <c r="Q32" s="60">
        <v>81.5</v>
      </c>
      <c r="R32" s="487">
        <v>56.4</v>
      </c>
      <c r="S32" s="487">
        <v>100</v>
      </c>
      <c r="T32" s="487">
        <v>85.5</v>
      </c>
      <c r="U32" s="487">
        <v>69</v>
      </c>
      <c r="V32" s="487">
        <v>84.5</v>
      </c>
      <c r="W32" s="60">
        <v>82</v>
      </c>
      <c r="X32" s="32">
        <v>63.3</v>
      </c>
      <c r="Y32" s="32">
        <v>100</v>
      </c>
      <c r="Z32" s="32">
        <v>69.5</v>
      </c>
      <c r="AA32" s="32">
        <v>64.599999999999994</v>
      </c>
      <c r="AB32" s="32">
        <v>84.7</v>
      </c>
      <c r="AC32" s="60">
        <v>82</v>
      </c>
      <c r="AD32" s="48">
        <v>63.1</v>
      </c>
      <c r="AE32" s="48">
        <v>92</v>
      </c>
      <c r="AF32" s="48">
        <v>76.599999999999994</v>
      </c>
      <c r="AG32" s="48">
        <v>73.900000000000006</v>
      </c>
      <c r="AH32" s="48">
        <v>84.5</v>
      </c>
      <c r="AI32" s="60">
        <v>81.900000000000006</v>
      </c>
      <c r="AJ32" s="48">
        <v>61.7</v>
      </c>
      <c r="AK32" s="48">
        <v>90.5</v>
      </c>
      <c r="AL32" s="48">
        <v>74.900000000000006</v>
      </c>
      <c r="AM32" s="48">
        <v>71.900000000000006</v>
      </c>
      <c r="AN32" s="345">
        <v>84.7</v>
      </c>
      <c r="AO32" s="29">
        <v>84</v>
      </c>
      <c r="AP32" s="29">
        <v>62</v>
      </c>
      <c r="AQ32" s="29">
        <v>87</v>
      </c>
      <c r="AR32" s="29">
        <v>93</v>
      </c>
      <c r="AS32" s="29">
        <v>91</v>
      </c>
      <c r="AT32" s="344">
        <v>86</v>
      </c>
      <c r="BA32" s="34">
        <v>84.699999809265137</v>
      </c>
      <c r="BB32" s="34">
        <v>60.099999904632568</v>
      </c>
      <c r="BC32" s="34">
        <v>92.299999952316284</v>
      </c>
      <c r="BD32" s="34">
        <v>94.599999904632568</v>
      </c>
      <c r="BE32" s="34">
        <v>66.599999904632568</v>
      </c>
      <c r="BF32" s="34">
        <v>86.899999856948853</v>
      </c>
    </row>
    <row r="33" spans="1:58">
      <c r="A33" s="2" t="s">
        <v>58</v>
      </c>
      <c r="B33" s="33">
        <v>76.995983856547596</v>
      </c>
      <c r="C33" s="33">
        <v>69.524791596264578</v>
      </c>
      <c r="D33" s="36">
        <v>68.152020142018472</v>
      </c>
      <c r="E33" s="34">
        <v>65.84763494235645</v>
      </c>
      <c r="F33" s="34">
        <v>65.810035227989388</v>
      </c>
      <c r="G33" s="34">
        <v>73.248905968027458</v>
      </c>
      <c r="H33" s="34">
        <v>70.625357905524055</v>
      </c>
      <c r="I33" s="34">
        <v>71.007150615602995</v>
      </c>
      <c r="J33" s="34">
        <v>69.704539460566679</v>
      </c>
      <c r="K33" s="34">
        <v>69.950550107709034</v>
      </c>
      <c r="L33" s="34">
        <v>71.882266396603171</v>
      </c>
      <c r="M33" s="34">
        <v>72.327879263718103</v>
      </c>
      <c r="N33" s="34">
        <v>57.37237387129521</v>
      </c>
      <c r="O33" s="34">
        <v>55.77690359654094</v>
      </c>
      <c r="P33" s="34">
        <v>55.8</v>
      </c>
      <c r="Q33" s="60">
        <v>52</v>
      </c>
      <c r="R33" s="488" t="s">
        <v>47</v>
      </c>
      <c r="S33" s="488" t="s">
        <v>47</v>
      </c>
      <c r="T33" s="488" t="s">
        <v>47</v>
      </c>
      <c r="U33" s="488" t="s">
        <v>47</v>
      </c>
      <c r="V33" s="488" t="s">
        <v>47</v>
      </c>
      <c r="W33" s="60">
        <v>56.3</v>
      </c>
      <c r="X33" s="32" t="s">
        <v>503</v>
      </c>
      <c r="Y33" s="32" t="s">
        <v>503</v>
      </c>
      <c r="Z33" s="32" t="s">
        <v>503</v>
      </c>
      <c r="AA33" s="32" t="s">
        <v>503</v>
      </c>
      <c r="AB33" s="32" t="s">
        <v>503</v>
      </c>
      <c r="AC33" s="60">
        <v>56.3</v>
      </c>
      <c r="AD33" s="48" t="s">
        <v>511</v>
      </c>
      <c r="AE33" s="48" t="s">
        <v>511</v>
      </c>
      <c r="AF33" s="48" t="s">
        <v>511</v>
      </c>
      <c r="AG33" s="48" t="s">
        <v>511</v>
      </c>
      <c r="AH33" s="48" t="s">
        <v>511</v>
      </c>
      <c r="AI33" s="60">
        <v>57.8</v>
      </c>
      <c r="AJ33" s="48">
        <v>44.3</v>
      </c>
      <c r="AK33" s="48">
        <v>80.599999999999994</v>
      </c>
      <c r="AL33" s="48">
        <v>47.2</v>
      </c>
      <c r="AM33" s="48">
        <v>46.7</v>
      </c>
      <c r="AN33" s="345">
        <v>65.5</v>
      </c>
      <c r="AO33" s="29">
        <v>59</v>
      </c>
      <c r="AP33" s="29">
        <v>40</v>
      </c>
      <c r="AQ33" s="29">
        <v>68</v>
      </c>
      <c r="AR33" s="29">
        <v>50</v>
      </c>
      <c r="AS33" s="29">
        <v>40</v>
      </c>
      <c r="AT33" s="344">
        <v>64</v>
      </c>
      <c r="BA33" s="34">
        <v>67.5</v>
      </c>
      <c r="BB33" s="34">
        <v>45.099999904632568</v>
      </c>
      <c r="BC33" s="34">
        <v>73.399999856948853</v>
      </c>
      <c r="BD33" s="34">
        <v>62</v>
      </c>
      <c r="BE33" s="34">
        <v>48.599999904632568</v>
      </c>
      <c r="BF33" s="34">
        <v>69.5</v>
      </c>
    </row>
    <row r="34" spans="1:58">
      <c r="A34" s="2" t="s">
        <v>59</v>
      </c>
      <c r="B34" s="33">
        <v>70.094481361348642</v>
      </c>
      <c r="C34" s="33">
        <v>68.361882703472105</v>
      </c>
      <c r="D34" s="36">
        <v>66.879271682836446</v>
      </c>
      <c r="E34" s="34">
        <v>64.406589997420355</v>
      </c>
      <c r="F34" s="34">
        <v>63.677847141130108</v>
      </c>
      <c r="G34" s="34">
        <v>62.492287564802318</v>
      </c>
      <c r="H34" s="34">
        <v>61.559635822072821</v>
      </c>
      <c r="I34" s="34">
        <v>63.291186513332256</v>
      </c>
      <c r="J34" s="34">
        <v>64.712922166298995</v>
      </c>
      <c r="K34" s="34">
        <v>65.89346366557011</v>
      </c>
      <c r="L34" s="34">
        <v>67.397566426620315</v>
      </c>
      <c r="M34" s="34">
        <v>63.067864197070769</v>
      </c>
      <c r="N34" s="34">
        <v>67.003707448601276</v>
      </c>
      <c r="O34" s="34">
        <v>65.442683126123526</v>
      </c>
      <c r="P34" s="34">
        <v>67.3</v>
      </c>
      <c r="Q34" s="60">
        <v>59.1</v>
      </c>
      <c r="R34" s="487">
        <v>53.7</v>
      </c>
      <c r="S34" s="487">
        <v>83.5</v>
      </c>
      <c r="T34" s="487">
        <v>53.5</v>
      </c>
      <c r="U34" s="487">
        <v>58.4</v>
      </c>
      <c r="V34" s="487">
        <v>68.900000000000006</v>
      </c>
      <c r="W34" s="60">
        <v>66.8</v>
      </c>
      <c r="X34" s="32">
        <v>61</v>
      </c>
      <c r="Y34" s="32">
        <v>100</v>
      </c>
      <c r="Z34" s="32">
        <v>62.3</v>
      </c>
      <c r="AA34" s="32">
        <v>71.400000000000006</v>
      </c>
      <c r="AB34" s="32">
        <v>74.7</v>
      </c>
      <c r="AC34" s="60">
        <v>64.8</v>
      </c>
      <c r="AD34" s="48">
        <v>59.9</v>
      </c>
      <c r="AE34" s="48">
        <v>93.3</v>
      </c>
      <c r="AF34" s="48">
        <v>60.7</v>
      </c>
      <c r="AG34" s="48">
        <v>67.400000000000006</v>
      </c>
      <c r="AH34" s="48">
        <v>72.400000000000006</v>
      </c>
      <c r="AI34" s="60">
        <v>67.3</v>
      </c>
      <c r="AJ34" s="48">
        <v>63.4</v>
      </c>
      <c r="AK34" s="48">
        <v>94.8</v>
      </c>
      <c r="AL34" s="48">
        <v>65.3</v>
      </c>
      <c r="AM34" s="48">
        <v>59.4</v>
      </c>
      <c r="AN34" s="345">
        <v>70.5</v>
      </c>
      <c r="AO34" s="29">
        <v>71</v>
      </c>
      <c r="AP34" s="29">
        <v>66</v>
      </c>
      <c r="AQ34" s="29">
        <v>81</v>
      </c>
      <c r="AR34" s="29">
        <v>70</v>
      </c>
      <c r="AS34" s="29">
        <v>60</v>
      </c>
      <c r="AT34" s="344">
        <v>73</v>
      </c>
      <c r="BA34" s="34">
        <v>71.599999904632568</v>
      </c>
      <c r="BB34" s="34">
        <v>71.799999952316284</v>
      </c>
      <c r="BC34" s="34">
        <v>94.799999952316284</v>
      </c>
      <c r="BD34" s="34">
        <v>68.299999952316284</v>
      </c>
      <c r="BE34" s="34">
        <v>64.899999856948853</v>
      </c>
      <c r="BF34" s="34">
        <v>76.899999856948853</v>
      </c>
    </row>
    <row r="35" spans="1:58">
      <c r="A35" s="2" t="s">
        <v>60</v>
      </c>
      <c r="B35" s="33">
        <v>72.652007979314774</v>
      </c>
      <c r="C35" s="33">
        <v>74.979110270607592</v>
      </c>
      <c r="D35" s="36">
        <v>72.948721614201844</v>
      </c>
      <c r="E35" s="34">
        <v>71.150267516570111</v>
      </c>
      <c r="F35" s="34">
        <v>68.272678327872967</v>
      </c>
      <c r="G35" s="34">
        <v>69.07177833082811</v>
      </c>
      <c r="H35" s="34">
        <v>69.013579422622072</v>
      </c>
      <c r="I35" s="34">
        <v>68.241898271454502</v>
      </c>
      <c r="J35" s="34">
        <v>69.642021233995052</v>
      </c>
      <c r="K35" s="34">
        <v>68.292614148079068</v>
      </c>
      <c r="L35" s="34">
        <v>71.021953179623651</v>
      </c>
      <c r="M35" s="34">
        <v>73.652417025303137</v>
      </c>
      <c r="N35" s="34">
        <v>74.240459991218671</v>
      </c>
      <c r="O35" s="34">
        <v>74.167986601751537</v>
      </c>
      <c r="P35" s="34">
        <v>73</v>
      </c>
      <c r="Q35" s="60">
        <v>73.8</v>
      </c>
      <c r="R35" s="487">
        <v>61.1</v>
      </c>
      <c r="S35" s="487">
        <v>90.9</v>
      </c>
      <c r="T35" s="487">
        <v>66.900000000000006</v>
      </c>
      <c r="U35" s="487">
        <v>61.3</v>
      </c>
      <c r="V35" s="487">
        <v>74.400000000000006</v>
      </c>
      <c r="W35" s="60">
        <v>76.7</v>
      </c>
      <c r="X35" s="32">
        <v>62.8</v>
      </c>
      <c r="Y35" s="32">
        <v>91.2</v>
      </c>
      <c r="Z35" s="32">
        <v>71</v>
      </c>
      <c r="AA35" s="32">
        <v>65.8</v>
      </c>
      <c r="AB35" s="32">
        <v>77.099999999999994</v>
      </c>
      <c r="AC35" s="60">
        <v>76.5</v>
      </c>
      <c r="AD35" s="48">
        <v>62.3</v>
      </c>
      <c r="AE35" s="48">
        <v>89.8</v>
      </c>
      <c r="AF35" s="48">
        <v>70.7</v>
      </c>
      <c r="AG35" s="48">
        <v>61.1</v>
      </c>
      <c r="AH35" s="48">
        <v>77.400000000000006</v>
      </c>
      <c r="AI35" s="60">
        <v>76.3</v>
      </c>
      <c r="AJ35" s="48">
        <v>58.7</v>
      </c>
      <c r="AK35" s="48">
        <v>83.6</v>
      </c>
      <c r="AL35" s="48">
        <v>75.599999999999994</v>
      </c>
      <c r="AM35" s="48">
        <v>65.900000000000006</v>
      </c>
      <c r="AN35" s="345">
        <v>77.3</v>
      </c>
      <c r="AO35" s="29">
        <v>78</v>
      </c>
      <c r="AP35" s="29">
        <v>62</v>
      </c>
      <c r="AQ35" s="29">
        <v>82</v>
      </c>
      <c r="AR35" s="29">
        <v>80</v>
      </c>
      <c r="AS35" s="29">
        <v>65</v>
      </c>
      <c r="AT35" s="344">
        <v>78</v>
      </c>
      <c r="BA35" s="34">
        <v>76.799999952316284</v>
      </c>
      <c r="BB35" s="34">
        <v>56.5</v>
      </c>
      <c r="BC35" s="34">
        <v>87.299999952316284</v>
      </c>
      <c r="BD35" s="34">
        <v>76</v>
      </c>
      <c r="BE35" s="34">
        <v>66.399999856948853</v>
      </c>
      <c r="BF35" s="34">
        <v>76.699999809265137</v>
      </c>
    </row>
    <row r="36" spans="1:58">
      <c r="A36" s="2" t="s">
        <v>61</v>
      </c>
      <c r="B36" s="33">
        <v>77.524231261563074</v>
      </c>
      <c r="C36" s="33">
        <v>78.831142112202215</v>
      </c>
      <c r="D36" s="36">
        <v>78.664752628086262</v>
      </c>
      <c r="E36" s="34">
        <v>77.682922686251032</v>
      </c>
      <c r="F36" s="34">
        <v>76.895500782861674</v>
      </c>
      <c r="G36" s="34">
        <v>81.06410740391695</v>
      </c>
      <c r="H36" s="34">
        <v>80.680044032043597</v>
      </c>
      <c r="I36" s="34">
        <v>81.641017594447078</v>
      </c>
      <c r="J36" s="34">
        <v>82.473144207166982</v>
      </c>
      <c r="K36" s="34">
        <v>81.603700484189773</v>
      </c>
      <c r="L36" s="34">
        <v>80.486429146797107</v>
      </c>
      <c r="M36" s="34">
        <v>80.152813176930664</v>
      </c>
      <c r="N36" s="34">
        <v>83.030670516956093</v>
      </c>
      <c r="O36" s="34">
        <v>84.435975546492031</v>
      </c>
      <c r="P36" s="34">
        <v>78.599999999999994</v>
      </c>
      <c r="Q36" s="60">
        <v>76.599999999999994</v>
      </c>
      <c r="R36" s="487">
        <v>58.2</v>
      </c>
      <c r="S36" s="487">
        <v>82.3</v>
      </c>
      <c r="T36" s="487">
        <v>57.3</v>
      </c>
      <c r="U36" s="487">
        <v>61.9</v>
      </c>
      <c r="V36" s="487">
        <v>79.3</v>
      </c>
      <c r="W36" s="60">
        <v>74.3</v>
      </c>
      <c r="X36" s="32">
        <v>57.6</v>
      </c>
      <c r="Y36" s="32">
        <v>73.5</v>
      </c>
      <c r="Z36" s="32">
        <v>50.6</v>
      </c>
      <c r="AA36" s="32">
        <v>54.4</v>
      </c>
      <c r="AB36" s="32">
        <v>77.900000000000006</v>
      </c>
      <c r="AC36" s="60">
        <v>79.400000000000006</v>
      </c>
      <c r="AD36" s="48">
        <v>62.9</v>
      </c>
      <c r="AE36" s="48">
        <v>91.3</v>
      </c>
      <c r="AF36" s="48">
        <v>61.2</v>
      </c>
      <c r="AG36" s="48">
        <v>70.3</v>
      </c>
      <c r="AH36" s="48">
        <v>81.7</v>
      </c>
      <c r="AI36" s="60">
        <v>78.599999999999994</v>
      </c>
      <c r="AJ36" s="48">
        <v>57.4</v>
      </c>
      <c r="AK36" s="48">
        <v>85.5</v>
      </c>
      <c r="AL36" s="48">
        <v>60.6</v>
      </c>
      <c r="AM36" s="48">
        <v>69.8</v>
      </c>
      <c r="AN36" s="345">
        <v>81.7</v>
      </c>
      <c r="AO36" s="29">
        <v>78</v>
      </c>
      <c r="AP36" s="29">
        <v>56</v>
      </c>
      <c r="AQ36" s="29">
        <v>81</v>
      </c>
      <c r="AR36" s="29">
        <v>62</v>
      </c>
      <c r="AS36" s="29">
        <v>65</v>
      </c>
      <c r="AT36" s="344">
        <v>81</v>
      </c>
      <c r="BA36" s="34">
        <v>81.599999904632568</v>
      </c>
      <c r="BB36" s="34">
        <v>62.5</v>
      </c>
      <c r="BC36" s="34">
        <v>82.5</v>
      </c>
      <c r="BD36" s="34">
        <v>71.399999856948853</v>
      </c>
      <c r="BE36" s="34">
        <v>67.399999856948853</v>
      </c>
      <c r="BF36" s="34">
        <v>83.199999809265137</v>
      </c>
    </row>
    <row r="37" spans="1:58">
      <c r="A37" s="2" t="s">
        <v>62</v>
      </c>
      <c r="B37" s="33">
        <v>75.749674829099675</v>
      </c>
      <c r="C37" s="33">
        <v>77.830829459541562</v>
      </c>
      <c r="D37" s="36">
        <v>79.453767612938677</v>
      </c>
      <c r="E37" s="34">
        <v>76.431126087945259</v>
      </c>
      <c r="F37" s="34">
        <v>75.497009614656676</v>
      </c>
      <c r="G37" s="34">
        <v>74.030668598396275</v>
      </c>
      <c r="H37" s="34">
        <v>73.281244311769626</v>
      </c>
      <c r="I37" s="34">
        <v>73.193216637903703</v>
      </c>
      <c r="J37" s="34">
        <v>73.671352374617868</v>
      </c>
      <c r="K37" s="34">
        <v>69.180723194212433</v>
      </c>
      <c r="L37" s="34">
        <v>72.200439146800505</v>
      </c>
      <c r="M37" s="34">
        <v>74.185232922113784</v>
      </c>
      <c r="N37" s="34">
        <v>74.568281848974706</v>
      </c>
      <c r="O37" s="34">
        <v>75.001534551972199</v>
      </c>
      <c r="P37" s="34">
        <v>72.900000000000006</v>
      </c>
      <c r="Q37" s="60">
        <v>74.8</v>
      </c>
      <c r="R37" s="487">
        <v>53.6</v>
      </c>
      <c r="S37" s="487">
        <v>88.1</v>
      </c>
      <c r="T37" s="487">
        <v>64.099999999999994</v>
      </c>
      <c r="U37" s="487">
        <v>60.8</v>
      </c>
      <c r="V37" s="487">
        <v>76.099999999999994</v>
      </c>
      <c r="W37" s="60">
        <v>71.900000000000006</v>
      </c>
      <c r="X37" s="32">
        <v>50.6</v>
      </c>
      <c r="Y37" s="32">
        <v>84.4</v>
      </c>
      <c r="Z37" s="32">
        <v>60.3</v>
      </c>
      <c r="AA37" s="32">
        <v>58.2</v>
      </c>
      <c r="AB37" s="32">
        <v>73.599999999999994</v>
      </c>
      <c r="AC37" s="60">
        <v>73.7</v>
      </c>
      <c r="AD37" s="48">
        <v>51.3</v>
      </c>
      <c r="AE37" s="48">
        <v>87.6</v>
      </c>
      <c r="AF37" s="48">
        <v>63.1</v>
      </c>
      <c r="AG37" s="48">
        <v>60.7</v>
      </c>
      <c r="AH37" s="48">
        <v>75.3</v>
      </c>
      <c r="AI37" s="60">
        <v>77.2</v>
      </c>
      <c r="AJ37" s="48">
        <v>58.7</v>
      </c>
      <c r="AK37" s="48">
        <v>86.8</v>
      </c>
      <c r="AL37" s="48">
        <v>64.099999999999994</v>
      </c>
      <c r="AM37" s="48">
        <v>63</v>
      </c>
      <c r="AN37" s="345">
        <v>77.7</v>
      </c>
      <c r="AO37" s="29">
        <v>79</v>
      </c>
      <c r="AP37" s="29">
        <v>42</v>
      </c>
      <c r="AQ37" s="29">
        <v>81</v>
      </c>
      <c r="AR37" s="29">
        <v>78</v>
      </c>
      <c r="AS37" s="29">
        <v>58</v>
      </c>
      <c r="AT37" s="344">
        <v>80</v>
      </c>
      <c r="BA37" s="34">
        <v>80.399999856948853</v>
      </c>
      <c r="BB37" s="34">
        <v>40.299999952316284</v>
      </c>
      <c r="BC37" s="34">
        <v>84.5</v>
      </c>
      <c r="BD37" s="34">
        <v>80.699999809265137</v>
      </c>
      <c r="BE37" s="34">
        <v>62.699999928474426</v>
      </c>
      <c r="BF37" s="34">
        <v>80.099999904632568</v>
      </c>
    </row>
    <row r="38" spans="1:58">
      <c r="A38" s="6" t="s">
        <v>63</v>
      </c>
      <c r="B38" s="30">
        <v>81.135214521566027</v>
      </c>
      <c r="C38" s="30">
        <v>86.510090886870756</v>
      </c>
      <c r="D38" s="37">
        <v>84.044445742909431</v>
      </c>
      <c r="E38" s="38">
        <v>78.839676947315851</v>
      </c>
      <c r="F38" s="38">
        <v>77.712139940617391</v>
      </c>
      <c r="G38" s="38">
        <v>78.445273122157104</v>
      </c>
      <c r="H38" s="38">
        <v>77.117830573554116</v>
      </c>
      <c r="I38" s="38">
        <v>76.594922061205011</v>
      </c>
      <c r="J38" s="38">
        <v>76.290442575498261</v>
      </c>
      <c r="K38" s="38">
        <v>73.426201420096206</v>
      </c>
      <c r="L38" s="38">
        <v>74.385773833001863</v>
      </c>
      <c r="M38" s="38">
        <v>73.884214231020778</v>
      </c>
      <c r="N38" s="38">
        <v>76.007388991610156</v>
      </c>
      <c r="O38" s="38">
        <v>76.738695634244863</v>
      </c>
      <c r="P38" s="38">
        <v>76.099999999999994</v>
      </c>
      <c r="Q38" s="61">
        <v>75.8</v>
      </c>
      <c r="R38" s="489">
        <v>44.7</v>
      </c>
      <c r="S38" s="489">
        <v>90.8</v>
      </c>
      <c r="T38" s="489">
        <v>63.6</v>
      </c>
      <c r="U38" s="489">
        <v>52</v>
      </c>
      <c r="V38" s="489">
        <v>78.3</v>
      </c>
      <c r="W38" s="61">
        <v>76</v>
      </c>
      <c r="X38" s="54">
        <v>38.5</v>
      </c>
      <c r="Y38" s="54">
        <v>98.5</v>
      </c>
      <c r="Z38" s="54">
        <v>65.5</v>
      </c>
      <c r="AA38" s="54">
        <v>61.8</v>
      </c>
      <c r="AB38" s="54">
        <v>78.5</v>
      </c>
      <c r="AC38" s="61">
        <v>75.2</v>
      </c>
      <c r="AD38" s="80">
        <v>45</v>
      </c>
      <c r="AE38" s="80">
        <v>87.3</v>
      </c>
      <c r="AF38" s="80">
        <v>69.599999999999994</v>
      </c>
      <c r="AG38" s="80">
        <v>65</v>
      </c>
      <c r="AH38" s="80">
        <v>77.099999999999994</v>
      </c>
      <c r="AI38" s="61">
        <v>80.3</v>
      </c>
      <c r="AJ38" s="80">
        <v>37.6</v>
      </c>
      <c r="AK38" s="80">
        <v>69</v>
      </c>
      <c r="AL38" s="80">
        <v>74.3</v>
      </c>
      <c r="AM38" s="80">
        <v>57.4</v>
      </c>
      <c r="AN38" s="346">
        <v>82.6</v>
      </c>
      <c r="AO38" s="29">
        <v>80</v>
      </c>
      <c r="AP38" s="29">
        <v>47</v>
      </c>
      <c r="AQ38" s="29">
        <v>86</v>
      </c>
      <c r="AR38" s="29">
        <v>82</v>
      </c>
      <c r="AS38" s="29">
        <v>53</v>
      </c>
      <c r="AT38" s="344">
        <v>81</v>
      </c>
      <c r="BA38" s="34">
        <v>82.5</v>
      </c>
      <c r="BB38" s="34">
        <v>42.599999904632568</v>
      </c>
      <c r="BC38" s="34">
        <v>100</v>
      </c>
      <c r="BD38" s="34">
        <v>77.899999856948853</v>
      </c>
      <c r="BE38" s="34">
        <v>75.299999952316284</v>
      </c>
      <c r="BF38" s="34">
        <v>84</v>
      </c>
    </row>
    <row r="39" spans="1:58">
      <c r="A39" s="3" t="s">
        <v>142</v>
      </c>
      <c r="B39" s="92">
        <f>MEDIAN(B41:B52)</f>
        <v>82.289298615159765</v>
      </c>
      <c r="C39" s="92">
        <f t="shared" ref="C39:AH39" si="4">MEDIAN(C41:C52)</f>
        <v>83.180379307786211</v>
      </c>
      <c r="D39" s="92">
        <f t="shared" si="4"/>
        <v>82.862742631013759</v>
      </c>
      <c r="E39" s="92">
        <f t="shared" si="4"/>
        <v>81.914183537696999</v>
      </c>
      <c r="F39" s="92">
        <f t="shared" si="4"/>
        <v>80.344984454015133</v>
      </c>
      <c r="G39" s="92">
        <f t="shared" si="4"/>
        <v>77.741409633386127</v>
      </c>
      <c r="H39" s="92">
        <f t="shared" si="4"/>
        <v>77.320347285377238</v>
      </c>
      <c r="I39" s="92">
        <f t="shared" si="4"/>
        <v>76.351121276483042</v>
      </c>
      <c r="J39" s="92">
        <f t="shared" si="4"/>
        <v>77.375084671679573</v>
      </c>
      <c r="K39" s="92">
        <f t="shared" si="4"/>
        <v>76.971789701472602</v>
      </c>
      <c r="L39" s="92">
        <f t="shared" si="4"/>
        <v>78.215094616249146</v>
      </c>
      <c r="M39" s="92">
        <f t="shared" si="4"/>
        <v>81.002001343961552</v>
      </c>
      <c r="N39" s="92">
        <f t="shared" si="4"/>
        <v>81.278372330922338</v>
      </c>
      <c r="O39" s="92">
        <f t="shared" si="4"/>
        <v>81.459746737454907</v>
      </c>
      <c r="P39" s="92">
        <f t="shared" si="4"/>
        <v>81.55</v>
      </c>
      <c r="Q39" s="93">
        <f t="shared" si="4"/>
        <v>82.2</v>
      </c>
      <c r="R39" s="92">
        <f t="shared" si="4"/>
        <v>59.75</v>
      </c>
      <c r="S39" s="92">
        <f t="shared" si="4"/>
        <v>96.95</v>
      </c>
      <c r="T39" s="92">
        <f t="shared" si="4"/>
        <v>66.150000000000006</v>
      </c>
      <c r="U39" s="92">
        <f t="shared" si="4"/>
        <v>65</v>
      </c>
      <c r="V39" s="92">
        <f t="shared" si="4"/>
        <v>86.65</v>
      </c>
      <c r="W39" s="93">
        <f t="shared" si="4"/>
        <v>83.1</v>
      </c>
      <c r="X39" s="92">
        <f t="shared" si="4"/>
        <v>65.25</v>
      </c>
      <c r="Y39" s="92">
        <f t="shared" si="4"/>
        <v>96.35</v>
      </c>
      <c r="Z39" s="92">
        <f t="shared" si="4"/>
        <v>66.900000000000006</v>
      </c>
      <c r="AA39" s="92">
        <f t="shared" si="4"/>
        <v>63.900000000000006</v>
      </c>
      <c r="AB39" s="92">
        <f t="shared" si="4"/>
        <v>87.75</v>
      </c>
      <c r="AC39" s="93">
        <f t="shared" si="4"/>
        <v>82.300000000000011</v>
      </c>
      <c r="AD39" s="92">
        <f t="shared" si="4"/>
        <v>66.650000000000006</v>
      </c>
      <c r="AE39" s="92">
        <f t="shared" si="4"/>
        <v>96.3</v>
      </c>
      <c r="AF39" s="92">
        <f t="shared" si="4"/>
        <v>66.849999999999994</v>
      </c>
      <c r="AG39" s="92">
        <f t="shared" si="4"/>
        <v>65.949999999999989</v>
      </c>
      <c r="AH39" s="92">
        <f t="shared" si="4"/>
        <v>85.7</v>
      </c>
      <c r="AI39" s="93">
        <f t="shared" ref="AI39:AM39" si="5">MEDIAN(AI41:AI52)</f>
        <v>83.75</v>
      </c>
      <c r="AJ39" s="92">
        <f t="shared" si="5"/>
        <v>66.95</v>
      </c>
      <c r="AK39" s="92">
        <f t="shared" si="5"/>
        <v>95.050000000000011</v>
      </c>
      <c r="AL39" s="92">
        <f t="shared" si="5"/>
        <v>72.599999999999994</v>
      </c>
      <c r="AM39" s="92">
        <f t="shared" si="5"/>
        <v>67</v>
      </c>
      <c r="AN39" s="343">
        <f>MEDIAN(AN41:AN52)</f>
        <v>87.3</v>
      </c>
      <c r="AO39" s="351">
        <f>MEDIAN(AO41:AO52)</f>
        <v>86</v>
      </c>
      <c r="AP39" s="352">
        <f t="shared" ref="AP39:AT39" si="6">MEDIAN(AP41:AP52)</f>
        <v>61.5</v>
      </c>
      <c r="AQ39" s="352">
        <f t="shared" si="6"/>
        <v>96</v>
      </c>
      <c r="AR39" s="352">
        <f t="shared" si="6"/>
        <v>82</v>
      </c>
      <c r="AS39" s="352">
        <f t="shared" si="6"/>
        <v>67</v>
      </c>
      <c r="AT39" s="353">
        <f t="shared" si="6"/>
        <v>87</v>
      </c>
      <c r="BA39" s="34"/>
      <c r="BB39" s="34"/>
      <c r="BC39" s="34"/>
      <c r="BD39" s="34"/>
      <c r="BE39" s="34"/>
      <c r="BF39" s="34"/>
    </row>
    <row r="40" spans="1:58">
      <c r="A40" s="3" t="s">
        <v>129</v>
      </c>
      <c r="B40" s="33"/>
      <c r="C40" s="33"/>
      <c r="Q40" s="62"/>
      <c r="W40" s="62"/>
      <c r="AC40" s="62"/>
      <c r="AI40" s="62"/>
      <c r="AN40" s="344"/>
      <c r="AT40" s="344"/>
      <c r="BA40" s="34"/>
      <c r="BB40" s="34"/>
      <c r="BC40" s="34"/>
      <c r="BD40" s="34"/>
      <c r="BE40" s="34"/>
      <c r="BF40" s="34"/>
    </row>
    <row r="41" spans="1:58">
      <c r="A41" s="2" t="s">
        <v>65</v>
      </c>
      <c r="B41" s="33">
        <v>76.576799639334141</v>
      </c>
      <c r="C41" s="33">
        <v>77.544690974551159</v>
      </c>
      <c r="D41" s="36">
        <v>76.282102036833933</v>
      </c>
      <c r="E41" s="34">
        <v>74.824033295890715</v>
      </c>
      <c r="F41" s="34">
        <v>75.234336581110085</v>
      </c>
      <c r="G41" s="34">
        <v>76.054018233436764</v>
      </c>
      <c r="H41" s="34">
        <v>76.821572616833194</v>
      </c>
      <c r="I41" s="34">
        <v>76.010377196092676</v>
      </c>
      <c r="J41" s="34">
        <v>76.318099619013978</v>
      </c>
      <c r="K41" s="34">
        <v>75.633601534829893</v>
      </c>
      <c r="L41" s="34">
        <v>77.122136155025927</v>
      </c>
      <c r="M41" s="34">
        <v>75.90102580466322</v>
      </c>
      <c r="N41" s="34">
        <v>80.282771178005547</v>
      </c>
      <c r="O41" s="34">
        <v>79.375249549847155</v>
      </c>
      <c r="P41" s="34">
        <v>79.7</v>
      </c>
      <c r="Q41" s="60">
        <v>79.5</v>
      </c>
      <c r="R41" s="487">
        <v>100</v>
      </c>
      <c r="S41" s="487">
        <v>100</v>
      </c>
      <c r="T41" s="487">
        <v>65</v>
      </c>
      <c r="U41" s="487">
        <v>61.2</v>
      </c>
      <c r="V41" s="487">
        <v>87.3</v>
      </c>
      <c r="W41" s="60">
        <v>80.400000000000006</v>
      </c>
      <c r="X41" s="32">
        <v>95.8</v>
      </c>
      <c r="Y41" s="32">
        <v>100</v>
      </c>
      <c r="Z41" s="32">
        <v>69.599999999999994</v>
      </c>
      <c r="AA41" s="32">
        <v>61.5</v>
      </c>
      <c r="AB41" s="32">
        <v>87.7</v>
      </c>
      <c r="AC41" s="60">
        <v>77.7</v>
      </c>
      <c r="AD41" s="48">
        <v>70.599999999999994</v>
      </c>
      <c r="AE41" s="48">
        <v>92.9</v>
      </c>
      <c r="AF41" s="48">
        <v>68.8</v>
      </c>
      <c r="AG41" s="48">
        <v>60.8</v>
      </c>
      <c r="AH41" s="48">
        <v>85.7</v>
      </c>
      <c r="AI41" s="60">
        <v>81.900000000000006</v>
      </c>
      <c r="AJ41" s="48">
        <v>82.1</v>
      </c>
      <c r="AK41" s="48">
        <v>97.1</v>
      </c>
      <c r="AL41" s="48">
        <v>76</v>
      </c>
      <c r="AM41" s="48">
        <v>68.7</v>
      </c>
      <c r="AN41" s="345">
        <v>88.1</v>
      </c>
      <c r="AO41" s="29">
        <v>80</v>
      </c>
      <c r="AP41" s="29">
        <v>97</v>
      </c>
      <c r="AQ41" s="29">
        <v>97</v>
      </c>
      <c r="AR41" s="29">
        <v>74</v>
      </c>
      <c r="AS41" s="29">
        <v>63</v>
      </c>
      <c r="AT41" s="344">
        <v>87</v>
      </c>
      <c r="BA41" s="34">
        <v>82.699999809265137</v>
      </c>
      <c r="BB41" s="34">
        <v>78.5</v>
      </c>
      <c r="BC41" s="34">
        <v>97.799999952316284</v>
      </c>
      <c r="BD41" s="34">
        <v>78.299999952316284</v>
      </c>
      <c r="BE41" s="34">
        <v>63.599999904632568</v>
      </c>
      <c r="BF41" s="34">
        <v>90.599999904632568</v>
      </c>
    </row>
    <row r="42" spans="1:58">
      <c r="A42" s="2" t="s">
        <v>66</v>
      </c>
      <c r="B42" s="33">
        <v>76.887988728302815</v>
      </c>
      <c r="C42" s="33">
        <v>77.847055978109424</v>
      </c>
      <c r="D42" s="36">
        <v>74.74794231059947</v>
      </c>
      <c r="E42" s="34">
        <v>73.808531820928323</v>
      </c>
      <c r="F42" s="34">
        <v>73.641608309216011</v>
      </c>
      <c r="G42" s="34">
        <v>74.009187990144724</v>
      </c>
      <c r="H42" s="34">
        <v>73.824591552492819</v>
      </c>
      <c r="I42" s="34">
        <v>74.275064366195693</v>
      </c>
      <c r="J42" s="34">
        <v>71.783704257180048</v>
      </c>
      <c r="K42" s="34">
        <v>72.071054167563915</v>
      </c>
      <c r="L42" s="34">
        <v>73.069439752170439</v>
      </c>
      <c r="M42" s="34">
        <v>75.467326507752858</v>
      </c>
      <c r="N42" s="34">
        <v>73.505575437685295</v>
      </c>
      <c r="O42" s="34">
        <v>73.194254483381116</v>
      </c>
      <c r="P42" s="34">
        <v>73.3</v>
      </c>
      <c r="Q42" s="60">
        <v>73.900000000000006</v>
      </c>
      <c r="R42" s="487">
        <v>66.099999999999994</v>
      </c>
      <c r="S42" s="487">
        <v>98.8</v>
      </c>
      <c r="T42" s="487">
        <v>68.8</v>
      </c>
      <c r="U42" s="487">
        <v>52.7</v>
      </c>
      <c r="V42" s="487">
        <v>75.7</v>
      </c>
      <c r="W42" s="60">
        <v>74.099999999999994</v>
      </c>
      <c r="X42" s="32">
        <v>69.8</v>
      </c>
      <c r="Y42" s="32">
        <v>100</v>
      </c>
      <c r="Z42" s="32">
        <v>66.599999999999994</v>
      </c>
      <c r="AA42" s="32">
        <v>52.6</v>
      </c>
      <c r="AB42" s="32">
        <v>75.900000000000006</v>
      </c>
      <c r="AC42" s="60">
        <v>75.2</v>
      </c>
      <c r="AD42" s="48">
        <v>68.599999999999994</v>
      </c>
      <c r="AE42" s="48">
        <v>100</v>
      </c>
      <c r="AF42" s="48">
        <v>66.8</v>
      </c>
      <c r="AG42" s="48">
        <v>56.4</v>
      </c>
      <c r="AH42" s="48">
        <v>77.099999999999994</v>
      </c>
      <c r="AI42" s="60">
        <v>77.2</v>
      </c>
      <c r="AJ42" s="48">
        <v>75.5</v>
      </c>
      <c r="AK42" s="48">
        <v>95.2</v>
      </c>
      <c r="AL42" s="48">
        <v>71.8</v>
      </c>
      <c r="AM42" s="48">
        <v>61.6</v>
      </c>
      <c r="AN42" s="345">
        <v>79.099999999999994</v>
      </c>
      <c r="AO42" s="29">
        <v>80</v>
      </c>
      <c r="AP42" s="29">
        <v>87</v>
      </c>
      <c r="AQ42" s="29">
        <v>99</v>
      </c>
      <c r="AR42" s="29">
        <v>83</v>
      </c>
      <c r="AS42" s="29">
        <v>67</v>
      </c>
      <c r="AT42" s="344">
        <v>82</v>
      </c>
      <c r="BA42" s="34">
        <v>81</v>
      </c>
      <c r="BB42" s="34">
        <v>92.699999809265137</v>
      </c>
      <c r="BC42" s="34">
        <v>99.199999809265137</v>
      </c>
      <c r="BD42" s="34">
        <v>85.699999809265137</v>
      </c>
      <c r="BE42" s="34">
        <v>66.399999856948853</v>
      </c>
      <c r="BF42" s="34">
        <v>83.099999904632568</v>
      </c>
    </row>
    <row r="43" spans="1:58">
      <c r="A43" s="2" t="s">
        <v>67</v>
      </c>
      <c r="B43" s="33">
        <v>84.444807628021863</v>
      </c>
      <c r="C43" s="33">
        <v>86.896071429772192</v>
      </c>
      <c r="D43" s="36">
        <v>86.087364438525753</v>
      </c>
      <c r="E43" s="34">
        <v>84.51122992801659</v>
      </c>
      <c r="F43" s="34">
        <v>84.306889992780469</v>
      </c>
      <c r="G43" s="34">
        <v>84.563595084533816</v>
      </c>
      <c r="H43" s="34">
        <v>83.882396459459272</v>
      </c>
      <c r="I43" s="34">
        <v>83.258027105695447</v>
      </c>
      <c r="J43" s="34">
        <v>83.112298408527394</v>
      </c>
      <c r="K43" s="34">
        <v>82.785670842265361</v>
      </c>
      <c r="L43" s="34">
        <v>84.107549215829607</v>
      </c>
      <c r="M43" s="34">
        <v>85.291992967844337</v>
      </c>
      <c r="N43" s="34">
        <v>85.775207099773553</v>
      </c>
      <c r="O43" s="34">
        <v>86.585507053237933</v>
      </c>
      <c r="P43" s="34">
        <v>86.9</v>
      </c>
      <c r="Q43" s="60">
        <v>86.5</v>
      </c>
      <c r="R43" s="487">
        <v>59.4</v>
      </c>
      <c r="S43" s="487">
        <v>94.7</v>
      </c>
      <c r="T43" s="487">
        <v>70.900000000000006</v>
      </c>
      <c r="U43" s="487">
        <v>70</v>
      </c>
      <c r="V43" s="487">
        <v>88.1</v>
      </c>
      <c r="W43" s="60">
        <v>86.4</v>
      </c>
      <c r="X43" s="32">
        <v>63.6</v>
      </c>
      <c r="Y43" s="32">
        <v>93.2</v>
      </c>
      <c r="Z43" s="32">
        <v>70.2</v>
      </c>
      <c r="AA43" s="32">
        <v>71.900000000000006</v>
      </c>
      <c r="AB43" s="32">
        <v>88</v>
      </c>
      <c r="AC43" s="60">
        <v>85.7</v>
      </c>
      <c r="AD43" s="48">
        <v>63.6</v>
      </c>
      <c r="AE43" s="48">
        <v>98.1</v>
      </c>
      <c r="AF43" s="48">
        <v>68.7</v>
      </c>
      <c r="AG43" s="48">
        <v>71.5</v>
      </c>
      <c r="AH43" s="48">
        <v>87.4</v>
      </c>
      <c r="AI43" s="60">
        <v>87.9</v>
      </c>
      <c r="AJ43" s="48">
        <v>68.5</v>
      </c>
      <c r="AK43" s="48">
        <v>87.3</v>
      </c>
      <c r="AL43" s="48">
        <v>86.3</v>
      </c>
      <c r="AM43" s="48">
        <v>60.7</v>
      </c>
      <c r="AN43" s="345">
        <v>88.5</v>
      </c>
      <c r="AO43" s="29">
        <v>89</v>
      </c>
      <c r="AP43" s="29">
        <v>61</v>
      </c>
      <c r="AQ43" s="29">
        <v>87</v>
      </c>
      <c r="AR43" s="29">
        <v>89</v>
      </c>
      <c r="AS43" s="29">
        <v>66</v>
      </c>
      <c r="AT43" s="344">
        <v>89</v>
      </c>
      <c r="BA43" s="34">
        <v>89.399999856948853</v>
      </c>
      <c r="BB43" s="34">
        <v>67.199999809265137</v>
      </c>
      <c r="BC43" s="34">
        <v>98</v>
      </c>
      <c r="BD43" s="34">
        <v>85.5</v>
      </c>
      <c r="BE43" s="34">
        <v>69</v>
      </c>
      <c r="BF43" s="34">
        <v>90.199999809265137</v>
      </c>
    </row>
    <row r="44" spans="1:58">
      <c r="A44" s="2" t="s">
        <v>68</v>
      </c>
      <c r="B44" s="33">
        <v>80.76307575570894</v>
      </c>
      <c r="C44" s="33">
        <v>80.451748532684618</v>
      </c>
      <c r="D44" s="36">
        <v>80.242992808799528</v>
      </c>
      <c r="E44" s="34">
        <v>78.826246838202991</v>
      </c>
      <c r="F44" s="34">
        <v>77.138069083183368</v>
      </c>
      <c r="G44" s="34">
        <v>76.860700729160314</v>
      </c>
      <c r="H44" s="34">
        <v>75.962726001025388</v>
      </c>
      <c r="I44" s="34">
        <v>76.691865356873407</v>
      </c>
      <c r="J44" s="34">
        <v>77.123413538336635</v>
      </c>
      <c r="K44" s="34">
        <v>76.507997514714475</v>
      </c>
      <c r="L44" s="34">
        <v>77.13870886686307</v>
      </c>
      <c r="M44" s="34">
        <v>76.923331376845837</v>
      </c>
      <c r="N44" s="34">
        <v>77.898504717140199</v>
      </c>
      <c r="O44" s="34">
        <v>79.163897503751897</v>
      </c>
      <c r="P44" s="34">
        <v>77.599999999999994</v>
      </c>
      <c r="Q44" s="60">
        <v>78.900000000000006</v>
      </c>
      <c r="R44" s="487">
        <v>60.1</v>
      </c>
      <c r="S44" s="487">
        <v>81.400000000000006</v>
      </c>
      <c r="T44" s="487">
        <v>60.3</v>
      </c>
      <c r="U44" s="487">
        <v>64.5</v>
      </c>
      <c r="V44" s="487">
        <v>81.400000000000006</v>
      </c>
      <c r="W44" s="60">
        <v>79.099999999999994</v>
      </c>
      <c r="X44" s="32">
        <v>63.9</v>
      </c>
      <c r="Y44" s="32">
        <v>93.4</v>
      </c>
      <c r="Z44" s="32">
        <v>62.2</v>
      </c>
      <c r="AA44" s="32">
        <v>64.7</v>
      </c>
      <c r="AB44" s="32">
        <v>82.4</v>
      </c>
      <c r="AC44" s="60">
        <v>80.2</v>
      </c>
      <c r="AD44" s="48">
        <v>69</v>
      </c>
      <c r="AE44" s="48">
        <v>87.9</v>
      </c>
      <c r="AF44" s="48">
        <v>63.5</v>
      </c>
      <c r="AG44" s="48">
        <v>66.599999999999994</v>
      </c>
      <c r="AH44" s="48">
        <v>83.7</v>
      </c>
      <c r="AI44" s="60">
        <v>84.5</v>
      </c>
      <c r="AJ44" s="48">
        <v>65.400000000000006</v>
      </c>
      <c r="AK44" s="48">
        <v>88.6</v>
      </c>
      <c r="AL44" s="48">
        <v>78.8</v>
      </c>
      <c r="AM44" s="48">
        <v>68</v>
      </c>
      <c r="AN44" s="345">
        <v>85.8</v>
      </c>
      <c r="AO44" s="29">
        <v>87</v>
      </c>
      <c r="AP44" s="29">
        <v>61</v>
      </c>
      <c r="AQ44" s="29">
        <v>93</v>
      </c>
      <c r="AR44" s="29">
        <v>84</v>
      </c>
      <c r="AS44" s="29">
        <v>69</v>
      </c>
      <c r="AT44" s="344">
        <v>87</v>
      </c>
      <c r="BA44" s="34">
        <v>88.399999856948853</v>
      </c>
      <c r="BB44" s="34">
        <v>68.799999952316284</v>
      </c>
      <c r="BC44" s="34">
        <v>95.899999856948853</v>
      </c>
      <c r="BD44" s="34">
        <v>85.899999856948853</v>
      </c>
      <c r="BE44" s="34">
        <v>75.5</v>
      </c>
      <c r="BF44" s="34">
        <v>89.599999904632568</v>
      </c>
    </row>
    <row r="45" spans="1:58">
      <c r="A45" s="2" t="s">
        <v>69</v>
      </c>
      <c r="B45" s="33">
        <v>72.056210431193833</v>
      </c>
      <c r="C45" s="33">
        <v>72.164647578652136</v>
      </c>
      <c r="D45" s="36">
        <v>72.369243588832717</v>
      </c>
      <c r="E45" s="34">
        <v>71.293314389652522</v>
      </c>
      <c r="F45" s="34">
        <v>71.352227410287782</v>
      </c>
      <c r="G45" s="34">
        <v>73.54609417885689</v>
      </c>
      <c r="H45" s="34">
        <v>74.585699187293386</v>
      </c>
      <c r="I45" s="34">
        <v>73.89135884924201</v>
      </c>
      <c r="J45" s="34">
        <v>75.331965728268841</v>
      </c>
      <c r="K45" s="34">
        <v>75.376468811744886</v>
      </c>
      <c r="L45" s="34">
        <v>72.933526190812671</v>
      </c>
      <c r="M45" s="34">
        <v>73.991179676375978</v>
      </c>
      <c r="N45" s="34">
        <v>72.538174772782014</v>
      </c>
      <c r="O45" s="34">
        <v>73.017611560583475</v>
      </c>
      <c r="P45" s="34">
        <v>72.2</v>
      </c>
      <c r="Q45" s="60">
        <v>77</v>
      </c>
      <c r="R45" s="487">
        <v>54.1</v>
      </c>
      <c r="S45" s="487">
        <v>96.4</v>
      </c>
      <c r="T45" s="487">
        <v>63</v>
      </c>
      <c r="U45" s="487">
        <v>60</v>
      </c>
      <c r="V45" s="487">
        <v>82.2</v>
      </c>
      <c r="W45" s="60">
        <v>76.3</v>
      </c>
      <c r="X45" s="32">
        <v>66.599999999999994</v>
      </c>
      <c r="Y45" s="32">
        <v>94.8</v>
      </c>
      <c r="Z45" s="32">
        <v>63.8</v>
      </c>
      <c r="AA45" s="32">
        <v>59.2</v>
      </c>
      <c r="AB45" s="32">
        <v>81.599999999999994</v>
      </c>
      <c r="AC45" s="60">
        <v>75.3</v>
      </c>
      <c r="AD45" s="48">
        <v>64.7</v>
      </c>
      <c r="AE45" s="48">
        <v>94.5</v>
      </c>
      <c r="AF45" s="48">
        <v>61.2</v>
      </c>
      <c r="AG45" s="48">
        <v>58.5</v>
      </c>
      <c r="AH45" s="48">
        <v>80.900000000000006</v>
      </c>
      <c r="AI45" s="60">
        <v>75.900000000000006</v>
      </c>
      <c r="AJ45" s="48">
        <v>62.7</v>
      </c>
      <c r="AK45" s="48">
        <v>92.6</v>
      </c>
      <c r="AL45" s="48">
        <v>62.9</v>
      </c>
      <c r="AM45" s="48">
        <v>59.2</v>
      </c>
      <c r="AN45" s="345">
        <v>81.5</v>
      </c>
      <c r="AO45" s="29">
        <v>75</v>
      </c>
      <c r="AP45" s="29">
        <v>59</v>
      </c>
      <c r="AQ45" s="29">
        <v>92</v>
      </c>
      <c r="AR45" s="29">
        <v>51</v>
      </c>
      <c r="AS45" s="29">
        <v>57</v>
      </c>
      <c r="AT45" s="344">
        <v>80</v>
      </c>
      <c r="BA45" s="34">
        <v>78.299999952316284</v>
      </c>
      <c r="BB45" s="34">
        <v>68.199999809265137</v>
      </c>
      <c r="BC45" s="34">
        <v>95.299999952316284</v>
      </c>
      <c r="BD45" s="34">
        <v>52.599999904632568</v>
      </c>
      <c r="BE45" s="34">
        <v>60.599999904632568</v>
      </c>
      <c r="BF45" s="34">
        <v>83.399999856948853</v>
      </c>
    </row>
    <row r="46" spans="1:58">
      <c r="A46" s="2" t="s">
        <v>70</v>
      </c>
      <c r="B46" s="33">
        <v>90.763031293331863</v>
      </c>
      <c r="C46" s="33">
        <v>90.162097183177963</v>
      </c>
      <c r="D46" s="36">
        <v>88.833907727207574</v>
      </c>
      <c r="E46" s="34">
        <v>87.686922944809979</v>
      </c>
      <c r="F46" s="34">
        <v>86.084821200184166</v>
      </c>
      <c r="G46" s="34">
        <v>78.622118537611954</v>
      </c>
      <c r="H46" s="34">
        <v>85.032065251229682</v>
      </c>
      <c r="I46" s="34">
        <v>85.98902066550265</v>
      </c>
      <c r="J46" s="34">
        <v>84.915881395234109</v>
      </c>
      <c r="K46" s="34">
        <v>83.604474193596062</v>
      </c>
      <c r="L46" s="34">
        <v>83.906277389322796</v>
      </c>
      <c r="M46" s="34">
        <v>84.828127601874542</v>
      </c>
      <c r="N46" s="34">
        <v>84.716945969580109</v>
      </c>
      <c r="O46" s="34">
        <v>85.932724712900239</v>
      </c>
      <c r="P46" s="34">
        <v>86.2</v>
      </c>
      <c r="Q46" s="60">
        <v>86.5</v>
      </c>
      <c r="R46" s="487">
        <v>56.8</v>
      </c>
      <c r="S46" s="487">
        <v>86.4</v>
      </c>
      <c r="T46" s="487">
        <v>66.599999999999994</v>
      </c>
      <c r="U46" s="487">
        <v>65.5</v>
      </c>
      <c r="V46" s="487">
        <v>90.1</v>
      </c>
      <c r="W46" s="60">
        <v>86.4</v>
      </c>
      <c r="X46" s="32">
        <v>55.6</v>
      </c>
      <c r="Y46" s="32">
        <v>87.9</v>
      </c>
      <c r="Z46" s="32">
        <v>62.3</v>
      </c>
      <c r="AA46" s="32">
        <v>66.599999999999994</v>
      </c>
      <c r="AB46" s="32">
        <v>90.3</v>
      </c>
      <c r="AC46" s="60">
        <v>87.4</v>
      </c>
      <c r="AD46" s="48">
        <v>56.7</v>
      </c>
      <c r="AE46" s="48">
        <v>90.4</v>
      </c>
      <c r="AF46" s="48">
        <v>63.9</v>
      </c>
      <c r="AG46" s="48">
        <v>69.099999999999994</v>
      </c>
      <c r="AH46" s="48">
        <v>91.4</v>
      </c>
      <c r="AI46" s="60">
        <v>88.2</v>
      </c>
      <c r="AJ46" s="48">
        <v>61.1</v>
      </c>
      <c r="AK46" s="48">
        <v>90</v>
      </c>
      <c r="AL46" s="48">
        <v>66.7</v>
      </c>
      <c r="AM46" s="48">
        <v>69.5</v>
      </c>
      <c r="AN46" s="345">
        <v>92.3</v>
      </c>
      <c r="AO46" s="29">
        <v>89</v>
      </c>
      <c r="AP46" s="29">
        <v>49</v>
      </c>
      <c r="AQ46" s="29">
        <v>90</v>
      </c>
      <c r="AR46" s="29">
        <v>73</v>
      </c>
      <c r="AS46" s="29">
        <v>70</v>
      </c>
      <c r="AT46" s="344">
        <v>93</v>
      </c>
      <c r="BA46" s="34">
        <v>91</v>
      </c>
      <c r="BB46" s="34">
        <v>50.699999928474426</v>
      </c>
      <c r="BC46" s="34">
        <v>97.799999952316284</v>
      </c>
      <c r="BD46" s="34">
        <v>77.099999904632568</v>
      </c>
      <c r="BE46" s="34">
        <v>74.199999809265137</v>
      </c>
      <c r="BF46" s="34">
        <v>93.199999809265137</v>
      </c>
    </row>
    <row r="47" spans="1:58">
      <c r="A47" s="2" t="s">
        <v>71</v>
      </c>
      <c r="B47" s="33">
        <v>76.014483209295719</v>
      </c>
      <c r="C47" s="33">
        <v>76.357858115967062</v>
      </c>
      <c r="D47" s="36">
        <v>76.833325612533145</v>
      </c>
      <c r="E47" s="34">
        <v>75.966518572048642</v>
      </c>
      <c r="F47" s="34">
        <v>74.994861313644222</v>
      </c>
      <c r="G47" s="34">
        <v>74.695205549494375</v>
      </c>
      <c r="H47" s="34">
        <v>75.171286492245088</v>
      </c>
      <c r="I47" s="34">
        <v>75.827300707750467</v>
      </c>
      <c r="J47" s="34">
        <v>76.277603285976909</v>
      </c>
      <c r="K47" s="34">
        <v>75.482870367015494</v>
      </c>
      <c r="L47" s="34">
        <v>76.751742969687143</v>
      </c>
      <c r="M47" s="34">
        <v>78.347170633783008</v>
      </c>
      <c r="N47" s="34">
        <v>80.371539469368045</v>
      </c>
      <c r="O47" s="34">
        <v>80.617987583302167</v>
      </c>
      <c r="P47" s="34">
        <v>81</v>
      </c>
      <c r="Q47" s="60">
        <v>81.900000000000006</v>
      </c>
      <c r="R47" s="487">
        <v>90.6</v>
      </c>
      <c r="S47" s="487">
        <v>100</v>
      </c>
      <c r="T47" s="487">
        <v>86.7</v>
      </c>
      <c r="U47" s="487">
        <v>69.8</v>
      </c>
      <c r="V47" s="487">
        <v>84.2</v>
      </c>
      <c r="W47" s="60">
        <v>82.4</v>
      </c>
      <c r="X47" s="32">
        <v>93.2</v>
      </c>
      <c r="Y47" s="32">
        <v>100</v>
      </c>
      <c r="Z47" s="32">
        <v>83.6</v>
      </c>
      <c r="AA47" s="32">
        <v>68</v>
      </c>
      <c r="AB47" s="32">
        <v>85.2</v>
      </c>
      <c r="AC47" s="60">
        <v>83.1</v>
      </c>
      <c r="AD47" s="48">
        <v>83.4</v>
      </c>
      <c r="AE47" s="48">
        <v>100</v>
      </c>
      <c r="AF47" s="48">
        <v>80.3</v>
      </c>
      <c r="AG47" s="48">
        <v>71.3</v>
      </c>
      <c r="AH47" s="48">
        <v>85.7</v>
      </c>
      <c r="AI47" s="60">
        <v>83.7</v>
      </c>
      <c r="AJ47" s="48">
        <v>89.3</v>
      </c>
      <c r="AK47" s="48">
        <v>100</v>
      </c>
      <c r="AL47" s="48">
        <v>81.2</v>
      </c>
      <c r="AM47" s="48">
        <v>71.2</v>
      </c>
      <c r="AN47" s="345">
        <v>86.5</v>
      </c>
      <c r="AO47" s="29">
        <v>85</v>
      </c>
      <c r="AP47" s="29">
        <v>88</v>
      </c>
      <c r="AQ47" s="29">
        <v>98</v>
      </c>
      <c r="AR47" s="29">
        <v>88</v>
      </c>
      <c r="AS47" s="29">
        <v>73</v>
      </c>
      <c r="AT47" s="344">
        <v>86</v>
      </c>
      <c r="BA47" s="34">
        <v>86.599999904632568</v>
      </c>
      <c r="BB47" s="34">
        <v>86.799999952316284</v>
      </c>
      <c r="BC47" s="34">
        <v>95.699999809265137</v>
      </c>
      <c r="BD47" s="34">
        <v>91.199999809265137</v>
      </c>
      <c r="BE47" s="34">
        <v>73.599999904632568</v>
      </c>
      <c r="BF47" s="34">
        <v>88.199999809265137</v>
      </c>
    </row>
    <row r="48" spans="1:58">
      <c r="A48" s="2" t="s">
        <v>72</v>
      </c>
      <c r="B48" s="33">
        <v>86.650561915765138</v>
      </c>
      <c r="C48" s="33">
        <v>88.280517218276827</v>
      </c>
      <c r="D48" s="36">
        <v>87.225164773404643</v>
      </c>
      <c r="E48" s="34">
        <v>86.936958730465918</v>
      </c>
      <c r="F48" s="34">
        <v>85.638222010934157</v>
      </c>
      <c r="G48" s="34">
        <v>84.755321084227759</v>
      </c>
      <c r="H48" s="34">
        <v>85.640453992703698</v>
      </c>
      <c r="I48" s="34">
        <v>87.273499433748583</v>
      </c>
      <c r="J48" s="34">
        <v>85.716108905275092</v>
      </c>
      <c r="K48" s="34">
        <v>83.846110100090996</v>
      </c>
      <c r="L48" s="34">
        <v>83.943503618860234</v>
      </c>
      <c r="M48" s="34">
        <v>85.230539428442583</v>
      </c>
      <c r="N48" s="34">
        <v>87.649614455058114</v>
      </c>
      <c r="O48" s="34">
        <v>87.765372144544372</v>
      </c>
      <c r="P48" s="34">
        <v>87</v>
      </c>
      <c r="Q48" s="60">
        <v>86.3</v>
      </c>
      <c r="R48" s="487">
        <v>56.4</v>
      </c>
      <c r="S48" s="487">
        <v>97.5</v>
      </c>
      <c r="T48" s="487">
        <v>66.900000000000006</v>
      </c>
      <c r="U48" s="487">
        <v>72.900000000000006</v>
      </c>
      <c r="V48" s="487">
        <v>89.9</v>
      </c>
      <c r="W48" s="60">
        <v>83.8</v>
      </c>
      <c r="X48" s="32">
        <v>55.1</v>
      </c>
      <c r="Y48" s="32">
        <v>97.8</v>
      </c>
      <c r="Z48" s="32">
        <v>67.2</v>
      </c>
      <c r="AA48" s="32">
        <v>57</v>
      </c>
      <c r="AB48" s="32">
        <v>88.6</v>
      </c>
      <c r="AC48" s="60">
        <v>82.9</v>
      </c>
      <c r="AD48" s="48">
        <v>56.3</v>
      </c>
      <c r="AE48" s="48">
        <v>92.4</v>
      </c>
      <c r="AF48" s="48">
        <v>66.900000000000006</v>
      </c>
      <c r="AG48" s="48">
        <v>56.7</v>
      </c>
      <c r="AH48" s="48">
        <v>88</v>
      </c>
      <c r="AI48" s="60">
        <v>83.8</v>
      </c>
      <c r="AJ48" s="48">
        <v>50.8</v>
      </c>
      <c r="AK48" s="48">
        <v>94.9</v>
      </c>
      <c r="AL48" s="48">
        <v>71.3</v>
      </c>
      <c r="AM48" s="48">
        <v>57.6</v>
      </c>
      <c r="AN48" s="345">
        <v>88.8</v>
      </c>
      <c r="AO48" s="29">
        <v>90</v>
      </c>
      <c r="AP48" s="29">
        <v>58</v>
      </c>
      <c r="AQ48" s="29">
        <v>97</v>
      </c>
      <c r="AR48" s="29">
        <v>88</v>
      </c>
      <c r="AS48" s="29">
        <v>58</v>
      </c>
      <c r="AT48" s="344">
        <v>91</v>
      </c>
      <c r="BA48" s="34">
        <v>93.299999952316284</v>
      </c>
      <c r="BB48" s="34">
        <v>65.5</v>
      </c>
      <c r="BC48" s="34">
        <v>93.399999856948853</v>
      </c>
      <c r="BD48" s="34">
        <v>90.699999809265137</v>
      </c>
      <c r="BE48" s="34">
        <v>71.299999952316284</v>
      </c>
      <c r="BF48" s="34">
        <v>94.599999904632568</v>
      </c>
    </row>
    <row r="49" spans="1:58">
      <c r="A49" s="2" t="s">
        <v>73</v>
      </c>
      <c r="B49" s="33">
        <v>87.569380203515266</v>
      </c>
      <c r="C49" s="33">
        <v>86.573763372942253</v>
      </c>
      <c r="D49" s="36">
        <v>88.428229946314502</v>
      </c>
      <c r="E49" s="34">
        <v>87.464568103834097</v>
      </c>
      <c r="F49" s="34">
        <v>89.463907567708134</v>
      </c>
      <c r="G49" s="34">
        <v>87.791270101739414</v>
      </c>
      <c r="H49" s="34">
        <v>86.699681641315877</v>
      </c>
      <c r="I49" s="34">
        <v>85.574372577025088</v>
      </c>
      <c r="J49" s="34">
        <v>85.991207034372493</v>
      </c>
      <c r="K49" s="34">
        <v>85.418071476736344</v>
      </c>
      <c r="L49" s="34">
        <v>84.975214689659992</v>
      </c>
      <c r="M49" s="34">
        <v>86.377414352178192</v>
      </c>
      <c r="N49" s="34">
        <v>86.079080426321354</v>
      </c>
      <c r="O49" s="34">
        <v>86.303404158099156</v>
      </c>
      <c r="P49" s="34">
        <v>82.1</v>
      </c>
      <c r="Q49" s="60">
        <v>83.1</v>
      </c>
      <c r="R49" s="487">
        <v>53.4</v>
      </c>
      <c r="S49" s="487">
        <v>100</v>
      </c>
      <c r="T49" s="487">
        <v>62.4</v>
      </c>
      <c r="U49" s="487">
        <v>92.5</v>
      </c>
      <c r="V49" s="487">
        <v>86.2</v>
      </c>
      <c r="W49" s="60">
        <v>83.8</v>
      </c>
      <c r="X49" s="32">
        <v>47</v>
      </c>
      <c r="Y49" s="32">
        <v>85.9</v>
      </c>
      <c r="Z49" s="32">
        <v>63.7</v>
      </c>
      <c r="AA49" s="32">
        <v>95.1</v>
      </c>
      <c r="AB49" s="32">
        <v>87.8</v>
      </c>
      <c r="AC49" s="60">
        <v>87.4</v>
      </c>
      <c r="AD49" s="48">
        <v>52.4</v>
      </c>
      <c r="AE49" s="48">
        <v>93.8</v>
      </c>
      <c r="AF49" s="48">
        <v>72.400000000000006</v>
      </c>
      <c r="AG49" s="48">
        <v>100</v>
      </c>
      <c r="AH49" s="48">
        <v>91.1</v>
      </c>
      <c r="AI49" s="60">
        <v>88.4</v>
      </c>
      <c r="AJ49" s="48">
        <v>60.2</v>
      </c>
      <c r="AK49" s="48">
        <v>100</v>
      </c>
      <c r="AL49" s="48">
        <v>66.7</v>
      </c>
      <c r="AM49" s="48">
        <v>100</v>
      </c>
      <c r="AN49" s="345">
        <v>91.3</v>
      </c>
      <c r="AO49" s="29">
        <v>90</v>
      </c>
      <c r="AP49" s="29">
        <v>62</v>
      </c>
      <c r="AQ49" s="29">
        <v>95</v>
      </c>
      <c r="AR49" s="29">
        <v>78</v>
      </c>
      <c r="AS49" s="29">
        <v>98</v>
      </c>
      <c r="AT49" s="344">
        <v>93</v>
      </c>
      <c r="BA49" s="34">
        <v>91.399999856948853</v>
      </c>
      <c r="BB49" s="34">
        <v>59.099999904632568</v>
      </c>
      <c r="BC49" s="34">
        <v>100</v>
      </c>
      <c r="BD49" s="34">
        <v>85.399999856948853</v>
      </c>
      <c r="BE49" s="34">
        <v>100</v>
      </c>
      <c r="BF49" s="34">
        <v>93.799999952316284</v>
      </c>
    </row>
    <row r="50" spans="1:58">
      <c r="A50" s="2" t="s">
        <v>74</v>
      </c>
      <c r="B50" s="33">
        <v>77.486981450820281</v>
      </c>
      <c r="C50" s="33">
        <v>80.597741983895219</v>
      </c>
      <c r="D50" s="36">
        <v>81.058472648437117</v>
      </c>
      <c r="E50" s="34">
        <v>79.868896015955059</v>
      </c>
      <c r="F50" s="34">
        <v>74.541863508135776</v>
      </c>
      <c r="G50" s="34">
        <v>76.403996344790698</v>
      </c>
      <c r="H50" s="34">
        <v>76.950580537980372</v>
      </c>
      <c r="I50" s="34">
        <v>75.048935238493925</v>
      </c>
      <c r="J50" s="34">
        <v>75.186991121319053</v>
      </c>
      <c r="K50" s="34">
        <v>76.452250057974922</v>
      </c>
      <c r="L50" s="34">
        <v>77.45200817613545</v>
      </c>
      <c r="M50" s="34">
        <v>78.990122333877835</v>
      </c>
      <c r="N50" s="34">
        <v>81.278372330922338</v>
      </c>
      <c r="O50" s="34">
        <v>80.246058312802191</v>
      </c>
      <c r="P50" s="34">
        <v>79.2</v>
      </c>
      <c r="Q50" s="60">
        <v>78.7</v>
      </c>
      <c r="R50" s="487">
        <v>68.2</v>
      </c>
      <c r="S50" s="487">
        <v>95.7</v>
      </c>
      <c r="T50" s="487">
        <v>65.7</v>
      </c>
      <c r="U50" s="487">
        <v>55.1</v>
      </c>
      <c r="V50" s="487">
        <v>83.9</v>
      </c>
      <c r="W50" s="60">
        <v>79</v>
      </c>
      <c r="X50" s="32">
        <v>74.099999999999994</v>
      </c>
      <c r="Y50" s="32">
        <v>95.3</v>
      </c>
      <c r="Z50" s="32">
        <v>65.599999999999994</v>
      </c>
      <c r="AA50" s="32">
        <v>55.5</v>
      </c>
      <c r="AB50" s="32">
        <v>84.4</v>
      </c>
      <c r="AC50" s="60">
        <v>79.599999999999994</v>
      </c>
      <c r="AD50" s="48">
        <v>83.9</v>
      </c>
      <c r="AE50" s="48">
        <v>98.7</v>
      </c>
      <c r="AF50" s="48">
        <v>66</v>
      </c>
      <c r="AG50" s="48">
        <v>56.8</v>
      </c>
      <c r="AH50" s="48">
        <v>84.9</v>
      </c>
      <c r="AI50" s="60">
        <v>81.400000000000006</v>
      </c>
      <c r="AJ50" s="48">
        <v>80.900000000000006</v>
      </c>
      <c r="AK50" s="48">
        <v>97.7</v>
      </c>
      <c r="AL50" s="48">
        <v>67.7</v>
      </c>
      <c r="AM50" s="48">
        <v>60.2</v>
      </c>
      <c r="AN50" s="345">
        <v>86.5</v>
      </c>
      <c r="AO50" s="29">
        <v>82</v>
      </c>
      <c r="AP50" s="29">
        <v>83</v>
      </c>
      <c r="AQ50" s="29">
        <v>97</v>
      </c>
      <c r="AR50" s="29">
        <v>79</v>
      </c>
      <c r="AS50" s="29">
        <v>61</v>
      </c>
      <c r="AT50" s="344">
        <v>87</v>
      </c>
      <c r="BA50" s="34">
        <v>84.899999856948853</v>
      </c>
      <c r="BB50" s="34">
        <v>73.899999856948853</v>
      </c>
      <c r="BC50" s="34">
        <v>98.799999952316284</v>
      </c>
      <c r="BD50" s="34">
        <v>85.699999809265137</v>
      </c>
      <c r="BE50" s="34">
        <v>65.199999809265137</v>
      </c>
      <c r="BF50" s="34">
        <v>89.399999856948853</v>
      </c>
    </row>
    <row r="51" spans="1:58">
      <c r="A51" s="2" t="s">
        <v>75</v>
      </c>
      <c r="B51" s="33">
        <v>83.815521474610605</v>
      </c>
      <c r="C51" s="33">
        <v>88.694493393362222</v>
      </c>
      <c r="D51" s="36">
        <v>90.80628700351086</v>
      </c>
      <c r="E51" s="34">
        <v>86.918465742618665</v>
      </c>
      <c r="F51" s="34">
        <v>84.533135816193521</v>
      </c>
      <c r="G51" s="34">
        <v>84.193819227230804</v>
      </c>
      <c r="H51" s="34">
        <v>77.690114032774105</v>
      </c>
      <c r="I51" s="34">
        <v>74.20686877681986</v>
      </c>
      <c r="J51" s="34">
        <v>77.626755805022512</v>
      </c>
      <c r="K51" s="34">
        <v>77.435581888230743</v>
      </c>
      <c r="L51" s="34">
        <v>78.978181056362843</v>
      </c>
      <c r="M51" s="34">
        <v>83.01388035404527</v>
      </c>
      <c r="N51" s="34">
        <v>83.672580544879168</v>
      </c>
      <c r="O51" s="34">
        <v>82.301505891607633</v>
      </c>
      <c r="P51" s="34">
        <v>84.5</v>
      </c>
      <c r="Q51" s="60">
        <v>82.5</v>
      </c>
      <c r="R51" s="487">
        <v>46.8</v>
      </c>
      <c r="S51" s="487">
        <v>100</v>
      </c>
      <c r="T51" s="487">
        <v>65.5</v>
      </c>
      <c r="U51" s="487">
        <v>75</v>
      </c>
      <c r="V51" s="487">
        <v>87.1</v>
      </c>
      <c r="W51" s="60">
        <v>84.4</v>
      </c>
      <c r="X51" s="32">
        <v>51.3</v>
      </c>
      <c r="Y51" s="32">
        <v>97.4</v>
      </c>
      <c r="Z51" s="32">
        <v>71</v>
      </c>
      <c r="AA51" s="32">
        <v>88.4</v>
      </c>
      <c r="AB51" s="32">
        <v>88.3</v>
      </c>
      <c r="AC51" s="60">
        <v>81.7</v>
      </c>
      <c r="AD51" s="48">
        <v>54.4</v>
      </c>
      <c r="AE51" s="48">
        <v>99</v>
      </c>
      <c r="AF51" s="48">
        <v>66.5</v>
      </c>
      <c r="AG51" s="48">
        <v>85.5</v>
      </c>
      <c r="AH51" s="48">
        <v>85.1</v>
      </c>
      <c r="AI51" s="60">
        <v>81.8</v>
      </c>
      <c r="AJ51" s="48">
        <v>47.5</v>
      </c>
      <c r="AK51" s="48">
        <v>96.8</v>
      </c>
      <c r="AL51" s="48">
        <v>73.400000000000006</v>
      </c>
      <c r="AM51" s="48">
        <v>80.099999999999994</v>
      </c>
      <c r="AN51" s="345">
        <v>86</v>
      </c>
      <c r="AO51" s="29">
        <v>82</v>
      </c>
      <c r="AP51" s="29">
        <v>43</v>
      </c>
      <c r="AQ51" s="29">
        <v>95</v>
      </c>
      <c r="AR51" s="29">
        <v>81</v>
      </c>
      <c r="AS51" s="29">
        <v>79</v>
      </c>
      <c r="AT51" s="344">
        <v>86</v>
      </c>
      <c r="BA51" s="34">
        <v>83.799999952316284</v>
      </c>
      <c r="BB51" s="34">
        <v>47.699999928474426</v>
      </c>
      <c r="BC51" s="34">
        <v>100</v>
      </c>
      <c r="BD51" s="34">
        <v>80.5</v>
      </c>
      <c r="BE51" s="34">
        <v>76.699999809265137</v>
      </c>
      <c r="BF51" s="34">
        <v>87.899999856948853</v>
      </c>
    </row>
    <row r="52" spans="1:58">
      <c r="A52" s="6" t="s">
        <v>76</v>
      </c>
      <c r="B52" s="30">
        <v>85.244271955610046</v>
      </c>
      <c r="C52" s="30">
        <v>85.763016631677189</v>
      </c>
      <c r="D52" s="37">
        <v>84.667012613590416</v>
      </c>
      <c r="E52" s="38">
        <v>83.95947105943894</v>
      </c>
      <c r="F52" s="38">
        <v>83.551899824846913</v>
      </c>
      <c r="G52" s="38">
        <v>83.738931318277665</v>
      </c>
      <c r="H52" s="38">
        <v>83.08941604084734</v>
      </c>
      <c r="I52" s="38">
        <v>82.59568079018689</v>
      </c>
      <c r="J52" s="38">
        <v>82.687952845245221</v>
      </c>
      <c r="K52" s="38">
        <v>83.335127771822314</v>
      </c>
      <c r="L52" s="38">
        <v>84.840915987768156</v>
      </c>
      <c r="M52" s="38">
        <v>85.797195780110101</v>
      </c>
      <c r="N52" s="24" t="s">
        <v>47</v>
      </c>
      <c r="O52" s="38">
        <v>86.704544415698379</v>
      </c>
      <c r="P52" s="24">
        <v>87.5</v>
      </c>
      <c r="Q52" s="61">
        <v>88.5</v>
      </c>
      <c r="R52" s="489">
        <v>69.8</v>
      </c>
      <c r="S52" s="489">
        <v>92.3</v>
      </c>
      <c r="T52" s="489">
        <v>72.099999999999994</v>
      </c>
      <c r="U52" s="489">
        <v>58.4</v>
      </c>
      <c r="V52" s="489">
        <v>93.6</v>
      </c>
      <c r="W52" s="61">
        <v>89.6</v>
      </c>
      <c r="X52" s="54">
        <v>73.900000000000006</v>
      </c>
      <c r="Y52" s="54">
        <v>97.5</v>
      </c>
      <c r="Z52" s="54">
        <v>75</v>
      </c>
      <c r="AA52" s="54">
        <v>63.1</v>
      </c>
      <c r="AB52" s="54">
        <v>94</v>
      </c>
      <c r="AC52" s="61">
        <v>90.7</v>
      </c>
      <c r="AD52" s="80">
        <v>74.099999999999994</v>
      </c>
      <c r="AE52" s="80">
        <v>99.5</v>
      </c>
      <c r="AF52" s="80">
        <v>77.3</v>
      </c>
      <c r="AG52" s="80">
        <v>65.3</v>
      </c>
      <c r="AH52" s="80">
        <v>95</v>
      </c>
      <c r="AI52" s="61">
        <v>91.1</v>
      </c>
      <c r="AJ52" s="80">
        <v>78.900000000000006</v>
      </c>
      <c r="AK52" s="80">
        <v>94.9</v>
      </c>
      <c r="AL52" s="80">
        <v>78.2</v>
      </c>
      <c r="AM52" s="80">
        <v>66</v>
      </c>
      <c r="AN52" s="346">
        <v>95.6</v>
      </c>
      <c r="AO52" s="29">
        <v>92</v>
      </c>
      <c r="AP52" s="29">
        <v>70</v>
      </c>
      <c r="AQ52" s="29">
        <v>99</v>
      </c>
      <c r="AR52" s="29">
        <v>83</v>
      </c>
      <c r="AS52" s="29">
        <v>67</v>
      </c>
      <c r="AT52" s="344">
        <v>95</v>
      </c>
      <c r="BA52" s="34">
        <v>93</v>
      </c>
      <c r="BB52" s="34">
        <v>72.899999856948853</v>
      </c>
      <c r="BC52" s="34">
        <v>97.699999809265137</v>
      </c>
      <c r="BD52" s="34">
        <v>83.699999809265137</v>
      </c>
      <c r="BE52" s="34">
        <v>68.099999904632568</v>
      </c>
      <c r="BF52" s="34">
        <v>96.299999952316284</v>
      </c>
    </row>
    <row r="53" spans="1:58">
      <c r="A53" s="3" t="s">
        <v>143</v>
      </c>
      <c r="B53" s="92">
        <f>MEDIAN(B55:B63)</f>
        <v>79.508377759697666</v>
      </c>
      <c r="C53" s="92">
        <f t="shared" ref="C53:AH53" si="7">MEDIAN(C55:C63)</f>
        <v>80.176441443598975</v>
      </c>
      <c r="D53" s="92">
        <f t="shared" si="7"/>
        <v>79.930802857303391</v>
      </c>
      <c r="E53" s="92">
        <f t="shared" si="7"/>
        <v>78.146383517087983</v>
      </c>
      <c r="F53" s="92">
        <f t="shared" si="7"/>
        <v>77.520463636901439</v>
      </c>
      <c r="G53" s="92">
        <f t="shared" si="7"/>
        <v>77.31906838307782</v>
      </c>
      <c r="H53" s="92">
        <f t="shared" si="7"/>
        <v>76.890857795827117</v>
      </c>
      <c r="I53" s="92">
        <f t="shared" si="7"/>
        <v>76.035330436045228</v>
      </c>
      <c r="J53" s="92">
        <f t="shared" si="7"/>
        <v>78.013673089570034</v>
      </c>
      <c r="K53" s="92">
        <f t="shared" si="7"/>
        <v>77.799740676206923</v>
      </c>
      <c r="L53" s="92">
        <f t="shared" si="7"/>
        <v>77.830021003334821</v>
      </c>
      <c r="M53" s="92">
        <f t="shared" si="7"/>
        <v>78.156484278961329</v>
      </c>
      <c r="N53" s="92">
        <f t="shared" si="7"/>
        <v>79.988651251819704</v>
      </c>
      <c r="O53" s="92">
        <f t="shared" si="7"/>
        <v>80.059867913281579</v>
      </c>
      <c r="P53" s="92">
        <f t="shared" si="7"/>
        <v>80.2</v>
      </c>
      <c r="Q53" s="93">
        <f t="shared" si="7"/>
        <v>81.7</v>
      </c>
      <c r="R53" s="92">
        <f t="shared" si="7"/>
        <v>63.349999999999994</v>
      </c>
      <c r="S53" s="92">
        <f t="shared" si="7"/>
        <v>97.7</v>
      </c>
      <c r="T53" s="92">
        <f t="shared" si="7"/>
        <v>69.75</v>
      </c>
      <c r="U53" s="92">
        <f t="shared" si="7"/>
        <v>74.050000000000011</v>
      </c>
      <c r="V53" s="92">
        <f t="shared" si="7"/>
        <v>82.8</v>
      </c>
      <c r="W53" s="93">
        <f t="shared" si="7"/>
        <v>82.2</v>
      </c>
      <c r="X53" s="92">
        <f t="shared" si="7"/>
        <v>66.3</v>
      </c>
      <c r="Y53" s="92">
        <f t="shared" si="7"/>
        <v>94.05</v>
      </c>
      <c r="Z53" s="92">
        <f t="shared" si="7"/>
        <v>66.8</v>
      </c>
      <c r="AA53" s="92">
        <f t="shared" si="7"/>
        <v>72</v>
      </c>
      <c r="AB53" s="92">
        <f t="shared" si="7"/>
        <v>83.85</v>
      </c>
      <c r="AC53" s="93">
        <f t="shared" si="7"/>
        <v>80.5</v>
      </c>
      <c r="AD53" s="92">
        <f t="shared" si="7"/>
        <v>74.2</v>
      </c>
      <c r="AE53" s="92">
        <f t="shared" si="7"/>
        <v>96.199999999999989</v>
      </c>
      <c r="AF53" s="92">
        <f t="shared" si="7"/>
        <v>66.25</v>
      </c>
      <c r="AG53" s="92">
        <f t="shared" si="7"/>
        <v>72.2</v>
      </c>
      <c r="AH53" s="92">
        <f t="shared" si="7"/>
        <v>84.75</v>
      </c>
      <c r="AI53" s="93">
        <f t="shared" ref="AI53:AN53" si="8">MEDIAN(AI55:AI63)</f>
        <v>82.8</v>
      </c>
      <c r="AJ53" s="92">
        <f t="shared" si="8"/>
        <v>71.400000000000006</v>
      </c>
      <c r="AK53" s="92">
        <f t="shared" si="8"/>
        <v>93.9</v>
      </c>
      <c r="AL53" s="92">
        <f t="shared" si="8"/>
        <v>70.400000000000006</v>
      </c>
      <c r="AM53" s="92">
        <f t="shared" si="8"/>
        <v>74.2</v>
      </c>
      <c r="AN53" s="343">
        <f t="shared" si="8"/>
        <v>86.6</v>
      </c>
      <c r="AO53" s="351">
        <f>MEDIAN(AO55:AO63)</f>
        <v>86</v>
      </c>
      <c r="AP53" s="352">
        <f t="shared" ref="AP53:AT53" si="9">MEDIAN(AP55:AP63)</f>
        <v>76</v>
      </c>
      <c r="AQ53" s="352">
        <f t="shared" si="9"/>
        <v>97</v>
      </c>
      <c r="AR53" s="352">
        <f t="shared" si="9"/>
        <v>73</v>
      </c>
      <c r="AS53" s="352">
        <f t="shared" si="9"/>
        <v>73</v>
      </c>
      <c r="AT53" s="353">
        <f t="shared" si="9"/>
        <v>89</v>
      </c>
      <c r="BA53" s="34"/>
      <c r="BB53" s="34"/>
      <c r="BC53" s="34"/>
      <c r="BD53" s="34"/>
      <c r="BE53" s="34"/>
      <c r="BF53" s="34"/>
    </row>
    <row r="54" spans="1:58">
      <c r="A54" s="3" t="s">
        <v>129</v>
      </c>
      <c r="B54" s="33"/>
      <c r="C54" s="33"/>
      <c r="Q54" s="62"/>
      <c r="W54" s="62"/>
      <c r="AC54" s="62"/>
      <c r="AI54" s="62"/>
      <c r="AN54" s="344"/>
      <c r="AT54" s="344"/>
      <c r="BA54" s="34"/>
      <c r="BB54" s="34"/>
      <c r="BC54" s="34"/>
      <c r="BD54" s="34"/>
      <c r="BE54" s="34"/>
      <c r="BF54" s="34"/>
    </row>
    <row r="55" spans="1:58">
      <c r="A55" s="2" t="s">
        <v>78</v>
      </c>
      <c r="B55" s="33">
        <v>80.151720420223953</v>
      </c>
      <c r="C55" s="33">
        <v>81.445453411757882</v>
      </c>
      <c r="D55" s="36">
        <v>79.930802857303391</v>
      </c>
      <c r="E55" s="34">
        <v>77.236452042746578</v>
      </c>
      <c r="F55" s="34">
        <v>76.072956216366507</v>
      </c>
      <c r="G55" s="34">
        <v>76.685850826997452</v>
      </c>
      <c r="H55" s="34">
        <v>76.890857795827117</v>
      </c>
      <c r="I55" s="34">
        <v>76.035330436045228</v>
      </c>
      <c r="J55" s="34">
        <v>81.902256249823267</v>
      </c>
      <c r="K55" s="34">
        <v>77.492033190806836</v>
      </c>
      <c r="L55" s="34">
        <v>79.736836523445064</v>
      </c>
      <c r="M55" s="34">
        <v>80.905005647273683</v>
      </c>
      <c r="N55" s="34">
        <v>80.710150340834801</v>
      </c>
      <c r="O55" s="34">
        <v>80.896086738645167</v>
      </c>
      <c r="P55" s="34">
        <v>80.900000000000006</v>
      </c>
      <c r="Q55" s="60">
        <v>81.8</v>
      </c>
      <c r="R55" s="487">
        <v>62.6</v>
      </c>
      <c r="S55" s="487">
        <v>96.7</v>
      </c>
      <c r="T55" s="487">
        <v>64.099999999999994</v>
      </c>
      <c r="U55" s="487">
        <v>71.099999999999994</v>
      </c>
      <c r="V55" s="487">
        <v>87.4</v>
      </c>
      <c r="W55" s="60">
        <v>82.2</v>
      </c>
      <c r="X55" s="32">
        <v>65.8</v>
      </c>
      <c r="Y55" s="32">
        <v>99</v>
      </c>
      <c r="Z55" s="32">
        <v>65.8</v>
      </c>
      <c r="AA55" s="32">
        <v>71.099999999999994</v>
      </c>
      <c r="AB55" s="32">
        <v>87.5</v>
      </c>
      <c r="AC55" s="60">
        <v>75.400000000000006</v>
      </c>
      <c r="AD55" s="48">
        <v>61.1</v>
      </c>
      <c r="AE55" s="48">
        <v>88.5</v>
      </c>
      <c r="AF55" s="48">
        <v>55.5</v>
      </c>
      <c r="AG55" s="48">
        <v>63.5</v>
      </c>
      <c r="AH55" s="48">
        <v>81.8</v>
      </c>
      <c r="AI55" s="60">
        <v>75.099999999999994</v>
      </c>
      <c r="AJ55" s="48">
        <v>61.3</v>
      </c>
      <c r="AK55" s="48">
        <v>88.5</v>
      </c>
      <c r="AL55" s="48">
        <v>55.5</v>
      </c>
      <c r="AM55" s="48">
        <v>63.5</v>
      </c>
      <c r="AN55" s="345">
        <v>81.8</v>
      </c>
      <c r="AO55" s="29">
        <v>85</v>
      </c>
      <c r="AP55" s="29">
        <v>98</v>
      </c>
      <c r="AQ55" s="29">
        <v>98</v>
      </c>
      <c r="AR55" s="29">
        <v>71</v>
      </c>
      <c r="AS55" s="29">
        <v>73</v>
      </c>
      <c r="AT55" s="344">
        <v>89</v>
      </c>
      <c r="BA55" s="34">
        <v>87.399999856948853</v>
      </c>
      <c r="BB55" s="34">
        <v>79.5</v>
      </c>
      <c r="BC55" s="34">
        <v>100</v>
      </c>
      <c r="BD55" s="34">
        <v>77.699999809265137</v>
      </c>
      <c r="BE55" s="34">
        <v>76.599999904632568</v>
      </c>
      <c r="BF55" s="34">
        <v>90.399999856948853</v>
      </c>
    </row>
    <row r="56" spans="1:58">
      <c r="A56" s="2" t="s">
        <v>79</v>
      </c>
      <c r="B56" s="33">
        <v>80.673311420239529</v>
      </c>
      <c r="C56" s="33">
        <v>76.374486610508768</v>
      </c>
      <c r="D56" s="36">
        <v>73.968380671609737</v>
      </c>
      <c r="E56" s="34">
        <v>73.641655985847763</v>
      </c>
      <c r="F56" s="34">
        <v>73.745774520431581</v>
      </c>
      <c r="G56" s="34">
        <v>75.219964291628258</v>
      </c>
      <c r="H56" s="34">
        <v>78.46076519183795</v>
      </c>
      <c r="I56" s="34">
        <v>74.728180269545632</v>
      </c>
      <c r="J56" s="34">
        <v>75.933301095113109</v>
      </c>
      <c r="K56" s="34">
        <v>76.382428982910497</v>
      </c>
      <c r="L56" s="34">
        <v>75.55612494342752</v>
      </c>
      <c r="M56" s="34">
        <v>76.306775716406307</v>
      </c>
      <c r="N56" s="34">
        <v>77.575603996099133</v>
      </c>
      <c r="O56" s="34">
        <v>78.592556840750461</v>
      </c>
      <c r="P56" s="34">
        <v>76.3</v>
      </c>
      <c r="Q56" s="60">
        <v>78.5</v>
      </c>
      <c r="R56" s="487">
        <v>73.099999999999994</v>
      </c>
      <c r="S56" s="487">
        <v>100</v>
      </c>
      <c r="T56" s="487">
        <v>87.3</v>
      </c>
      <c r="U56" s="487">
        <v>85.3</v>
      </c>
      <c r="V56" s="487">
        <v>78.099999999999994</v>
      </c>
      <c r="W56" s="60">
        <v>79.099999999999994</v>
      </c>
      <c r="X56" s="32" t="s">
        <v>503</v>
      </c>
      <c r="Y56" s="32" t="s">
        <v>503</v>
      </c>
      <c r="Z56" s="32" t="s">
        <v>503</v>
      </c>
      <c r="AA56" s="32" t="s">
        <v>503</v>
      </c>
      <c r="AB56" s="32" t="s">
        <v>503</v>
      </c>
      <c r="AC56" s="60">
        <v>79.900000000000006</v>
      </c>
      <c r="AD56" s="48" t="s">
        <v>512</v>
      </c>
      <c r="AE56" s="48" t="s">
        <v>512</v>
      </c>
      <c r="AF56" s="48" t="s">
        <v>512</v>
      </c>
      <c r="AG56" s="48" t="s">
        <v>512</v>
      </c>
      <c r="AH56" s="48" t="s">
        <v>512</v>
      </c>
      <c r="AI56" s="60">
        <v>82.8</v>
      </c>
      <c r="AJ56" s="48">
        <v>95.2</v>
      </c>
      <c r="AK56" s="48">
        <v>96.9</v>
      </c>
      <c r="AL56" s="48">
        <v>96.1</v>
      </c>
      <c r="AM56" s="48">
        <v>86.9</v>
      </c>
      <c r="AN56" s="345">
        <v>82.4</v>
      </c>
      <c r="AO56" s="29">
        <v>86</v>
      </c>
      <c r="AP56" s="29">
        <v>89</v>
      </c>
      <c r="AQ56" s="29">
        <v>94</v>
      </c>
      <c r="AR56" s="29">
        <v>98</v>
      </c>
      <c r="AS56" s="29">
        <v>78</v>
      </c>
      <c r="AT56" s="344">
        <v>85</v>
      </c>
      <c r="BA56" s="34">
        <v>87.5</v>
      </c>
      <c r="BB56" s="34">
        <v>76.899999856948853</v>
      </c>
      <c r="BC56" s="34">
        <v>100</v>
      </c>
      <c r="BD56" s="34">
        <v>92.899999856948853</v>
      </c>
      <c r="BE56" s="34">
        <v>92.699999809265137</v>
      </c>
      <c r="BF56" s="34">
        <v>86.5</v>
      </c>
    </row>
    <row r="57" spans="1:58">
      <c r="A57" s="2" t="s">
        <v>80</v>
      </c>
      <c r="B57" s="33">
        <v>79.124803561400753</v>
      </c>
      <c r="C57" s="33">
        <v>79.91370505386152</v>
      </c>
      <c r="D57" s="36">
        <v>79.677168819526074</v>
      </c>
      <c r="E57" s="34">
        <v>78.146383517087983</v>
      </c>
      <c r="F57" s="34">
        <v>77.998422374117425</v>
      </c>
      <c r="G57" s="34">
        <v>78.405182743308828</v>
      </c>
      <c r="H57" s="34">
        <v>78.25623526933586</v>
      </c>
      <c r="I57" s="34">
        <v>77.86271369586494</v>
      </c>
      <c r="J57" s="34">
        <v>78.013673089570034</v>
      </c>
      <c r="K57" s="34">
        <v>78.877531972544361</v>
      </c>
      <c r="L57" s="34">
        <v>77.617612244896705</v>
      </c>
      <c r="M57" s="34">
        <v>75.680049196264065</v>
      </c>
      <c r="N57" s="34">
        <v>79.267152162804592</v>
      </c>
      <c r="O57" s="34">
        <v>78.739689871329603</v>
      </c>
      <c r="P57" s="34">
        <v>79.5</v>
      </c>
      <c r="Q57" s="60">
        <v>80.8</v>
      </c>
      <c r="R57" s="487">
        <v>62.4</v>
      </c>
      <c r="S57" s="487">
        <v>84</v>
      </c>
      <c r="T57" s="487">
        <v>64.8</v>
      </c>
      <c r="U57" s="487">
        <v>65.900000000000006</v>
      </c>
      <c r="V57" s="487">
        <v>83.8</v>
      </c>
      <c r="W57" s="60">
        <v>81.5</v>
      </c>
      <c r="X57" s="32">
        <v>66.8</v>
      </c>
      <c r="Y57" s="32">
        <v>89.1</v>
      </c>
      <c r="Z57" s="32">
        <v>64.7</v>
      </c>
      <c r="AA57" s="32">
        <v>69.599999999999994</v>
      </c>
      <c r="AB57" s="32">
        <v>84.4</v>
      </c>
      <c r="AC57" s="60">
        <v>83.3</v>
      </c>
      <c r="AD57" s="48">
        <v>76</v>
      </c>
      <c r="AE57" s="48">
        <v>93.3</v>
      </c>
      <c r="AF57" s="48">
        <v>67.7</v>
      </c>
      <c r="AG57" s="48">
        <v>73.900000000000006</v>
      </c>
      <c r="AH57" s="48">
        <v>86.1</v>
      </c>
      <c r="AI57" s="60">
        <v>82.6</v>
      </c>
      <c r="AJ57" s="48">
        <v>70.5</v>
      </c>
      <c r="AK57" s="48">
        <v>93.7</v>
      </c>
      <c r="AL57" s="48">
        <v>65</v>
      </c>
      <c r="AM57" s="48">
        <v>72.099999999999994</v>
      </c>
      <c r="AN57" s="345">
        <v>86.6</v>
      </c>
      <c r="AO57" s="29">
        <v>85</v>
      </c>
      <c r="AP57" s="29">
        <v>68</v>
      </c>
      <c r="AQ57" s="29">
        <v>97</v>
      </c>
      <c r="AR57" s="29">
        <v>68</v>
      </c>
      <c r="AS57" s="29">
        <v>77</v>
      </c>
      <c r="AT57" s="344">
        <v>89</v>
      </c>
      <c r="BA57" s="34">
        <v>88.399999856948853</v>
      </c>
      <c r="BB57" s="34">
        <v>67.599999904632568</v>
      </c>
      <c r="BC57" s="34">
        <v>100</v>
      </c>
      <c r="BD57" s="34">
        <v>72.699999809265137</v>
      </c>
      <c r="BE57" s="34">
        <v>87</v>
      </c>
      <c r="BF57" s="34">
        <v>90.899999856948853</v>
      </c>
    </row>
    <row r="58" spans="1:58">
      <c r="A58" s="2" t="s">
        <v>81</v>
      </c>
      <c r="B58" s="33">
        <v>78.556753852290953</v>
      </c>
      <c r="C58" s="33">
        <v>80.532684394115051</v>
      </c>
      <c r="D58" s="36">
        <v>80.515300266021697</v>
      </c>
      <c r="E58" s="34">
        <v>78.371560453741836</v>
      </c>
      <c r="F58" s="34">
        <v>77.520463636901439</v>
      </c>
      <c r="G58" s="34">
        <v>77.31906838307782</v>
      </c>
      <c r="H58" s="34">
        <v>76.699253187667836</v>
      </c>
      <c r="I58" s="34">
        <v>75.307621029581739</v>
      </c>
      <c r="J58" s="34">
        <v>76.13184701943203</v>
      </c>
      <c r="K58" s="34">
        <v>77.799740676206923</v>
      </c>
      <c r="L58" s="34">
        <v>77.830021003334821</v>
      </c>
      <c r="M58" s="34">
        <v>78.156484278961329</v>
      </c>
      <c r="N58" s="34">
        <v>78.744434419353851</v>
      </c>
      <c r="O58" s="34">
        <v>80.059867913281579</v>
      </c>
      <c r="P58" s="34">
        <v>81.099999999999994</v>
      </c>
      <c r="Q58" s="60">
        <v>81.7</v>
      </c>
      <c r="R58" s="487">
        <v>51.7</v>
      </c>
      <c r="S58" s="487">
        <v>100</v>
      </c>
      <c r="T58" s="487">
        <v>50.1</v>
      </c>
      <c r="U58" s="487">
        <v>100</v>
      </c>
      <c r="V58" s="487">
        <v>81.8</v>
      </c>
      <c r="W58" s="60">
        <v>83.4</v>
      </c>
      <c r="X58" s="32">
        <v>60</v>
      </c>
      <c r="Y58" s="32">
        <v>99.2</v>
      </c>
      <c r="Z58" s="32">
        <v>48.1</v>
      </c>
      <c r="AA58" s="32">
        <v>100</v>
      </c>
      <c r="AB58" s="32">
        <v>83.3</v>
      </c>
      <c r="AC58" s="60">
        <v>84.3</v>
      </c>
      <c r="AD58" s="48">
        <v>77.599999999999994</v>
      </c>
      <c r="AE58" s="48">
        <v>100</v>
      </c>
      <c r="AF58" s="48">
        <v>41.6</v>
      </c>
      <c r="AG58" s="48">
        <v>100</v>
      </c>
      <c r="AH58" s="48">
        <v>84.2</v>
      </c>
      <c r="AI58" s="60">
        <v>86.3</v>
      </c>
      <c r="AJ58" s="48">
        <v>71.400000000000006</v>
      </c>
      <c r="AK58" s="48">
        <v>96.9</v>
      </c>
      <c r="AL58" s="48">
        <v>89.9</v>
      </c>
      <c r="AM58" s="48">
        <v>78.5</v>
      </c>
      <c r="AN58" s="345">
        <v>85.9</v>
      </c>
      <c r="AO58" s="29">
        <v>87</v>
      </c>
      <c r="AP58" s="29">
        <v>79</v>
      </c>
      <c r="AQ58" s="29">
        <v>98</v>
      </c>
      <c r="AR58" s="29">
        <v>87</v>
      </c>
      <c r="AS58" s="29">
        <v>78</v>
      </c>
      <c r="AT58" s="344">
        <v>86</v>
      </c>
      <c r="BA58" s="34">
        <v>87.299999952316284</v>
      </c>
      <c r="BB58" s="34">
        <v>68.5</v>
      </c>
      <c r="BC58" s="34">
        <v>97.299999952316284</v>
      </c>
      <c r="BD58" s="34">
        <v>87</v>
      </c>
      <c r="BE58" s="34">
        <v>85.899999856948853</v>
      </c>
      <c r="BF58" s="34">
        <v>86.699999809265137</v>
      </c>
    </row>
    <row r="59" spans="1:58">
      <c r="A59" s="2" t="s">
        <v>82</v>
      </c>
      <c r="B59" s="33">
        <v>81.369386484297991</v>
      </c>
      <c r="C59" s="33">
        <v>84.094699786113225</v>
      </c>
      <c r="D59" s="36">
        <v>83.426711147256171</v>
      </c>
      <c r="E59" s="34">
        <v>82.064567677769617</v>
      </c>
      <c r="F59" s="34">
        <v>82.757095939024268</v>
      </c>
      <c r="G59" s="34">
        <v>83.881121969980327</v>
      </c>
      <c r="H59" s="34">
        <v>76.30241742358993</v>
      </c>
      <c r="I59" s="34">
        <v>77.529392251185314</v>
      </c>
      <c r="J59" s="34">
        <v>83.635352532794087</v>
      </c>
      <c r="K59" s="34">
        <v>85.423614076974289</v>
      </c>
      <c r="L59" s="34">
        <v>85.831972660407544</v>
      </c>
      <c r="M59" s="34">
        <v>86.98147631386982</v>
      </c>
      <c r="N59" s="34">
        <v>86.329644246745602</v>
      </c>
      <c r="O59" s="34">
        <v>85.071800376775997</v>
      </c>
      <c r="P59" s="34">
        <v>84.8</v>
      </c>
      <c r="Q59" s="60">
        <v>84.4</v>
      </c>
      <c r="R59" s="487">
        <v>91.2</v>
      </c>
      <c r="S59" s="487">
        <v>100</v>
      </c>
      <c r="T59" s="487">
        <v>74.3</v>
      </c>
      <c r="U59" s="487">
        <v>72.900000000000006</v>
      </c>
      <c r="V59" s="487">
        <v>88.4</v>
      </c>
      <c r="W59" s="60">
        <v>84.6</v>
      </c>
      <c r="X59" s="32">
        <v>100</v>
      </c>
      <c r="Y59" s="32">
        <v>100</v>
      </c>
      <c r="Z59" s="32">
        <v>76.400000000000006</v>
      </c>
      <c r="AA59" s="32">
        <v>72.900000000000006</v>
      </c>
      <c r="AB59" s="32">
        <v>88.3</v>
      </c>
      <c r="AC59" s="60">
        <v>85.3</v>
      </c>
      <c r="AD59" s="48">
        <v>70.5</v>
      </c>
      <c r="AE59" s="48">
        <v>99.1</v>
      </c>
      <c r="AF59" s="48">
        <v>76.099999999999994</v>
      </c>
      <c r="AG59" s="48">
        <v>75.900000000000006</v>
      </c>
      <c r="AH59" s="48">
        <v>89.1</v>
      </c>
      <c r="AI59" s="60">
        <v>87.2</v>
      </c>
      <c r="AJ59" s="48">
        <v>94.1</v>
      </c>
      <c r="AK59" s="48">
        <v>93.9</v>
      </c>
      <c r="AL59" s="48">
        <v>77.099999999999994</v>
      </c>
      <c r="AM59" s="48">
        <v>74.8</v>
      </c>
      <c r="AN59" s="345">
        <v>91.8</v>
      </c>
      <c r="AO59" s="29">
        <v>87</v>
      </c>
      <c r="AP59" s="29">
        <v>98</v>
      </c>
      <c r="AQ59" s="29">
        <v>97</v>
      </c>
      <c r="AR59" s="29">
        <v>78</v>
      </c>
      <c r="AS59" s="29">
        <v>73</v>
      </c>
      <c r="AT59" s="344">
        <v>91</v>
      </c>
      <c r="BA59" s="34">
        <v>89.099999904632568</v>
      </c>
      <c r="BB59" s="34">
        <v>70.299999952316284</v>
      </c>
      <c r="BC59" s="34">
        <v>98.599999904632568</v>
      </c>
      <c r="BD59" s="34">
        <v>83.299999952316284</v>
      </c>
      <c r="BE59" s="34">
        <v>79.399999856948853</v>
      </c>
      <c r="BF59" s="34">
        <v>92.699999809265137</v>
      </c>
    </row>
    <row r="60" spans="1:58">
      <c r="A60" s="2" t="s">
        <v>83</v>
      </c>
      <c r="B60" s="33">
        <v>66.134510977400808</v>
      </c>
      <c r="C60" s="33">
        <v>66.951729936876234</v>
      </c>
      <c r="D60" s="36">
        <v>66.184478551379385</v>
      </c>
      <c r="E60" s="34">
        <v>63.708878333830413</v>
      </c>
      <c r="F60" s="34">
        <v>63.610884824533954</v>
      </c>
      <c r="G60" s="34">
        <v>65.280126954155378</v>
      </c>
      <c r="H60" s="34">
        <v>63.409810732318036</v>
      </c>
      <c r="I60" s="34">
        <v>62.5111693983294</v>
      </c>
      <c r="J60" s="34">
        <v>61.755326277531829</v>
      </c>
      <c r="K60" s="34">
        <v>61.541369817934374</v>
      </c>
      <c r="L60" s="34">
        <v>60.473726994690999</v>
      </c>
      <c r="M60" s="34">
        <v>60.932116315598719</v>
      </c>
      <c r="N60" s="8" t="s">
        <v>47</v>
      </c>
      <c r="O60" s="34">
        <v>65.318865105600196</v>
      </c>
      <c r="P60" s="81">
        <v>67.400000000000006</v>
      </c>
      <c r="Q60" s="60">
        <v>68.8</v>
      </c>
      <c r="R60" s="488" t="s">
        <v>47</v>
      </c>
      <c r="S60" s="488" t="s">
        <v>47</v>
      </c>
      <c r="T60" s="488" t="s">
        <v>47</v>
      </c>
      <c r="U60" s="488" t="s">
        <v>47</v>
      </c>
      <c r="V60" s="488" t="s">
        <v>47</v>
      </c>
      <c r="W60" s="60">
        <v>70.8</v>
      </c>
      <c r="X60" s="32">
        <v>55.5</v>
      </c>
      <c r="Y60" s="32">
        <v>84.2</v>
      </c>
      <c r="Z60" s="32">
        <v>53.1</v>
      </c>
      <c r="AA60" s="32">
        <v>54.7</v>
      </c>
      <c r="AB60" s="32">
        <v>82.7</v>
      </c>
      <c r="AC60" s="60">
        <v>73.5</v>
      </c>
      <c r="AD60" s="48">
        <v>60.6</v>
      </c>
      <c r="AE60" s="48">
        <v>88.4</v>
      </c>
      <c r="AF60" s="48">
        <v>57.4</v>
      </c>
      <c r="AG60" s="48">
        <v>58.1</v>
      </c>
      <c r="AH60" s="48">
        <v>85.1</v>
      </c>
      <c r="AI60" s="60">
        <v>76</v>
      </c>
      <c r="AJ60" s="48">
        <v>59.7</v>
      </c>
      <c r="AK60" s="48">
        <v>92.1</v>
      </c>
      <c r="AL60" s="48">
        <v>60.7</v>
      </c>
      <c r="AM60" s="48">
        <v>61.7</v>
      </c>
      <c r="AN60" s="345">
        <v>86.7</v>
      </c>
      <c r="AO60" s="29">
        <v>78</v>
      </c>
      <c r="AP60" s="29">
        <v>64</v>
      </c>
      <c r="AQ60" s="29">
        <v>94</v>
      </c>
      <c r="AR60" s="29">
        <v>63</v>
      </c>
      <c r="AS60" s="29">
        <v>64</v>
      </c>
      <c r="AT60" s="344">
        <v>88</v>
      </c>
      <c r="BA60" s="34">
        <v>78.5</v>
      </c>
      <c r="BB60" s="34">
        <v>71.899999856948853</v>
      </c>
      <c r="BC60" s="34">
        <v>90.899999856948853</v>
      </c>
      <c r="BD60" s="34">
        <v>66.399999856948853</v>
      </c>
      <c r="BE60" s="34">
        <v>65.199999809265137</v>
      </c>
      <c r="BF60" s="34">
        <v>87.099999904632568</v>
      </c>
    </row>
    <row r="61" spans="1:58">
      <c r="A61" s="2" t="s">
        <v>84</v>
      </c>
      <c r="B61" s="33">
        <v>79.704603909167261</v>
      </c>
      <c r="C61" s="33">
        <v>81.941462227337851</v>
      </c>
      <c r="D61" s="36">
        <v>81.046227011417287</v>
      </c>
      <c r="E61" s="34">
        <v>80.121403336864333</v>
      </c>
      <c r="F61" s="34">
        <v>79.979158990277853</v>
      </c>
      <c r="G61" s="34">
        <v>79.792772485699913</v>
      </c>
      <c r="H61" s="34">
        <v>79.353064120473974</v>
      </c>
      <c r="I61" s="34">
        <v>79.131113180321648</v>
      </c>
      <c r="J61" s="34">
        <v>78.734864435420178</v>
      </c>
      <c r="K61" s="34">
        <v>78.972994733003844</v>
      </c>
      <c r="L61" s="34">
        <v>80.236136605855506</v>
      </c>
      <c r="M61" s="34">
        <v>81.740089903756427</v>
      </c>
      <c r="N61" s="34">
        <v>82.179376489080553</v>
      </c>
      <c r="O61" s="34">
        <v>82.515741498905342</v>
      </c>
      <c r="P61" s="48" t="s">
        <v>47</v>
      </c>
      <c r="Q61" s="60">
        <v>83</v>
      </c>
      <c r="R61" s="487">
        <v>64.099999999999994</v>
      </c>
      <c r="S61" s="487">
        <v>98.7</v>
      </c>
      <c r="T61" s="487">
        <v>68.400000000000006</v>
      </c>
      <c r="U61" s="487">
        <v>64.599999999999994</v>
      </c>
      <c r="V61" s="487">
        <v>87.3</v>
      </c>
      <c r="W61" s="60">
        <v>82.7</v>
      </c>
      <c r="X61" s="32">
        <v>63.8</v>
      </c>
      <c r="Y61" s="32">
        <v>100</v>
      </c>
      <c r="Z61" s="32">
        <v>67.8</v>
      </c>
      <c r="AA61" s="32">
        <v>64.5</v>
      </c>
      <c r="AB61" s="32">
        <v>86.9</v>
      </c>
      <c r="AC61" s="60">
        <v>80.5</v>
      </c>
      <c r="AD61" s="48">
        <v>72.5</v>
      </c>
      <c r="AE61" s="48">
        <v>99.3</v>
      </c>
      <c r="AF61" s="48">
        <v>65.3</v>
      </c>
      <c r="AG61" s="48">
        <v>64</v>
      </c>
      <c r="AH61" s="48">
        <v>84.4</v>
      </c>
      <c r="AI61" s="60">
        <v>84.1</v>
      </c>
      <c r="AJ61" s="48">
        <v>73.599999999999994</v>
      </c>
      <c r="AK61" s="48">
        <v>100</v>
      </c>
      <c r="AL61" s="48">
        <v>70.400000000000006</v>
      </c>
      <c r="AM61" s="48">
        <v>68.3</v>
      </c>
      <c r="AN61" s="345">
        <v>87.9</v>
      </c>
      <c r="AO61" s="29">
        <v>86</v>
      </c>
      <c r="AP61" s="29">
        <v>75</v>
      </c>
      <c r="AQ61" s="29">
        <v>99</v>
      </c>
      <c r="AR61" s="29">
        <v>73</v>
      </c>
      <c r="AS61" s="29">
        <v>70</v>
      </c>
      <c r="AT61" s="344">
        <v>90</v>
      </c>
      <c r="BA61" s="34">
        <v>88.399999856948853</v>
      </c>
      <c r="BB61" s="34">
        <v>68.399999856948853</v>
      </c>
      <c r="BC61" s="34">
        <v>100</v>
      </c>
      <c r="BD61" s="34">
        <v>77.399999856948853</v>
      </c>
      <c r="BE61" s="34">
        <v>76.399999856948853</v>
      </c>
      <c r="BF61" s="34">
        <v>90.799999952316284</v>
      </c>
    </row>
    <row r="62" spans="1:58">
      <c r="A62" s="2" t="s">
        <v>85</v>
      </c>
      <c r="B62" s="33">
        <v>74.954677168887912</v>
      </c>
      <c r="C62" s="33">
        <v>76.315653107275722</v>
      </c>
      <c r="D62" s="36">
        <v>73.881988848878208</v>
      </c>
      <c r="E62" s="34">
        <v>74.262422864603607</v>
      </c>
      <c r="F62" s="34">
        <v>72.699859963124752</v>
      </c>
      <c r="G62" s="34">
        <v>72.871385981304186</v>
      </c>
      <c r="H62" s="34">
        <v>72.4901249165043</v>
      </c>
      <c r="I62" s="34">
        <v>72.194913717435966</v>
      </c>
      <c r="J62" s="34">
        <v>72.792258956365387</v>
      </c>
      <c r="K62" s="34">
        <v>73.513539860955049</v>
      </c>
      <c r="L62" s="34">
        <v>75.73014339936725</v>
      </c>
      <c r="M62" s="34">
        <v>77.65236078354252</v>
      </c>
      <c r="N62" s="34">
        <v>75.902013443598946</v>
      </c>
      <c r="O62" s="34">
        <v>78.430165442926949</v>
      </c>
      <c r="P62" s="34">
        <v>77.8</v>
      </c>
      <c r="Q62" s="60">
        <v>78.400000000000006</v>
      </c>
      <c r="R62" s="487">
        <v>56.6</v>
      </c>
      <c r="S62" s="487">
        <v>78</v>
      </c>
      <c r="T62" s="487">
        <v>71.099999999999994</v>
      </c>
      <c r="U62" s="487">
        <v>75.2</v>
      </c>
      <c r="V62" s="487">
        <v>80.599999999999994</v>
      </c>
      <c r="W62" s="60">
        <v>76.400000000000006</v>
      </c>
      <c r="X62" s="32">
        <v>78</v>
      </c>
      <c r="Y62" s="32">
        <v>74.400000000000006</v>
      </c>
      <c r="Z62" s="32">
        <v>70.099999999999994</v>
      </c>
      <c r="AA62" s="32">
        <v>74.7</v>
      </c>
      <c r="AB62" s="32">
        <v>79</v>
      </c>
      <c r="AC62" s="60">
        <v>75.3</v>
      </c>
      <c r="AD62" s="48">
        <v>75.900000000000006</v>
      </c>
      <c r="AE62" s="48">
        <v>75.7</v>
      </c>
      <c r="AF62" s="48">
        <v>67.2</v>
      </c>
      <c r="AG62" s="48">
        <v>70.5</v>
      </c>
      <c r="AH62" s="48">
        <v>77.8</v>
      </c>
      <c r="AI62" s="60">
        <v>76.400000000000006</v>
      </c>
      <c r="AJ62" s="48">
        <v>76.3</v>
      </c>
      <c r="AK62" s="48">
        <v>82</v>
      </c>
      <c r="AL62" s="48">
        <v>69.099999999999994</v>
      </c>
      <c r="AM62" s="48">
        <v>74.2</v>
      </c>
      <c r="AN62" s="345">
        <v>78.3</v>
      </c>
      <c r="AO62" s="29">
        <v>77</v>
      </c>
      <c r="AP62" s="29">
        <v>56</v>
      </c>
      <c r="AQ62" s="29">
        <v>70</v>
      </c>
      <c r="AR62" s="29">
        <v>70</v>
      </c>
      <c r="AS62" s="29">
        <v>66</v>
      </c>
      <c r="AT62" s="344">
        <v>79</v>
      </c>
      <c r="BA62" s="34">
        <v>79</v>
      </c>
      <c r="BB62" s="34">
        <v>46.199999928474426</v>
      </c>
      <c r="BC62" s="34">
        <v>81.099999904632568</v>
      </c>
      <c r="BD62" s="34">
        <v>74.599999904632568</v>
      </c>
      <c r="BE62" s="34">
        <v>69.699999809265137</v>
      </c>
      <c r="BF62" s="34">
        <v>80.5</v>
      </c>
    </row>
    <row r="63" spans="1:58">
      <c r="A63" s="6" t="s">
        <v>86</v>
      </c>
      <c r="B63" s="30">
        <v>79.508377759697666</v>
      </c>
      <c r="C63" s="30">
        <v>80.176441443598975</v>
      </c>
      <c r="D63" s="37">
        <v>83.456467942454054</v>
      </c>
      <c r="E63" s="38">
        <v>88.89268222918129</v>
      </c>
      <c r="F63" s="38">
        <v>85.279986032773607</v>
      </c>
      <c r="G63" s="38">
        <v>83.627807211536194</v>
      </c>
      <c r="H63" s="38">
        <v>83.90737107941959</v>
      </c>
      <c r="I63" s="38">
        <v>81.917112300765467</v>
      </c>
      <c r="J63" s="38">
        <v>81.030780052366609</v>
      </c>
      <c r="K63" s="38">
        <v>80.222665822103451</v>
      </c>
      <c r="L63" s="38">
        <v>81.970966590859206</v>
      </c>
      <c r="M63" s="38">
        <v>83.599903350848209</v>
      </c>
      <c r="N63" s="38">
        <v>85.355766614637517</v>
      </c>
      <c r="O63" s="38">
        <v>86.528822965780947</v>
      </c>
      <c r="P63" s="38">
        <v>82.3</v>
      </c>
      <c r="Q63" s="61">
        <v>88.6</v>
      </c>
      <c r="R63" s="489">
        <v>92.3</v>
      </c>
      <c r="S63" s="489">
        <v>92.9</v>
      </c>
      <c r="T63" s="489">
        <v>100</v>
      </c>
      <c r="U63" s="489">
        <v>82</v>
      </c>
      <c r="V63" s="489">
        <v>80.2</v>
      </c>
      <c r="W63" s="61">
        <v>89.3</v>
      </c>
      <c r="X63" s="54">
        <v>83.9</v>
      </c>
      <c r="Y63" s="54">
        <v>81.8</v>
      </c>
      <c r="Z63" s="54">
        <v>100</v>
      </c>
      <c r="AA63" s="54">
        <v>91.2</v>
      </c>
      <c r="AB63" s="54">
        <v>81.099999999999994</v>
      </c>
      <c r="AC63" s="61">
        <v>89.6</v>
      </c>
      <c r="AD63" s="80">
        <v>83</v>
      </c>
      <c r="AE63" s="80">
        <v>100</v>
      </c>
      <c r="AF63" s="80">
        <v>81.3</v>
      </c>
      <c r="AG63" s="80">
        <v>84.6</v>
      </c>
      <c r="AH63" s="80">
        <v>89.1</v>
      </c>
      <c r="AI63" s="61">
        <v>91.4</v>
      </c>
      <c r="AJ63" s="80">
        <v>71.099999999999994</v>
      </c>
      <c r="AK63" s="80">
        <v>100</v>
      </c>
      <c r="AL63" s="80">
        <v>100</v>
      </c>
      <c r="AM63" s="80">
        <v>100</v>
      </c>
      <c r="AN63" s="346">
        <v>89.9</v>
      </c>
      <c r="AO63" s="29">
        <v>93</v>
      </c>
      <c r="AP63" s="29">
        <v>76</v>
      </c>
      <c r="AQ63" s="29">
        <v>98</v>
      </c>
      <c r="AR63" s="29">
        <v>95</v>
      </c>
      <c r="AS63" s="29">
        <v>98</v>
      </c>
      <c r="AT63" s="344">
        <v>91</v>
      </c>
      <c r="BA63" s="34">
        <v>89.299999952316284</v>
      </c>
      <c r="BB63" s="34" t="s">
        <v>131</v>
      </c>
      <c r="BC63" s="34">
        <v>100</v>
      </c>
      <c r="BD63" s="34">
        <v>97.299999952316284</v>
      </c>
      <c r="BE63" s="34">
        <v>88</v>
      </c>
      <c r="BF63" s="34">
        <v>89.199999809265137</v>
      </c>
    </row>
    <row r="64" spans="1:58">
      <c r="A64" s="73" t="s">
        <v>87</v>
      </c>
      <c r="B64" s="87">
        <v>54.45337206369819</v>
      </c>
      <c r="C64" s="87">
        <v>57.891863342796256</v>
      </c>
      <c r="D64" s="88">
        <v>58.736451727231731</v>
      </c>
      <c r="E64" s="89">
        <v>54.575568971342605</v>
      </c>
      <c r="F64" s="89">
        <v>49.687409553213435</v>
      </c>
      <c r="G64" s="89">
        <v>54.620708228039469</v>
      </c>
      <c r="H64" s="89">
        <v>53.894517893931649</v>
      </c>
      <c r="I64" s="89">
        <v>51.95869238227607</v>
      </c>
      <c r="J64" s="89">
        <v>54.466750366632887</v>
      </c>
      <c r="K64" s="89">
        <v>60.2137507872499</v>
      </c>
      <c r="L64" s="89">
        <v>68.394275988405937</v>
      </c>
      <c r="M64" s="89">
        <v>59.578627087017885</v>
      </c>
      <c r="N64" s="89">
        <v>68.155616762782785</v>
      </c>
      <c r="O64" s="89">
        <v>68.8</v>
      </c>
      <c r="P64" s="90" t="s">
        <v>47</v>
      </c>
      <c r="Q64" s="94">
        <v>54.9</v>
      </c>
      <c r="R64" s="429" t="s">
        <v>47</v>
      </c>
      <c r="S64" s="429" t="s">
        <v>47</v>
      </c>
      <c r="T64" s="429" t="s">
        <v>47</v>
      </c>
      <c r="U64" s="429" t="s">
        <v>47</v>
      </c>
      <c r="V64" s="429" t="s">
        <v>47</v>
      </c>
      <c r="W64" s="94">
        <v>56</v>
      </c>
      <c r="X64" s="91">
        <v>100</v>
      </c>
      <c r="Y64" s="91">
        <v>74.400000000000006</v>
      </c>
      <c r="Z64" s="91">
        <v>54.2</v>
      </c>
      <c r="AA64" s="91">
        <v>58.8</v>
      </c>
      <c r="AB64" s="91">
        <v>88.9</v>
      </c>
      <c r="AC64" s="94">
        <v>62.4</v>
      </c>
      <c r="AD64" s="90">
        <v>100</v>
      </c>
      <c r="AE64" s="90">
        <v>84.6</v>
      </c>
      <c r="AF64" s="90">
        <v>50.1</v>
      </c>
      <c r="AG64" s="90">
        <v>62.8</v>
      </c>
      <c r="AH64" s="90">
        <v>77.5</v>
      </c>
      <c r="AI64" s="94">
        <v>59.9</v>
      </c>
      <c r="AJ64" s="90">
        <v>100</v>
      </c>
      <c r="AK64" s="90">
        <v>79.3</v>
      </c>
      <c r="AL64" s="90">
        <v>58.5</v>
      </c>
      <c r="AM64" s="90">
        <v>59</v>
      </c>
      <c r="AN64" s="347">
        <v>87.8</v>
      </c>
      <c r="AO64" s="349">
        <v>61</v>
      </c>
      <c r="AP64" s="349" t="s">
        <v>285</v>
      </c>
      <c r="AQ64" s="349" t="s">
        <v>285</v>
      </c>
      <c r="AR64" s="349">
        <v>65</v>
      </c>
      <c r="AS64" s="349">
        <v>59</v>
      </c>
      <c r="AT64" s="341">
        <v>97</v>
      </c>
      <c r="BA64" s="34">
        <v>77.699999809265137</v>
      </c>
      <c r="BB64" s="34" t="s">
        <v>131</v>
      </c>
      <c r="BC64" s="34">
        <v>87.099999904632568</v>
      </c>
      <c r="BD64" s="34">
        <v>80.699999809265137</v>
      </c>
      <c r="BE64" s="34">
        <v>69.799999952316284</v>
      </c>
      <c r="BF64" s="34">
        <v>94.799999952316284</v>
      </c>
    </row>
    <row r="65" spans="2:623">
      <c r="B65" s="33"/>
      <c r="C65" s="33"/>
      <c r="AO65" s="349"/>
      <c r="AP65" s="349"/>
      <c r="AQ65" s="349"/>
      <c r="AR65" s="349"/>
      <c r="AS65" s="349"/>
      <c r="AT65" s="349"/>
    </row>
    <row r="66" spans="2:623" ht="409.5">
      <c r="B66" s="45" t="s">
        <v>513</v>
      </c>
      <c r="N66" s="472" t="s">
        <v>514</v>
      </c>
      <c r="P66" s="472" t="s">
        <v>506</v>
      </c>
      <c r="W66" s="472" t="s">
        <v>507</v>
      </c>
      <c r="X66" s="472" t="s">
        <v>515</v>
      </c>
      <c r="AC66" s="472" t="s">
        <v>507</v>
      </c>
      <c r="AI66" s="122" t="s">
        <v>516</v>
      </c>
      <c r="AJ66" s="124"/>
      <c r="AO66" s="350" t="s">
        <v>517</v>
      </c>
      <c r="AZ66" s="350" t="s">
        <v>517</v>
      </c>
      <c r="BF66" s="350" t="s">
        <v>518</v>
      </c>
      <c r="BG66" s="409"/>
      <c r="BH66" s="409"/>
      <c r="BI66" s="409"/>
      <c r="BJ66" s="409"/>
      <c r="BK66" s="409"/>
      <c r="BL66" s="409"/>
      <c r="BM66" s="409"/>
      <c r="BN66" s="409"/>
      <c r="BO66" s="409"/>
      <c r="BP66" s="409"/>
      <c r="BQ66" s="409"/>
      <c r="BR66" s="409"/>
      <c r="BS66" s="409"/>
      <c r="BT66" s="409"/>
      <c r="BU66" s="409"/>
      <c r="BV66" s="409"/>
      <c r="BW66" s="409"/>
      <c r="BX66" s="409"/>
      <c r="BY66" s="409"/>
      <c r="BZ66" s="409"/>
      <c r="CA66" s="409"/>
      <c r="CB66" s="409"/>
      <c r="CC66" s="409"/>
      <c r="CD66" s="409"/>
      <c r="CE66" s="409"/>
      <c r="CF66" s="409"/>
      <c r="CG66" s="409"/>
      <c r="CH66" s="409"/>
      <c r="CI66" s="409"/>
      <c r="CJ66" s="409"/>
      <c r="CK66" s="409"/>
      <c r="CL66" s="409"/>
      <c r="CM66" s="409"/>
      <c r="CN66" s="409"/>
      <c r="CO66" s="409"/>
      <c r="CP66" s="409"/>
      <c r="CQ66" s="350"/>
      <c r="CR66" s="350"/>
      <c r="CS66" s="350"/>
      <c r="CT66" s="350"/>
      <c r="CU66" s="350"/>
      <c r="CV66" s="350"/>
      <c r="CW66" s="350"/>
      <c r="CX66" s="350"/>
      <c r="CY66" s="350"/>
      <c r="CZ66" s="350"/>
      <c r="DA66" s="350"/>
      <c r="DB66" s="350"/>
      <c r="DC66" s="350"/>
      <c r="DD66" s="350"/>
      <c r="DE66" s="350"/>
      <c r="DF66" s="350"/>
      <c r="DG66" s="350"/>
      <c r="DH66" s="350"/>
      <c r="DI66" s="350"/>
      <c r="DJ66" s="350"/>
      <c r="DK66" s="350"/>
      <c r="DL66" s="350"/>
      <c r="DM66" s="350"/>
      <c r="DN66" s="350"/>
      <c r="DO66" s="350"/>
      <c r="DP66" s="350"/>
      <c r="DQ66" s="350"/>
      <c r="DR66" s="350"/>
      <c r="DS66" s="350"/>
      <c r="DT66" s="350"/>
      <c r="DU66" s="350"/>
      <c r="DV66" s="350"/>
      <c r="DW66" s="350"/>
      <c r="DX66" s="350"/>
      <c r="DY66" s="350"/>
      <c r="DZ66" s="350"/>
      <c r="EA66" s="350"/>
      <c r="EB66" s="350"/>
      <c r="EC66" s="350"/>
      <c r="ED66" s="350"/>
      <c r="EE66" s="350"/>
      <c r="EF66" s="350"/>
      <c r="EG66" s="350"/>
      <c r="EH66" s="350"/>
      <c r="EI66" s="350"/>
      <c r="EJ66" s="350"/>
      <c r="EK66" s="350"/>
      <c r="EL66" s="350"/>
      <c r="EM66" s="350"/>
      <c r="EN66" s="350"/>
      <c r="EO66" s="350"/>
      <c r="EP66" s="350"/>
      <c r="EQ66" s="350"/>
      <c r="ER66" s="350"/>
      <c r="ES66" s="350"/>
      <c r="ET66" s="350"/>
      <c r="EU66" s="350"/>
      <c r="EV66" s="350"/>
      <c r="EW66" s="350"/>
      <c r="EX66" s="350"/>
      <c r="EY66" s="350"/>
      <c r="EZ66" s="350"/>
      <c r="FA66" s="350"/>
      <c r="FB66" s="350"/>
      <c r="FC66" s="350"/>
      <c r="FD66" s="350"/>
      <c r="FE66" s="350"/>
      <c r="FF66" s="350"/>
      <c r="FG66" s="350"/>
      <c r="FH66" s="350"/>
      <c r="FI66" s="350"/>
      <c r="FJ66" s="350"/>
      <c r="FK66" s="350"/>
      <c r="FL66" s="350"/>
      <c r="FM66" s="350"/>
      <c r="FN66" s="350"/>
      <c r="FO66" s="350"/>
      <c r="FP66" s="350"/>
      <c r="FQ66" s="350"/>
      <c r="FR66" s="350"/>
      <c r="FS66" s="350"/>
      <c r="FT66" s="350"/>
      <c r="FU66" s="350"/>
      <c r="FV66" s="350"/>
      <c r="FW66" s="350"/>
      <c r="FX66" s="350"/>
      <c r="FY66" s="350"/>
      <c r="FZ66" s="350"/>
      <c r="GA66" s="350"/>
      <c r="GB66" s="350"/>
      <c r="GC66" s="350"/>
      <c r="GD66" s="350"/>
      <c r="GE66" s="350"/>
      <c r="GF66" s="350"/>
      <c r="GG66" s="350"/>
      <c r="GH66" s="350"/>
      <c r="GI66" s="350"/>
      <c r="GJ66" s="350"/>
      <c r="GK66" s="350"/>
      <c r="GL66" s="350"/>
      <c r="GM66" s="350"/>
      <c r="GN66" s="350"/>
      <c r="GO66" s="350"/>
      <c r="GP66" s="350"/>
      <c r="GQ66" s="350"/>
      <c r="GR66" s="350"/>
      <c r="GS66" s="350"/>
      <c r="GT66" s="350"/>
      <c r="GU66" s="350"/>
      <c r="GV66" s="350"/>
      <c r="GW66" s="350"/>
      <c r="GX66" s="350"/>
      <c r="GY66" s="350"/>
      <c r="GZ66" s="350"/>
      <c r="HA66" s="350"/>
      <c r="HB66" s="350"/>
      <c r="HC66" s="350"/>
      <c r="HD66" s="350"/>
      <c r="HE66" s="350"/>
      <c r="HF66" s="350"/>
      <c r="HG66" s="350"/>
      <c r="HH66" s="350"/>
      <c r="HI66" s="350"/>
      <c r="HJ66" s="350"/>
      <c r="HK66" s="350"/>
      <c r="HL66" s="350"/>
      <c r="HM66" s="350"/>
      <c r="HN66" s="350"/>
      <c r="HO66" s="350"/>
      <c r="HP66" s="350"/>
      <c r="HQ66" s="350"/>
      <c r="HR66" s="350"/>
      <c r="HS66" s="350"/>
      <c r="HT66" s="350"/>
      <c r="HU66" s="350"/>
      <c r="HV66" s="350"/>
      <c r="HW66" s="350"/>
      <c r="HX66" s="350"/>
      <c r="HY66" s="350"/>
      <c r="HZ66" s="350"/>
      <c r="IA66" s="350"/>
      <c r="IB66" s="350"/>
      <c r="IC66" s="350"/>
      <c r="ID66" s="350"/>
      <c r="IE66" s="350"/>
      <c r="IF66" s="350"/>
      <c r="IG66" s="350"/>
      <c r="IH66" s="350"/>
      <c r="II66" s="350"/>
      <c r="IJ66" s="350"/>
      <c r="IK66" s="350"/>
      <c r="IL66" s="350"/>
      <c r="IM66" s="350"/>
      <c r="IN66" s="350"/>
      <c r="IO66" s="350"/>
      <c r="IP66" s="350"/>
      <c r="IQ66" s="350"/>
      <c r="IR66" s="350"/>
      <c r="IS66" s="350"/>
      <c r="IT66" s="350"/>
      <c r="IU66" s="350"/>
      <c r="IV66" s="350"/>
      <c r="IW66" s="350"/>
      <c r="IX66" s="350"/>
      <c r="IY66" s="350"/>
      <c r="IZ66" s="350"/>
      <c r="JA66" s="350"/>
      <c r="JB66" s="350"/>
      <c r="JC66" s="350"/>
      <c r="JD66" s="350"/>
      <c r="JE66" s="350"/>
      <c r="JF66" s="350"/>
      <c r="JG66" s="350"/>
      <c r="JH66" s="350"/>
      <c r="JI66" s="350"/>
      <c r="JJ66" s="350"/>
      <c r="JK66" s="350"/>
      <c r="JL66" s="350"/>
      <c r="JM66" s="350"/>
      <c r="JN66" s="350"/>
      <c r="JO66" s="350"/>
      <c r="JP66" s="350"/>
      <c r="JQ66" s="350"/>
      <c r="JR66" s="350"/>
      <c r="JS66" s="350"/>
      <c r="JT66" s="350"/>
      <c r="JU66" s="350"/>
      <c r="JV66" s="350"/>
      <c r="JW66" s="350"/>
      <c r="JX66" s="350"/>
      <c r="JY66" s="350"/>
      <c r="JZ66" s="350"/>
      <c r="KA66" s="350"/>
      <c r="KB66" s="350"/>
      <c r="KC66" s="350"/>
      <c r="KD66" s="350"/>
      <c r="KE66" s="350"/>
      <c r="KF66" s="350"/>
      <c r="KG66" s="350"/>
      <c r="KH66" s="350"/>
      <c r="KI66" s="350"/>
      <c r="KJ66" s="350"/>
      <c r="KK66" s="350"/>
      <c r="KL66" s="350"/>
      <c r="KM66" s="350"/>
      <c r="KN66" s="350"/>
      <c r="KO66" s="350"/>
      <c r="KP66" s="350"/>
      <c r="KQ66" s="350"/>
      <c r="KR66" s="350"/>
      <c r="KS66" s="350"/>
      <c r="KT66" s="350"/>
      <c r="KU66" s="350"/>
      <c r="KV66" s="350"/>
      <c r="KW66" s="350"/>
      <c r="KX66" s="350"/>
      <c r="KY66" s="350"/>
      <c r="KZ66" s="350"/>
      <c r="LA66" s="350"/>
      <c r="LB66" s="350"/>
      <c r="LC66" s="350"/>
      <c r="LD66" s="350"/>
      <c r="LE66" s="350"/>
      <c r="LF66" s="350"/>
      <c r="LG66" s="350"/>
      <c r="LH66" s="350"/>
      <c r="LI66" s="350"/>
      <c r="LJ66" s="350"/>
      <c r="LK66" s="350"/>
      <c r="LL66" s="350"/>
      <c r="LM66" s="350"/>
      <c r="LN66" s="350"/>
      <c r="LO66" s="350"/>
      <c r="LP66" s="350"/>
      <c r="LQ66" s="350"/>
      <c r="LR66" s="350"/>
      <c r="LS66" s="350"/>
      <c r="LT66" s="350"/>
      <c r="LU66" s="350"/>
      <c r="LV66" s="350"/>
      <c r="LW66" s="350"/>
      <c r="LX66" s="350"/>
      <c r="LY66" s="350"/>
      <c r="LZ66" s="350"/>
      <c r="MA66" s="350"/>
      <c r="MB66" s="350"/>
      <c r="MC66" s="350"/>
      <c r="MD66" s="350"/>
      <c r="ME66" s="350"/>
      <c r="MF66" s="350"/>
      <c r="MG66" s="350"/>
      <c r="MH66" s="350"/>
      <c r="MI66" s="350"/>
      <c r="MJ66" s="350"/>
      <c r="MK66" s="350"/>
      <c r="ML66" s="350"/>
      <c r="MM66" s="350"/>
      <c r="MN66" s="350"/>
      <c r="MO66" s="350"/>
      <c r="MP66" s="350"/>
      <c r="MQ66" s="350"/>
      <c r="MR66" s="350"/>
      <c r="MS66" s="350"/>
      <c r="MT66" s="350"/>
      <c r="MU66" s="350"/>
      <c r="MV66" s="350"/>
      <c r="MW66" s="350"/>
      <c r="MX66" s="350"/>
      <c r="MY66" s="350"/>
      <c r="MZ66" s="350"/>
      <c r="NA66" s="350"/>
      <c r="NB66" s="350"/>
      <c r="NC66" s="350"/>
      <c r="ND66" s="350"/>
      <c r="NE66" s="350"/>
      <c r="NF66" s="350"/>
      <c r="NG66" s="350"/>
      <c r="NH66" s="350"/>
      <c r="NI66" s="350"/>
      <c r="NJ66" s="350"/>
      <c r="NK66" s="350"/>
      <c r="NL66" s="350"/>
      <c r="NM66" s="350"/>
      <c r="NN66" s="350"/>
      <c r="NO66" s="350"/>
      <c r="NP66" s="350"/>
      <c r="NQ66" s="350"/>
      <c r="NR66" s="350"/>
      <c r="NS66" s="350"/>
      <c r="NT66" s="350"/>
      <c r="NU66" s="350"/>
      <c r="NV66" s="350"/>
      <c r="NW66" s="350"/>
      <c r="NX66" s="350"/>
      <c r="NY66" s="350"/>
      <c r="NZ66" s="350"/>
      <c r="OA66" s="350"/>
      <c r="OB66" s="350"/>
      <c r="OC66" s="350"/>
      <c r="OD66" s="350"/>
      <c r="OE66" s="350"/>
      <c r="OF66" s="350"/>
      <c r="OG66" s="350"/>
      <c r="OH66" s="350"/>
      <c r="OI66" s="350"/>
      <c r="OJ66" s="350"/>
      <c r="OK66" s="350"/>
      <c r="OL66" s="350"/>
      <c r="OM66" s="350"/>
      <c r="ON66" s="350"/>
      <c r="OO66" s="350"/>
      <c r="OP66" s="350"/>
      <c r="OQ66" s="350"/>
      <c r="OR66" s="350"/>
      <c r="OS66" s="350"/>
      <c r="OT66" s="350"/>
      <c r="OU66" s="350"/>
      <c r="OV66" s="350"/>
      <c r="OW66" s="350"/>
      <c r="OX66" s="350"/>
      <c r="OY66" s="350"/>
      <c r="OZ66" s="350"/>
      <c r="PA66" s="350"/>
      <c r="PB66" s="350"/>
      <c r="PC66" s="350"/>
      <c r="PD66" s="350"/>
      <c r="PE66" s="350"/>
      <c r="PF66" s="350"/>
      <c r="PG66" s="350"/>
      <c r="PH66" s="350"/>
      <c r="PI66" s="350"/>
      <c r="PJ66" s="350"/>
      <c r="PK66" s="350"/>
      <c r="PL66" s="350"/>
      <c r="PM66" s="350"/>
      <c r="PN66" s="350"/>
      <c r="PO66" s="350"/>
      <c r="PP66" s="350"/>
      <c r="PQ66" s="350"/>
      <c r="PR66" s="350"/>
      <c r="PS66" s="350"/>
      <c r="PT66" s="350"/>
      <c r="PU66" s="350"/>
      <c r="PV66" s="350"/>
      <c r="PW66" s="350"/>
      <c r="PX66" s="350"/>
      <c r="PY66" s="350"/>
      <c r="PZ66" s="350"/>
      <c r="QA66" s="350"/>
      <c r="QB66" s="350"/>
      <c r="QC66" s="350"/>
      <c r="QD66" s="350"/>
      <c r="QE66" s="350"/>
      <c r="QF66" s="350"/>
      <c r="QG66" s="350"/>
      <c r="QH66" s="350"/>
      <c r="QI66" s="350"/>
      <c r="QJ66" s="350"/>
      <c r="QK66" s="350"/>
      <c r="QL66" s="350"/>
      <c r="QM66" s="350"/>
      <c r="QN66" s="350"/>
      <c r="QO66" s="350"/>
      <c r="QP66" s="350"/>
      <c r="QQ66" s="350"/>
      <c r="QR66" s="350"/>
      <c r="QS66" s="350"/>
      <c r="QT66" s="350"/>
      <c r="QU66" s="350"/>
      <c r="QV66" s="350"/>
      <c r="QW66" s="350"/>
      <c r="QX66" s="350"/>
      <c r="QY66" s="350"/>
      <c r="QZ66" s="350"/>
      <c r="RA66" s="350"/>
      <c r="RB66" s="350"/>
      <c r="RC66" s="350"/>
      <c r="RD66" s="350"/>
      <c r="RE66" s="350"/>
      <c r="RF66" s="350"/>
      <c r="RG66" s="350"/>
      <c r="RH66" s="350"/>
      <c r="RI66" s="350"/>
      <c r="RJ66" s="350"/>
      <c r="RK66" s="350"/>
      <c r="RL66" s="350"/>
      <c r="RM66" s="350"/>
      <c r="RN66" s="350"/>
      <c r="RO66" s="350"/>
      <c r="RP66" s="350"/>
      <c r="RQ66" s="350"/>
      <c r="RR66" s="350"/>
      <c r="RS66" s="350"/>
      <c r="RT66" s="350"/>
      <c r="RU66" s="350"/>
      <c r="RV66" s="350"/>
      <c r="RW66" s="350"/>
      <c r="RX66" s="350"/>
      <c r="RY66" s="350"/>
      <c r="RZ66" s="350"/>
      <c r="SA66" s="350"/>
      <c r="SB66" s="350"/>
      <c r="SC66" s="350"/>
      <c r="SD66" s="350"/>
      <c r="SE66" s="350"/>
      <c r="SF66" s="350"/>
      <c r="SG66" s="350"/>
      <c r="SH66" s="350"/>
      <c r="SI66" s="350"/>
      <c r="SJ66" s="350"/>
      <c r="SK66" s="350"/>
      <c r="SL66" s="350"/>
      <c r="SM66" s="350"/>
      <c r="SN66" s="350"/>
      <c r="SO66" s="350"/>
      <c r="SP66" s="350"/>
      <c r="SQ66" s="350"/>
      <c r="SR66" s="350"/>
      <c r="SS66" s="350"/>
      <c r="ST66" s="350"/>
      <c r="SU66" s="350"/>
      <c r="SV66" s="350"/>
      <c r="SW66" s="350"/>
      <c r="SX66" s="350"/>
      <c r="SY66" s="350"/>
      <c r="SZ66" s="350"/>
      <c r="TA66" s="350"/>
      <c r="TB66" s="350"/>
      <c r="TC66" s="350"/>
      <c r="TD66" s="350"/>
      <c r="TE66" s="350"/>
      <c r="TF66" s="350"/>
      <c r="TG66" s="350"/>
      <c r="TH66" s="350"/>
      <c r="TI66" s="350"/>
      <c r="TJ66" s="350"/>
      <c r="TK66" s="350"/>
      <c r="TL66" s="350"/>
      <c r="TM66" s="350"/>
      <c r="TN66" s="350"/>
      <c r="TO66" s="350"/>
      <c r="TP66" s="350"/>
      <c r="TQ66" s="350"/>
      <c r="TR66" s="350"/>
      <c r="TS66" s="350"/>
      <c r="TT66" s="350"/>
      <c r="TU66" s="350"/>
      <c r="TV66" s="350"/>
      <c r="TW66" s="350"/>
      <c r="TX66" s="350"/>
      <c r="TY66" s="350"/>
      <c r="TZ66" s="350"/>
      <c r="UA66" s="350"/>
      <c r="UB66" s="350"/>
      <c r="UC66" s="350"/>
      <c r="UD66" s="350"/>
      <c r="UE66" s="350"/>
      <c r="UF66" s="350"/>
      <c r="UG66" s="350"/>
      <c r="UH66" s="350"/>
      <c r="UI66" s="350"/>
      <c r="UJ66" s="350"/>
      <c r="UK66" s="350"/>
      <c r="UL66" s="350"/>
      <c r="UM66" s="350"/>
      <c r="UN66" s="350"/>
      <c r="UO66" s="350"/>
      <c r="UP66" s="350"/>
      <c r="UQ66" s="350"/>
      <c r="UR66" s="350"/>
      <c r="US66" s="350"/>
      <c r="UT66" s="350"/>
      <c r="UU66" s="350"/>
      <c r="UV66" s="350"/>
      <c r="UW66" s="350"/>
      <c r="UX66" s="350"/>
      <c r="UY66" s="350"/>
      <c r="UZ66" s="350"/>
      <c r="VA66" s="350"/>
      <c r="VB66" s="350"/>
      <c r="VC66" s="350"/>
      <c r="VD66" s="350"/>
      <c r="VE66" s="350"/>
      <c r="VF66" s="350"/>
      <c r="VG66" s="350"/>
      <c r="VH66" s="350"/>
      <c r="VI66" s="350"/>
      <c r="VJ66" s="350"/>
      <c r="VK66" s="350"/>
      <c r="VL66" s="350"/>
      <c r="VM66" s="350"/>
      <c r="VN66" s="350"/>
      <c r="VO66" s="350"/>
      <c r="VP66" s="350"/>
      <c r="VQ66" s="350"/>
      <c r="VR66" s="350"/>
      <c r="VS66" s="350"/>
      <c r="VT66" s="350"/>
      <c r="VU66" s="350"/>
      <c r="VV66" s="350"/>
      <c r="VW66" s="350"/>
      <c r="VX66" s="350"/>
      <c r="VY66" s="350"/>
      <c r="VZ66" s="350"/>
      <c r="WA66" s="350"/>
      <c r="WB66" s="350"/>
      <c r="WC66" s="350"/>
      <c r="WD66" s="350"/>
      <c r="WE66" s="350"/>
      <c r="WF66" s="350"/>
      <c r="WG66" s="350"/>
      <c r="WH66" s="350"/>
      <c r="WI66" s="350"/>
      <c r="WJ66" s="350"/>
      <c r="WK66" s="350"/>
      <c r="WL66" s="350"/>
      <c r="WM66" s="350"/>
      <c r="WN66" s="350"/>
      <c r="WO66" s="350"/>
      <c r="WP66" s="350"/>
      <c r="WQ66" s="350"/>
      <c r="WR66" s="350"/>
      <c r="WS66" s="350"/>
      <c r="WT66" s="350"/>
      <c r="WU66" s="350"/>
      <c r="WV66" s="350"/>
      <c r="WW66" s="350"/>
      <c r="WX66" s="350"/>
      <c r="WY66" s="350"/>
    </row>
    <row r="67" spans="2:623">
      <c r="B67" s="35"/>
      <c r="C67" s="26"/>
      <c r="D67" s="26"/>
      <c r="E67" s="594"/>
      <c r="F67" s="26"/>
      <c r="G67" s="26"/>
      <c r="H67" s="26"/>
      <c r="I67" s="26"/>
      <c r="J67" s="26"/>
      <c r="K67" s="26"/>
    </row>
    <row r="68" spans="2:623">
      <c r="B68" s="35"/>
      <c r="C68" s="26"/>
      <c r="D68" s="26"/>
      <c r="E68" s="594"/>
      <c r="F68" s="26"/>
      <c r="G68" s="26"/>
      <c r="H68" s="26"/>
      <c r="I68" s="26"/>
      <c r="J68" s="26"/>
      <c r="K68" s="26"/>
    </row>
    <row r="69" spans="2:623">
      <c r="B69" s="35"/>
      <c r="C69" s="26"/>
      <c r="D69" s="26"/>
      <c r="E69" s="594"/>
      <c r="F69" s="26"/>
      <c r="G69" s="26"/>
      <c r="H69" s="26"/>
      <c r="I69" s="26"/>
      <c r="J69" s="26"/>
      <c r="K69" s="26"/>
    </row>
  </sheetData>
  <mergeCells count="4">
    <mergeCell ref="E67:E69"/>
    <mergeCell ref="AO3:AT3"/>
    <mergeCell ref="AU3:AZ3"/>
    <mergeCell ref="BA3:BF3"/>
  </mergeCells>
  <phoneticPr fontId="15" type="noConversion"/>
  <pageMargins left="0.75" right="0.75" top="1" bottom="1" header="0.5" footer="0.5"/>
  <pageSetup scale="69"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1"/>
  </sheetPr>
  <dimension ref="A1:AK74"/>
  <sheetViews>
    <sheetView zoomScale="85" zoomScaleNormal="85" workbookViewId="0">
      <selection activeCell="W5" sqref="W5:Y5"/>
    </sheetView>
  </sheetViews>
  <sheetFormatPr defaultRowHeight="12.6"/>
  <cols>
    <col min="1" max="1" width="18.7109375" customWidth="1"/>
  </cols>
  <sheetData>
    <row r="1" spans="1:37" s="299" customFormat="1" ht="13.5">
      <c r="A1" s="660" t="s">
        <v>519</v>
      </c>
      <c r="B1" s="660"/>
      <c r="C1" s="660"/>
      <c r="D1" s="660"/>
      <c r="E1" s="660"/>
      <c r="F1" s="660"/>
      <c r="G1" s="660"/>
      <c r="H1" s="660"/>
      <c r="I1" s="660"/>
      <c r="J1" s="660"/>
      <c r="K1" s="660"/>
      <c r="L1" s="660"/>
      <c r="M1" s="660"/>
      <c r="N1" s="660"/>
      <c r="O1" s="660"/>
      <c r="P1" s="660"/>
      <c r="Q1" s="660"/>
      <c r="R1" s="660"/>
      <c r="S1" s="660"/>
      <c r="T1" s="660"/>
      <c r="U1" s="660"/>
      <c r="V1" s="660"/>
      <c r="W1" s="660"/>
      <c r="X1" s="660"/>
      <c r="Y1" s="660"/>
      <c r="Z1" s="660"/>
      <c r="AA1" s="660"/>
      <c r="AB1" s="660"/>
      <c r="AF1" s="300"/>
      <c r="AG1" s="300"/>
      <c r="AH1" s="300"/>
      <c r="AI1" s="300"/>
      <c r="AJ1" s="300"/>
      <c r="AK1" s="300"/>
    </row>
    <row r="2" spans="1:37" s="299" customFormat="1" ht="12.75" customHeight="1">
      <c r="A2" s="616" t="s">
        <v>520</v>
      </c>
      <c r="B2" s="616"/>
      <c r="C2" s="616"/>
      <c r="D2" s="616"/>
      <c r="E2" s="616"/>
      <c r="F2" s="616"/>
      <c r="G2" s="616"/>
      <c r="H2" s="616"/>
      <c r="I2" s="616"/>
      <c r="J2" s="616"/>
      <c r="K2" s="616"/>
      <c r="L2" s="616"/>
      <c r="M2" s="616"/>
      <c r="N2" s="616"/>
      <c r="O2" s="616"/>
      <c r="P2" s="616"/>
      <c r="Q2" s="616"/>
      <c r="R2" s="616"/>
      <c r="S2" s="616"/>
      <c r="T2" s="616"/>
      <c r="U2" s="616"/>
      <c r="V2" s="616"/>
      <c r="W2" s="616"/>
      <c r="X2" s="616"/>
      <c r="Y2" s="616"/>
      <c r="Z2" s="616"/>
      <c r="AA2" s="616"/>
      <c r="AB2" s="616"/>
      <c r="AF2" s="300"/>
      <c r="AG2" s="300"/>
      <c r="AH2" s="300"/>
      <c r="AI2" s="300"/>
      <c r="AJ2" s="300"/>
      <c r="AK2" s="300"/>
    </row>
    <row r="3" spans="1:37" s="299" customFormat="1" ht="24.95" customHeight="1">
      <c r="A3" s="617" t="s">
        <v>103</v>
      </c>
      <c r="B3" s="619" t="s">
        <v>521</v>
      </c>
      <c r="C3" s="620"/>
      <c r="D3" s="621"/>
      <c r="E3" s="625" t="s">
        <v>522</v>
      </c>
      <c r="F3" s="626"/>
      <c r="G3" s="626"/>
      <c r="H3" s="626"/>
      <c r="I3" s="626"/>
      <c r="J3" s="626"/>
      <c r="K3" s="626"/>
      <c r="L3" s="626"/>
      <c r="M3" s="626"/>
      <c r="N3" s="626"/>
      <c r="O3" s="626"/>
      <c r="P3" s="626"/>
      <c r="Q3" s="626"/>
      <c r="R3" s="626"/>
      <c r="S3" s="626"/>
      <c r="T3" s="626"/>
      <c r="U3" s="626"/>
      <c r="V3" s="627"/>
      <c r="W3" s="619" t="s">
        <v>523</v>
      </c>
      <c r="X3" s="620"/>
      <c r="Y3" s="621"/>
      <c r="Z3" s="619" t="s">
        <v>524</v>
      </c>
      <c r="AA3" s="620"/>
      <c r="AB3" s="620"/>
      <c r="AF3" s="300"/>
      <c r="AG3" s="300"/>
      <c r="AH3" s="300"/>
      <c r="AI3" s="300"/>
      <c r="AJ3" s="300"/>
      <c r="AK3" s="300"/>
    </row>
    <row r="4" spans="1:37" s="299" customFormat="1" ht="13.5" customHeight="1">
      <c r="A4" s="618"/>
      <c r="B4" s="622"/>
      <c r="C4" s="623"/>
      <c r="D4" s="624"/>
      <c r="E4" s="628" t="s">
        <v>525</v>
      </c>
      <c r="F4" s="629"/>
      <c r="G4" s="630"/>
      <c r="H4" s="631" t="s">
        <v>526</v>
      </c>
      <c r="I4" s="632"/>
      <c r="J4" s="633"/>
      <c r="K4" s="631" t="s">
        <v>527</v>
      </c>
      <c r="L4" s="632"/>
      <c r="M4" s="633"/>
      <c r="N4" s="631" t="s">
        <v>528</v>
      </c>
      <c r="O4" s="632"/>
      <c r="P4" s="633"/>
      <c r="Q4" s="631" t="s">
        <v>529</v>
      </c>
      <c r="R4" s="632"/>
      <c r="S4" s="633"/>
      <c r="T4" s="631" t="s">
        <v>530</v>
      </c>
      <c r="U4" s="632"/>
      <c r="V4" s="633"/>
      <c r="W4" s="622"/>
      <c r="X4" s="623"/>
      <c r="Y4" s="624"/>
      <c r="Z4" s="622"/>
      <c r="AA4" s="623"/>
      <c r="AB4" s="623"/>
      <c r="AF4" s="300"/>
      <c r="AG4" s="300"/>
      <c r="AH4" s="300"/>
      <c r="AI4" s="300"/>
      <c r="AJ4" s="300"/>
      <c r="AK4" s="300"/>
    </row>
    <row r="5" spans="1:37" s="302" customFormat="1" ht="12.95">
      <c r="A5" s="301">
        <v>1</v>
      </c>
      <c r="B5" s="634">
        <v>2</v>
      </c>
      <c r="C5" s="635"/>
      <c r="D5" s="636"/>
      <c r="E5" s="634">
        <v>3</v>
      </c>
      <c r="F5" s="635"/>
      <c r="G5" s="636"/>
      <c r="H5" s="634">
        <v>4</v>
      </c>
      <c r="I5" s="635"/>
      <c r="J5" s="636"/>
      <c r="K5" s="634">
        <v>5</v>
      </c>
      <c r="L5" s="635"/>
      <c r="M5" s="636"/>
      <c r="N5" s="634">
        <v>6</v>
      </c>
      <c r="O5" s="635"/>
      <c r="P5" s="636"/>
      <c r="Q5" s="634">
        <v>7</v>
      </c>
      <c r="R5" s="635"/>
      <c r="S5" s="636"/>
      <c r="T5" s="634">
        <v>8</v>
      </c>
      <c r="U5" s="635"/>
      <c r="V5" s="636"/>
      <c r="W5" s="634">
        <v>9</v>
      </c>
      <c r="X5" s="635"/>
      <c r="Y5" s="636"/>
      <c r="Z5" s="634">
        <v>10</v>
      </c>
      <c r="AA5" s="635"/>
      <c r="AB5" s="635"/>
      <c r="AF5" s="303"/>
      <c r="AG5" s="303"/>
      <c r="AH5" s="303"/>
      <c r="AI5" s="303"/>
      <c r="AJ5" s="303"/>
      <c r="AK5" s="303"/>
    </row>
    <row r="6" spans="1:37" s="302" customFormat="1" ht="13.5">
      <c r="A6" s="304" t="s">
        <v>531</v>
      </c>
      <c r="B6" s="305">
        <v>30860</v>
      </c>
      <c r="C6" s="306" t="s">
        <v>532</v>
      </c>
      <c r="D6" s="307">
        <v>542.415121</v>
      </c>
      <c r="E6" s="305">
        <v>6319650</v>
      </c>
      <c r="F6" s="306" t="s">
        <v>532</v>
      </c>
      <c r="G6" s="308">
        <v>40271.820418000003</v>
      </c>
      <c r="H6" s="305">
        <v>6099220</v>
      </c>
      <c r="I6" s="306" t="s">
        <v>532</v>
      </c>
      <c r="J6" s="309">
        <v>41219.378211000003</v>
      </c>
      <c r="K6" s="305">
        <v>6073240</v>
      </c>
      <c r="L6" s="310" t="s">
        <v>532</v>
      </c>
      <c r="M6" s="309">
        <v>42446.141531000001</v>
      </c>
      <c r="N6" s="305">
        <v>5910210</v>
      </c>
      <c r="O6" s="306" t="s">
        <v>532</v>
      </c>
      <c r="P6" s="309">
        <v>28363.23</v>
      </c>
      <c r="Q6" s="305">
        <v>5488490</v>
      </c>
      <c r="R6" s="306" t="s">
        <v>532</v>
      </c>
      <c r="S6" s="307">
        <v>35857.216186999998</v>
      </c>
      <c r="T6" s="305">
        <v>5268090</v>
      </c>
      <c r="U6" s="306" t="s">
        <v>532</v>
      </c>
      <c r="V6" s="307">
        <v>24908.425487</v>
      </c>
      <c r="W6" s="305">
        <v>420880</v>
      </c>
      <c r="X6" s="306" t="s">
        <v>532</v>
      </c>
      <c r="Y6" s="309">
        <v>1836.046519</v>
      </c>
      <c r="Z6" s="305">
        <v>305840</v>
      </c>
      <c r="AA6" s="306" t="s">
        <v>532</v>
      </c>
      <c r="AB6" s="311">
        <v>3479.2090819999999</v>
      </c>
      <c r="AF6" s="303"/>
      <c r="AG6" s="303"/>
      <c r="AH6" s="303"/>
      <c r="AI6" s="303"/>
      <c r="AJ6" s="303"/>
      <c r="AK6" s="303"/>
    </row>
    <row r="7" spans="1:37" s="302" customFormat="1" ht="12.95">
      <c r="A7" s="312" t="s">
        <v>533</v>
      </c>
      <c r="B7" s="313">
        <v>400</v>
      </c>
      <c r="C7" s="314" t="s">
        <v>532</v>
      </c>
      <c r="D7" s="315">
        <v>1.32</v>
      </c>
      <c r="E7" s="316">
        <v>92380</v>
      </c>
      <c r="F7" s="314" t="s">
        <v>532</v>
      </c>
      <c r="G7" s="317">
        <v>3926.105697</v>
      </c>
      <c r="H7" s="313">
        <v>99580</v>
      </c>
      <c r="I7" s="314" t="s">
        <v>532</v>
      </c>
      <c r="J7" s="318">
        <v>12129.952377</v>
      </c>
      <c r="K7" s="313">
        <v>92280</v>
      </c>
      <c r="L7" s="319" t="s">
        <v>532</v>
      </c>
      <c r="M7" s="318">
        <v>5891.5537899999999</v>
      </c>
      <c r="N7" s="313">
        <v>83840</v>
      </c>
      <c r="O7" s="314" t="s">
        <v>532</v>
      </c>
      <c r="P7" s="318">
        <v>103.2312</v>
      </c>
      <c r="Q7" s="313">
        <v>95570</v>
      </c>
      <c r="R7" s="314" t="s">
        <v>532</v>
      </c>
      <c r="S7" s="318">
        <v>11744.941731000001</v>
      </c>
      <c r="T7" s="313">
        <v>81070</v>
      </c>
      <c r="U7" s="314" t="s">
        <v>532</v>
      </c>
      <c r="V7" s="315">
        <v>48.84</v>
      </c>
      <c r="W7" s="313">
        <v>6210</v>
      </c>
      <c r="X7" s="314" t="s">
        <v>532</v>
      </c>
      <c r="Y7" s="315">
        <v>0.79200000000000004</v>
      </c>
      <c r="Z7" s="313">
        <v>4720</v>
      </c>
      <c r="AA7" s="314" t="s">
        <v>532</v>
      </c>
      <c r="AB7" s="320" t="s">
        <v>534</v>
      </c>
      <c r="AF7" s="303"/>
      <c r="AG7" s="303"/>
      <c r="AH7" s="303"/>
      <c r="AI7" s="303"/>
      <c r="AJ7" s="303"/>
      <c r="AK7" s="303"/>
    </row>
    <row r="8" spans="1:37" s="302" customFormat="1" ht="12.95">
      <c r="A8" s="312" t="s">
        <v>535</v>
      </c>
      <c r="B8" s="313">
        <v>50</v>
      </c>
      <c r="C8" s="314" t="s">
        <v>532</v>
      </c>
      <c r="D8" s="315" t="s">
        <v>534</v>
      </c>
      <c r="E8" s="316">
        <v>7420</v>
      </c>
      <c r="F8" s="314" t="s">
        <v>532</v>
      </c>
      <c r="G8" s="321" t="s">
        <v>534</v>
      </c>
      <c r="H8" s="313">
        <v>7370</v>
      </c>
      <c r="I8" s="314" t="s">
        <v>532</v>
      </c>
      <c r="J8" s="318">
        <v>423.92456299999998</v>
      </c>
      <c r="K8" s="313">
        <v>7500</v>
      </c>
      <c r="L8" s="319" t="s">
        <v>532</v>
      </c>
      <c r="M8" s="318">
        <v>1027.633525</v>
      </c>
      <c r="N8" s="313">
        <v>4990</v>
      </c>
      <c r="O8" s="314" t="s">
        <v>532</v>
      </c>
      <c r="P8" s="321" t="s">
        <v>534</v>
      </c>
      <c r="Q8" s="313">
        <v>7510</v>
      </c>
      <c r="R8" s="314" t="s">
        <v>536</v>
      </c>
      <c r="S8" s="318">
        <v>2740.1759000000002</v>
      </c>
      <c r="T8" s="313">
        <v>5170</v>
      </c>
      <c r="U8" s="314" t="s">
        <v>532</v>
      </c>
      <c r="V8" s="315" t="s">
        <v>534</v>
      </c>
      <c r="W8" s="313">
        <v>420</v>
      </c>
      <c r="X8" s="314" t="s">
        <v>532</v>
      </c>
      <c r="Y8" s="315" t="s">
        <v>534</v>
      </c>
      <c r="Z8" s="313">
        <v>220</v>
      </c>
      <c r="AA8" s="314" t="s">
        <v>532</v>
      </c>
      <c r="AB8" s="320" t="s">
        <v>534</v>
      </c>
      <c r="AF8" s="303"/>
      <c r="AG8" s="303"/>
      <c r="AH8" s="303"/>
      <c r="AI8" s="303"/>
      <c r="AJ8" s="303"/>
      <c r="AK8" s="303"/>
    </row>
    <row r="9" spans="1:37" s="302" customFormat="1" ht="12.95">
      <c r="A9" s="312" t="s">
        <v>537</v>
      </c>
      <c r="B9" s="313">
        <v>340</v>
      </c>
      <c r="C9" s="314" t="s">
        <v>532</v>
      </c>
      <c r="D9" s="315">
        <v>4.68241</v>
      </c>
      <c r="E9" s="316">
        <v>78660</v>
      </c>
      <c r="F9" s="314" t="s">
        <v>532</v>
      </c>
      <c r="G9" s="317">
        <v>18217.793238999999</v>
      </c>
      <c r="H9" s="313">
        <v>75360</v>
      </c>
      <c r="I9" s="314" t="s">
        <v>532</v>
      </c>
      <c r="J9" s="318">
        <v>16426.373253999998</v>
      </c>
      <c r="K9" s="313">
        <v>66840</v>
      </c>
      <c r="L9" s="319" t="s">
        <v>532</v>
      </c>
      <c r="M9" s="322" t="s">
        <v>534</v>
      </c>
      <c r="N9" s="313">
        <v>64910</v>
      </c>
      <c r="O9" s="314" t="s">
        <v>532</v>
      </c>
      <c r="P9" s="321" t="s">
        <v>534</v>
      </c>
      <c r="Q9" s="313">
        <v>55390</v>
      </c>
      <c r="R9" s="314" t="s">
        <v>532</v>
      </c>
      <c r="S9" s="321" t="s">
        <v>534</v>
      </c>
      <c r="T9" s="313">
        <v>53120</v>
      </c>
      <c r="U9" s="314" t="s">
        <v>532</v>
      </c>
      <c r="V9" s="315">
        <v>229.268135</v>
      </c>
      <c r="W9" s="313">
        <v>3810</v>
      </c>
      <c r="X9" s="314" t="s">
        <v>532</v>
      </c>
      <c r="Y9" s="315">
        <v>16.173615000000002</v>
      </c>
      <c r="Z9" s="313">
        <v>2650</v>
      </c>
      <c r="AA9" s="314" t="s">
        <v>532</v>
      </c>
      <c r="AB9" s="320" t="s">
        <v>534</v>
      </c>
      <c r="AF9" s="303"/>
      <c r="AG9" s="303"/>
      <c r="AH9" s="303"/>
      <c r="AI9" s="303"/>
      <c r="AJ9" s="303"/>
      <c r="AK9" s="303"/>
    </row>
    <row r="10" spans="1:37" s="302" customFormat="1" ht="12.95">
      <c r="A10" s="312" t="s">
        <v>538</v>
      </c>
      <c r="B10" s="313">
        <v>230</v>
      </c>
      <c r="C10" s="314" t="s">
        <v>536</v>
      </c>
      <c r="D10" s="315">
        <v>73.228720999999993</v>
      </c>
      <c r="E10" s="316">
        <v>32570</v>
      </c>
      <c r="F10" s="314" t="s">
        <v>532</v>
      </c>
      <c r="G10" s="321" t="s">
        <v>534</v>
      </c>
      <c r="H10" s="313">
        <v>31300</v>
      </c>
      <c r="I10" s="314" t="s">
        <v>532</v>
      </c>
      <c r="J10" s="321" t="s">
        <v>534</v>
      </c>
      <c r="K10" s="313">
        <v>35390</v>
      </c>
      <c r="L10" s="319" t="s">
        <v>532</v>
      </c>
      <c r="M10" s="318">
        <v>5858.4407979999996</v>
      </c>
      <c r="N10" s="313">
        <v>40120</v>
      </c>
      <c r="O10" s="314" t="s">
        <v>532</v>
      </c>
      <c r="P10" s="318">
        <v>11960.67</v>
      </c>
      <c r="Q10" s="313">
        <v>28900</v>
      </c>
      <c r="R10" s="314" t="s">
        <v>532</v>
      </c>
      <c r="S10" s="318">
        <v>1370.5079920000001</v>
      </c>
      <c r="T10" s="313">
        <v>29930</v>
      </c>
      <c r="U10" s="314" t="s">
        <v>532</v>
      </c>
      <c r="V10" s="315">
        <v>1244.8882630000001</v>
      </c>
      <c r="W10" s="313">
        <v>2640</v>
      </c>
      <c r="X10" s="314" t="s">
        <v>532</v>
      </c>
      <c r="Y10" s="315">
        <v>336.85211800000002</v>
      </c>
      <c r="Z10" s="313">
        <v>1490</v>
      </c>
      <c r="AA10" s="314" t="s">
        <v>532</v>
      </c>
      <c r="AB10" s="320" t="s">
        <v>534</v>
      </c>
      <c r="AF10" s="303"/>
      <c r="AG10" s="303"/>
      <c r="AH10" s="303"/>
      <c r="AI10" s="303"/>
      <c r="AJ10" s="303"/>
      <c r="AK10" s="303"/>
    </row>
    <row r="11" spans="1:37" s="302" customFormat="1" ht="12.95">
      <c r="A11" s="312" t="s">
        <v>539</v>
      </c>
      <c r="B11" s="313">
        <v>3480</v>
      </c>
      <c r="C11" s="314" t="s">
        <v>532</v>
      </c>
      <c r="D11" s="315">
        <v>1.8461000000000001</v>
      </c>
      <c r="E11" s="316">
        <v>757750</v>
      </c>
      <c r="F11" s="314" t="s">
        <v>532</v>
      </c>
      <c r="G11" s="317">
        <v>8414.9972600000001</v>
      </c>
      <c r="H11" s="313">
        <v>740460</v>
      </c>
      <c r="I11" s="314" t="s">
        <v>532</v>
      </c>
      <c r="J11" s="318">
        <v>8702.9645220000002</v>
      </c>
      <c r="K11" s="313">
        <v>737490</v>
      </c>
      <c r="L11" s="319" t="s">
        <v>532</v>
      </c>
      <c r="M11" s="318">
        <v>15528.828431</v>
      </c>
      <c r="N11" s="313">
        <v>703810</v>
      </c>
      <c r="O11" s="314" t="s">
        <v>532</v>
      </c>
      <c r="P11" s="318">
        <v>6128.6270000000004</v>
      </c>
      <c r="Q11" s="313">
        <v>623150</v>
      </c>
      <c r="R11" s="314" t="s">
        <v>532</v>
      </c>
      <c r="S11" s="318">
        <v>4185.3323410000003</v>
      </c>
      <c r="T11" s="313">
        <v>608070</v>
      </c>
      <c r="U11" s="314" t="s">
        <v>532</v>
      </c>
      <c r="V11" s="315">
        <v>68.969132000000002</v>
      </c>
      <c r="W11" s="313">
        <v>44270</v>
      </c>
      <c r="X11" s="314" t="s">
        <v>532</v>
      </c>
      <c r="Y11" s="315">
        <v>12.14823</v>
      </c>
      <c r="Z11" s="313">
        <v>34380</v>
      </c>
      <c r="AA11" s="314" t="s">
        <v>532</v>
      </c>
      <c r="AB11" s="320">
        <v>1.0416669999999999</v>
      </c>
      <c r="AC11" s="323"/>
      <c r="AF11" s="303"/>
      <c r="AG11" s="303"/>
      <c r="AH11" s="303"/>
      <c r="AI11" s="303"/>
      <c r="AJ11" s="303"/>
      <c r="AK11" s="303"/>
    </row>
    <row r="12" spans="1:37" s="302" customFormat="1" ht="12.95">
      <c r="A12" s="324"/>
      <c r="B12" s="313"/>
      <c r="C12" s="314"/>
      <c r="D12" s="315"/>
      <c r="E12" s="316"/>
      <c r="F12" s="314"/>
      <c r="G12" s="325"/>
      <c r="H12" s="313"/>
      <c r="I12" s="314"/>
      <c r="J12" s="318"/>
      <c r="K12" s="313"/>
      <c r="L12" s="319"/>
      <c r="M12" s="318"/>
      <c r="O12" s="314"/>
      <c r="P12" s="318"/>
      <c r="Q12" s="313"/>
      <c r="R12" s="314"/>
      <c r="S12" s="318"/>
      <c r="T12" s="313"/>
      <c r="U12" s="314"/>
      <c r="V12" s="315"/>
      <c r="W12" s="313"/>
      <c r="X12" s="314"/>
      <c r="Y12" s="315"/>
      <c r="Z12" s="313"/>
      <c r="AA12" s="314"/>
      <c r="AB12" s="320"/>
      <c r="AF12" s="303"/>
      <c r="AG12" s="303"/>
      <c r="AH12" s="303"/>
      <c r="AI12" s="303"/>
      <c r="AJ12" s="303"/>
      <c r="AK12" s="303"/>
    </row>
    <row r="13" spans="1:37" s="302" customFormat="1" ht="12.95">
      <c r="A13" s="312" t="s">
        <v>540</v>
      </c>
      <c r="B13" s="313">
        <v>410</v>
      </c>
      <c r="C13" s="314" t="s">
        <v>532</v>
      </c>
      <c r="D13" s="315">
        <v>2.035714</v>
      </c>
      <c r="E13" s="316">
        <v>64700</v>
      </c>
      <c r="F13" s="314" t="s">
        <v>532</v>
      </c>
      <c r="G13" s="321" t="s">
        <v>534</v>
      </c>
      <c r="H13" s="313">
        <v>62080</v>
      </c>
      <c r="I13" s="314" t="s">
        <v>532</v>
      </c>
      <c r="J13" s="318">
        <v>476.26893200000001</v>
      </c>
      <c r="K13" s="313">
        <v>70770</v>
      </c>
      <c r="L13" s="319" t="s">
        <v>532</v>
      </c>
      <c r="M13" s="318">
        <v>1159.854433</v>
      </c>
      <c r="N13" s="313">
        <v>64740</v>
      </c>
      <c r="O13" s="314" t="s">
        <v>532</v>
      </c>
      <c r="P13" s="321" t="s">
        <v>534</v>
      </c>
      <c r="Q13" s="313">
        <v>63720</v>
      </c>
      <c r="R13" s="314" t="s">
        <v>532</v>
      </c>
      <c r="S13" s="318">
        <v>3486.0342000000001</v>
      </c>
      <c r="T13" s="313">
        <v>61140</v>
      </c>
      <c r="U13" s="314" t="s">
        <v>532</v>
      </c>
      <c r="V13" s="315">
        <v>148.21428599999999</v>
      </c>
      <c r="W13" s="313">
        <v>4880</v>
      </c>
      <c r="X13" s="314" t="s">
        <v>532</v>
      </c>
      <c r="Y13" s="315">
        <v>4.1071429999999998</v>
      </c>
      <c r="Z13" s="313">
        <v>2890</v>
      </c>
      <c r="AA13" s="314" t="s">
        <v>532</v>
      </c>
      <c r="AB13" s="320" t="s">
        <v>534</v>
      </c>
      <c r="AF13" s="303"/>
      <c r="AG13" s="303"/>
      <c r="AH13" s="303"/>
      <c r="AI13" s="303"/>
      <c r="AJ13" s="303"/>
      <c r="AK13" s="303"/>
    </row>
    <row r="14" spans="1:37" s="302" customFormat="1" ht="12.95">
      <c r="A14" s="312" t="s">
        <v>541</v>
      </c>
      <c r="B14" s="313">
        <v>410</v>
      </c>
      <c r="C14" s="314" t="s">
        <v>532</v>
      </c>
      <c r="D14" s="315">
        <v>17.771397</v>
      </c>
      <c r="E14" s="316">
        <v>82320</v>
      </c>
      <c r="F14" s="314" t="s">
        <v>532</v>
      </c>
      <c r="G14" s="321" t="s">
        <v>534</v>
      </c>
      <c r="H14" s="313">
        <v>102960</v>
      </c>
      <c r="I14" s="314" t="s">
        <v>532</v>
      </c>
      <c r="J14" s="318">
        <v>25023.642822000002</v>
      </c>
      <c r="K14" s="313">
        <v>76220</v>
      </c>
      <c r="L14" s="319" t="s">
        <v>532</v>
      </c>
      <c r="M14" s="318">
        <v>1619.4435269999999</v>
      </c>
      <c r="N14" s="313">
        <v>85150</v>
      </c>
      <c r="O14" s="314" t="s">
        <v>532</v>
      </c>
      <c r="P14" s="318">
        <v>9240.5059999999994</v>
      </c>
      <c r="Q14" s="313">
        <v>72540</v>
      </c>
      <c r="R14" s="314" t="s">
        <v>532</v>
      </c>
      <c r="S14" s="318">
        <v>463.59061100000002</v>
      </c>
      <c r="T14" s="313">
        <v>66320</v>
      </c>
      <c r="U14" s="314" t="s">
        <v>532</v>
      </c>
      <c r="V14" s="315">
        <v>142.17117999999999</v>
      </c>
      <c r="W14" s="313">
        <v>7080</v>
      </c>
      <c r="X14" s="314" t="s">
        <v>532</v>
      </c>
      <c r="Y14" s="315">
        <v>67.531310000000005</v>
      </c>
      <c r="Z14" s="313">
        <v>5960</v>
      </c>
      <c r="AA14" s="314" t="s">
        <v>532</v>
      </c>
      <c r="AB14" s="320" t="s">
        <v>534</v>
      </c>
      <c r="AF14" s="303"/>
      <c r="AG14" s="303"/>
      <c r="AH14" s="303"/>
      <c r="AI14" s="303"/>
      <c r="AJ14" s="303"/>
      <c r="AK14" s="303"/>
    </row>
    <row r="15" spans="1:37" s="302" customFormat="1" ht="12.95">
      <c r="A15" s="312" t="s">
        <v>542</v>
      </c>
      <c r="B15" s="313">
        <v>120</v>
      </c>
      <c r="C15" s="314" t="s">
        <v>532</v>
      </c>
      <c r="D15" s="315" t="s">
        <v>534</v>
      </c>
      <c r="E15" s="316">
        <v>31690</v>
      </c>
      <c r="F15" s="314" t="s">
        <v>532</v>
      </c>
      <c r="G15" s="317">
        <v>1022.916165</v>
      </c>
      <c r="H15" s="313">
        <v>33020</v>
      </c>
      <c r="I15" s="314" t="s">
        <v>532</v>
      </c>
      <c r="J15" s="318">
        <v>2648.9102109999999</v>
      </c>
      <c r="K15" s="313">
        <v>29830</v>
      </c>
      <c r="L15" s="319" t="s">
        <v>532</v>
      </c>
      <c r="M15" s="322" t="s">
        <v>534</v>
      </c>
      <c r="N15" s="313">
        <v>32520</v>
      </c>
      <c r="O15" s="314" t="s">
        <v>532</v>
      </c>
      <c r="P15" s="318">
        <v>2701.306</v>
      </c>
      <c r="Q15" s="313">
        <v>26640</v>
      </c>
      <c r="R15" s="314" t="s">
        <v>532</v>
      </c>
      <c r="S15" s="321" t="s">
        <v>534</v>
      </c>
      <c r="T15" s="313">
        <v>25090</v>
      </c>
      <c r="U15" s="314" t="s">
        <v>532</v>
      </c>
      <c r="V15" s="315" t="s">
        <v>534</v>
      </c>
      <c r="W15" s="313">
        <v>2060</v>
      </c>
      <c r="X15" s="314" t="s">
        <v>532</v>
      </c>
      <c r="Y15" s="315" t="s">
        <v>534</v>
      </c>
      <c r="Z15" s="313">
        <v>1770</v>
      </c>
      <c r="AA15" s="314" t="s">
        <v>532</v>
      </c>
      <c r="AB15" s="320" t="s">
        <v>534</v>
      </c>
      <c r="AF15" s="303"/>
      <c r="AG15" s="303"/>
      <c r="AH15" s="303"/>
      <c r="AI15" s="303"/>
      <c r="AJ15" s="303"/>
      <c r="AK15" s="303"/>
    </row>
    <row r="16" spans="1:37" s="302" customFormat="1" ht="12.95">
      <c r="A16" s="312" t="s">
        <v>543</v>
      </c>
      <c r="B16" s="313">
        <v>80</v>
      </c>
      <c r="C16" s="314" t="s">
        <v>532</v>
      </c>
      <c r="D16" s="315" t="s">
        <v>534</v>
      </c>
      <c r="E16" s="316">
        <v>33660</v>
      </c>
      <c r="F16" s="314" t="s">
        <v>536</v>
      </c>
      <c r="G16" s="317">
        <v>14373.049889</v>
      </c>
      <c r="H16" s="313">
        <v>23510</v>
      </c>
      <c r="I16" s="314" t="s">
        <v>532</v>
      </c>
      <c r="J16" s="318">
        <v>6121.3257130000002</v>
      </c>
      <c r="K16" s="313">
        <v>19880</v>
      </c>
      <c r="L16" s="319" t="s">
        <v>532</v>
      </c>
      <c r="M16" s="322" t="s">
        <v>534</v>
      </c>
      <c r="N16" s="313">
        <v>19640</v>
      </c>
      <c r="O16" s="314" t="s">
        <v>532</v>
      </c>
      <c r="P16" s="321" t="s">
        <v>534</v>
      </c>
      <c r="Q16" s="313">
        <v>17810</v>
      </c>
      <c r="R16" s="314" t="s">
        <v>532</v>
      </c>
      <c r="S16" s="321" t="s">
        <v>534</v>
      </c>
      <c r="T16" s="313">
        <v>16950</v>
      </c>
      <c r="U16" s="314" t="s">
        <v>532</v>
      </c>
      <c r="V16" s="315" t="s">
        <v>534</v>
      </c>
      <c r="W16" s="313">
        <v>1960</v>
      </c>
      <c r="X16" s="314" t="s">
        <v>532</v>
      </c>
      <c r="Y16" s="315" t="s">
        <v>534</v>
      </c>
      <c r="Z16" s="313">
        <v>1510</v>
      </c>
      <c r="AA16" s="314" t="s">
        <v>532</v>
      </c>
      <c r="AB16" s="320" t="s">
        <v>534</v>
      </c>
      <c r="AF16" s="303"/>
      <c r="AG16" s="303"/>
      <c r="AH16" s="303"/>
      <c r="AI16" s="303"/>
      <c r="AJ16" s="303"/>
      <c r="AK16" s="303"/>
    </row>
    <row r="17" spans="1:37" s="302" customFormat="1" ht="12.95">
      <c r="A17" s="312" t="s">
        <v>544</v>
      </c>
      <c r="B17" s="313">
        <v>1880</v>
      </c>
      <c r="C17" s="314" t="s">
        <v>532</v>
      </c>
      <c r="D17" s="315">
        <v>2.3184999999999998</v>
      </c>
      <c r="E17" s="316">
        <v>365890</v>
      </c>
      <c r="F17" s="314" t="s">
        <v>532</v>
      </c>
      <c r="G17" s="317">
        <v>8301.1037190000006</v>
      </c>
      <c r="H17" s="313">
        <v>398720</v>
      </c>
      <c r="I17" s="314" t="s">
        <v>532</v>
      </c>
      <c r="J17" s="318">
        <v>14590.380526999999</v>
      </c>
      <c r="K17" s="313">
        <v>396790</v>
      </c>
      <c r="L17" s="319" t="s">
        <v>532</v>
      </c>
      <c r="M17" s="318">
        <v>7428.8562910000001</v>
      </c>
      <c r="N17" s="313">
        <v>391660</v>
      </c>
      <c r="O17" s="314" t="s">
        <v>532</v>
      </c>
      <c r="P17" s="318">
        <v>6122.9870000000001</v>
      </c>
      <c r="Q17" s="313">
        <v>343990</v>
      </c>
      <c r="R17" s="314" t="s">
        <v>532</v>
      </c>
      <c r="S17" s="318">
        <v>1023.287965</v>
      </c>
      <c r="T17" s="313">
        <v>340960</v>
      </c>
      <c r="U17" s="314" t="s">
        <v>532</v>
      </c>
      <c r="V17" s="315">
        <v>230.14998499999999</v>
      </c>
      <c r="W17" s="313">
        <v>26430</v>
      </c>
      <c r="X17" s="314" t="s">
        <v>532</v>
      </c>
      <c r="Y17" s="315">
        <v>36.534255000000002</v>
      </c>
      <c r="Z17" s="313">
        <v>20060</v>
      </c>
      <c r="AA17" s="314" t="s">
        <v>532</v>
      </c>
      <c r="AB17" s="320" t="s">
        <v>534</v>
      </c>
      <c r="AF17" s="303"/>
      <c r="AG17" s="303"/>
      <c r="AH17" s="303"/>
      <c r="AI17" s="303"/>
      <c r="AJ17" s="303"/>
      <c r="AK17" s="303"/>
    </row>
    <row r="18" spans="1:37" s="302" customFormat="1" ht="12.95">
      <c r="A18" s="324"/>
      <c r="C18" s="314"/>
      <c r="D18" s="315"/>
      <c r="E18" s="316"/>
      <c r="F18" s="314"/>
      <c r="G18" s="325"/>
      <c r="H18" s="313"/>
      <c r="I18" s="314"/>
      <c r="J18" s="318"/>
      <c r="K18" s="313"/>
      <c r="L18" s="319"/>
      <c r="M18" s="318"/>
      <c r="O18" s="314"/>
      <c r="P18" s="318"/>
      <c r="R18" s="314"/>
      <c r="S18" s="318"/>
      <c r="U18" s="314"/>
      <c r="V18" s="315"/>
      <c r="X18" s="314"/>
      <c r="Y18" s="315"/>
      <c r="AA18" s="314"/>
      <c r="AB18" s="320"/>
      <c r="AF18" s="303"/>
      <c r="AG18" s="303"/>
      <c r="AH18" s="303"/>
      <c r="AI18" s="303"/>
      <c r="AJ18" s="303"/>
      <c r="AK18" s="303"/>
    </row>
    <row r="19" spans="1:37" s="302" customFormat="1" ht="12.95">
      <c r="A19" s="312" t="s">
        <v>545</v>
      </c>
      <c r="B19" s="313">
        <v>710</v>
      </c>
      <c r="C19" s="314" t="s">
        <v>532</v>
      </c>
      <c r="D19" s="315" t="s">
        <v>534</v>
      </c>
      <c r="E19" s="316">
        <v>137060</v>
      </c>
      <c r="F19" s="314" t="s">
        <v>532</v>
      </c>
      <c r="G19" s="317">
        <v>4550.1094249999996</v>
      </c>
      <c r="H19" s="313">
        <v>144850</v>
      </c>
      <c r="I19" s="314" t="s">
        <v>532</v>
      </c>
      <c r="J19" s="318">
        <v>6527.04864</v>
      </c>
      <c r="K19" s="313">
        <v>152600</v>
      </c>
      <c r="L19" s="319" t="s">
        <v>532</v>
      </c>
      <c r="M19" s="318">
        <v>10393.763536</v>
      </c>
      <c r="N19" s="313">
        <v>157430</v>
      </c>
      <c r="O19" s="314" t="s">
        <v>532</v>
      </c>
      <c r="P19" s="318">
        <v>9184.9339999999993</v>
      </c>
      <c r="Q19" s="313">
        <v>150300</v>
      </c>
      <c r="R19" s="314" t="s">
        <v>532</v>
      </c>
      <c r="S19" s="318">
        <v>6251.3023069999999</v>
      </c>
      <c r="T19" s="313">
        <v>138080</v>
      </c>
      <c r="U19" s="314" t="s">
        <v>532</v>
      </c>
      <c r="V19" s="315" t="s">
        <v>534</v>
      </c>
      <c r="W19" s="313">
        <v>13010</v>
      </c>
      <c r="X19" s="314" t="s">
        <v>532</v>
      </c>
      <c r="Y19" s="315" t="s">
        <v>534</v>
      </c>
      <c r="Z19" s="313">
        <v>7760</v>
      </c>
      <c r="AA19" s="314" t="s">
        <v>532</v>
      </c>
      <c r="AB19" s="320" t="s">
        <v>534</v>
      </c>
      <c r="AF19" s="303"/>
      <c r="AG19" s="303"/>
      <c r="AH19" s="303"/>
      <c r="AI19" s="303"/>
      <c r="AJ19" s="303"/>
      <c r="AK19" s="303"/>
    </row>
    <row r="20" spans="1:37" s="302" customFormat="1" ht="12.95">
      <c r="A20" s="312" t="s">
        <v>546</v>
      </c>
      <c r="B20" s="313">
        <v>130</v>
      </c>
      <c r="C20" s="314" t="s">
        <v>532</v>
      </c>
      <c r="D20" s="315" t="s">
        <v>534</v>
      </c>
      <c r="E20" s="316">
        <v>42980</v>
      </c>
      <c r="F20" s="314" t="s">
        <v>532</v>
      </c>
      <c r="G20" s="317">
        <v>220.22811999999999</v>
      </c>
      <c r="H20" s="313">
        <v>39940</v>
      </c>
      <c r="I20" s="314" t="s">
        <v>532</v>
      </c>
      <c r="J20" s="321" t="s">
        <v>534</v>
      </c>
      <c r="K20" s="313">
        <v>32810</v>
      </c>
      <c r="L20" s="319" t="s">
        <v>532</v>
      </c>
      <c r="M20" s="322" t="s">
        <v>534</v>
      </c>
      <c r="N20" s="313">
        <v>37300</v>
      </c>
      <c r="O20" s="314" t="s">
        <v>532</v>
      </c>
      <c r="P20" s="318">
        <v>290.06490000000002</v>
      </c>
      <c r="Q20" s="313">
        <v>37130</v>
      </c>
      <c r="R20" s="314" t="s">
        <v>532</v>
      </c>
      <c r="S20" s="321" t="s">
        <v>534</v>
      </c>
      <c r="T20" s="313">
        <v>37530</v>
      </c>
      <c r="U20" s="314" t="s">
        <v>532</v>
      </c>
      <c r="V20" s="315" t="s">
        <v>534</v>
      </c>
      <c r="W20" s="313">
        <v>3010</v>
      </c>
      <c r="X20" s="314" t="s">
        <v>532</v>
      </c>
      <c r="Y20" s="315" t="s">
        <v>534</v>
      </c>
      <c r="Z20" s="313">
        <v>2760</v>
      </c>
      <c r="AA20" s="314" t="s">
        <v>532</v>
      </c>
      <c r="AB20" s="320" t="s">
        <v>534</v>
      </c>
      <c r="AF20" s="303"/>
      <c r="AG20" s="303"/>
      <c r="AH20" s="303"/>
      <c r="AI20" s="303"/>
      <c r="AJ20" s="303"/>
      <c r="AK20" s="303"/>
    </row>
    <row r="21" spans="1:37" s="302" customFormat="1" ht="12.95">
      <c r="A21" s="312" t="s">
        <v>547</v>
      </c>
      <c r="B21" s="313">
        <v>120</v>
      </c>
      <c r="C21" s="314" t="s">
        <v>532</v>
      </c>
      <c r="D21" s="315">
        <v>4.1804639999999997</v>
      </c>
      <c r="E21" s="316">
        <v>12050</v>
      </c>
      <c r="F21" s="314" t="s">
        <v>532</v>
      </c>
      <c r="G21" s="321" t="s">
        <v>534</v>
      </c>
      <c r="H21" s="313">
        <v>12570</v>
      </c>
      <c r="I21" s="314" t="s">
        <v>532</v>
      </c>
      <c r="J21" s="321" t="s">
        <v>534</v>
      </c>
      <c r="K21" s="313">
        <v>15320</v>
      </c>
      <c r="L21" s="319" t="s">
        <v>532</v>
      </c>
      <c r="M21" s="318">
        <v>2518.4586410000002</v>
      </c>
      <c r="N21" s="313">
        <v>24700</v>
      </c>
      <c r="O21" s="314" t="s">
        <v>536</v>
      </c>
      <c r="P21" s="318">
        <v>11607.63</v>
      </c>
      <c r="Q21" s="313">
        <v>18680</v>
      </c>
      <c r="R21" s="314" t="s">
        <v>532</v>
      </c>
      <c r="S21" s="318">
        <v>4814.2902000000004</v>
      </c>
      <c r="T21" s="313">
        <v>13670</v>
      </c>
      <c r="U21" s="314" t="s">
        <v>532</v>
      </c>
      <c r="V21" s="315">
        <v>192.986119</v>
      </c>
      <c r="W21" s="313">
        <v>990</v>
      </c>
      <c r="X21" s="314" t="s">
        <v>532</v>
      </c>
      <c r="Y21" s="315">
        <v>17.257235999999999</v>
      </c>
      <c r="Z21" s="313">
        <v>580</v>
      </c>
      <c r="AA21" s="314" t="s">
        <v>532</v>
      </c>
      <c r="AB21" s="320">
        <v>3.8181820000000002</v>
      </c>
      <c r="AF21" s="303"/>
      <c r="AG21" s="303"/>
      <c r="AH21" s="303"/>
      <c r="AI21" s="303"/>
      <c r="AJ21" s="303"/>
      <c r="AK21" s="303"/>
    </row>
    <row r="22" spans="1:37" s="302" customFormat="1" ht="12.95">
      <c r="A22" s="312" t="s">
        <v>548</v>
      </c>
      <c r="B22" s="313">
        <v>1570</v>
      </c>
      <c r="C22" s="314" t="s">
        <v>532</v>
      </c>
      <c r="D22" s="315">
        <v>53.406191</v>
      </c>
      <c r="E22" s="316">
        <v>357390</v>
      </c>
      <c r="F22" s="314" t="s">
        <v>532</v>
      </c>
      <c r="G22" s="317">
        <v>19292.965317999999</v>
      </c>
      <c r="H22" s="313">
        <v>316430</v>
      </c>
      <c r="I22" s="314" t="s">
        <v>532</v>
      </c>
      <c r="J22" s="318">
        <v>1698.282033</v>
      </c>
      <c r="K22" s="313">
        <v>317940</v>
      </c>
      <c r="L22" s="319" t="s">
        <v>532</v>
      </c>
      <c r="M22" s="318">
        <v>4262.572013</v>
      </c>
      <c r="N22" s="313">
        <v>312270</v>
      </c>
      <c r="O22" s="314" t="s">
        <v>532</v>
      </c>
      <c r="P22" s="318">
        <v>6638.32</v>
      </c>
      <c r="Q22" s="313">
        <v>289720</v>
      </c>
      <c r="R22" s="314" t="s">
        <v>532</v>
      </c>
      <c r="S22" s="318">
        <v>9237.0084439999991</v>
      </c>
      <c r="T22" s="313">
        <v>271030</v>
      </c>
      <c r="U22" s="314" t="s">
        <v>532</v>
      </c>
      <c r="V22" s="315">
        <v>1288.56548</v>
      </c>
      <c r="W22" s="313">
        <v>19150</v>
      </c>
      <c r="X22" s="314" t="s">
        <v>532</v>
      </c>
      <c r="Y22" s="315">
        <v>221.04373200000001</v>
      </c>
      <c r="Z22" s="313">
        <v>14500</v>
      </c>
      <c r="AA22" s="314" t="s">
        <v>532</v>
      </c>
      <c r="AB22" s="320">
        <v>49.433396999999999</v>
      </c>
      <c r="AF22" s="303"/>
      <c r="AG22" s="303"/>
      <c r="AH22" s="303"/>
      <c r="AI22" s="303"/>
      <c r="AJ22" s="303"/>
      <c r="AK22" s="303"/>
    </row>
    <row r="23" spans="1:37" s="302" customFormat="1" ht="12.95">
      <c r="A23" s="312" t="s">
        <v>549</v>
      </c>
      <c r="B23" s="313">
        <v>970</v>
      </c>
      <c r="C23" s="314" t="s">
        <v>532</v>
      </c>
      <c r="D23" s="315">
        <v>198.17457999999999</v>
      </c>
      <c r="E23" s="316">
        <v>129240</v>
      </c>
      <c r="F23" s="314" t="s">
        <v>532</v>
      </c>
      <c r="G23" s="317">
        <v>326.142292</v>
      </c>
      <c r="H23" s="313">
        <v>124500</v>
      </c>
      <c r="I23" s="314" t="s">
        <v>532</v>
      </c>
      <c r="J23" s="318">
        <v>454.92503399999998</v>
      </c>
      <c r="K23" s="313">
        <v>139370</v>
      </c>
      <c r="L23" s="319" t="s">
        <v>532</v>
      </c>
      <c r="M23" s="318">
        <v>17869.778804000001</v>
      </c>
      <c r="N23" s="313">
        <v>119910</v>
      </c>
      <c r="O23" s="314" t="s">
        <v>532</v>
      </c>
      <c r="P23" s="318">
        <v>2283.5230000000001</v>
      </c>
      <c r="Q23" s="313">
        <v>120770</v>
      </c>
      <c r="R23" s="314" t="s">
        <v>532</v>
      </c>
      <c r="S23" s="318">
        <v>5918.830481</v>
      </c>
      <c r="T23" s="313">
        <v>129120</v>
      </c>
      <c r="U23" s="314" t="s">
        <v>532</v>
      </c>
      <c r="V23" s="315">
        <v>12176.65445</v>
      </c>
      <c r="W23" s="313">
        <v>8900</v>
      </c>
      <c r="X23" s="314" t="s">
        <v>532</v>
      </c>
      <c r="Y23" s="315">
        <v>994.901746</v>
      </c>
      <c r="Z23" s="313">
        <v>5620</v>
      </c>
      <c r="AA23" s="314" t="s">
        <v>532</v>
      </c>
      <c r="AB23" s="320">
        <v>374.12401899999998</v>
      </c>
      <c r="AF23" s="303"/>
      <c r="AG23" s="303"/>
      <c r="AH23" s="303"/>
      <c r="AI23" s="303"/>
      <c r="AJ23" s="303"/>
      <c r="AK23" s="303"/>
    </row>
    <row r="24" spans="1:37" s="302" customFormat="1" ht="12.95">
      <c r="A24" s="324"/>
      <c r="C24" s="314"/>
      <c r="D24" s="315"/>
      <c r="E24" s="316"/>
      <c r="F24" s="314"/>
      <c r="G24" s="325"/>
      <c r="H24" s="313"/>
      <c r="I24" s="314"/>
      <c r="J24" s="318"/>
      <c r="K24" s="313"/>
      <c r="L24" s="319"/>
      <c r="M24" s="318"/>
      <c r="O24" s="314"/>
      <c r="P24" s="318"/>
      <c r="R24" s="314"/>
      <c r="S24" s="318"/>
      <c r="U24" s="314"/>
      <c r="V24" s="315"/>
      <c r="X24" s="314"/>
      <c r="Y24" s="315"/>
      <c r="AA24" s="314"/>
      <c r="AB24" s="320"/>
      <c r="AF24" s="303"/>
      <c r="AG24" s="303"/>
      <c r="AH24" s="303"/>
      <c r="AI24" s="303"/>
      <c r="AJ24" s="303"/>
      <c r="AK24" s="303"/>
    </row>
    <row r="25" spans="1:37" s="302" customFormat="1" ht="12.95">
      <c r="A25" s="312" t="s">
        <v>550</v>
      </c>
      <c r="B25" s="313">
        <v>300</v>
      </c>
      <c r="C25" s="314" t="s">
        <v>532</v>
      </c>
      <c r="D25" s="315">
        <v>50.523347999999999</v>
      </c>
      <c r="E25" s="316">
        <v>51540</v>
      </c>
      <c r="F25" s="314" t="s">
        <v>532</v>
      </c>
      <c r="G25" s="321" t="s">
        <v>534</v>
      </c>
      <c r="H25" s="313">
        <v>53850</v>
      </c>
      <c r="I25" s="314" t="s">
        <v>532</v>
      </c>
      <c r="J25" s="318">
        <v>4634.3590279999999</v>
      </c>
      <c r="K25" s="313">
        <v>60960</v>
      </c>
      <c r="L25" s="319" t="s">
        <v>532</v>
      </c>
      <c r="M25" s="318">
        <v>8310.8595619999996</v>
      </c>
      <c r="N25" s="313">
        <v>47820</v>
      </c>
      <c r="O25" s="314" t="s">
        <v>532</v>
      </c>
      <c r="P25" s="321" t="s">
        <v>534</v>
      </c>
      <c r="Q25" s="313">
        <v>45160</v>
      </c>
      <c r="R25" s="314" t="s">
        <v>532</v>
      </c>
      <c r="S25" s="321" t="s">
        <v>534</v>
      </c>
      <c r="T25" s="313">
        <v>63840</v>
      </c>
      <c r="U25" s="314" t="s">
        <v>532</v>
      </c>
      <c r="V25" s="315">
        <v>14664.722588000001</v>
      </c>
      <c r="W25" s="313">
        <v>4700</v>
      </c>
      <c r="X25" s="314" t="s">
        <v>532</v>
      </c>
      <c r="Y25" s="315">
        <v>1078.238554</v>
      </c>
      <c r="Z25" s="316" t="s">
        <v>131</v>
      </c>
      <c r="AA25" s="314"/>
      <c r="AB25" s="320" t="s">
        <v>551</v>
      </c>
      <c r="AF25" s="303"/>
      <c r="AG25" s="303"/>
      <c r="AH25" s="303"/>
      <c r="AI25" s="303"/>
      <c r="AJ25" s="303"/>
      <c r="AK25" s="303"/>
    </row>
    <row r="26" spans="1:37" s="302" customFormat="1" ht="12.95">
      <c r="A26" s="312" t="s">
        <v>552</v>
      </c>
      <c r="B26" s="313">
        <v>400</v>
      </c>
      <c r="C26" s="314" t="s">
        <v>536</v>
      </c>
      <c r="D26" s="315">
        <v>193.210013</v>
      </c>
      <c r="E26" s="316">
        <v>51540</v>
      </c>
      <c r="F26" s="314" t="s">
        <v>532</v>
      </c>
      <c r="G26" s="317">
        <v>8341.1041710000009</v>
      </c>
      <c r="H26" s="313">
        <v>47710</v>
      </c>
      <c r="I26" s="314" t="s">
        <v>532</v>
      </c>
      <c r="J26" s="318">
        <v>2151.253706</v>
      </c>
      <c r="K26" s="313">
        <v>47130</v>
      </c>
      <c r="L26" s="319" t="s">
        <v>532</v>
      </c>
      <c r="M26" s="318">
        <v>1654.342451</v>
      </c>
      <c r="N26" s="313">
        <v>47780</v>
      </c>
      <c r="O26" s="314" t="s">
        <v>532</v>
      </c>
      <c r="P26" s="318">
        <v>2413.5340000000001</v>
      </c>
      <c r="Q26" s="313">
        <v>44680</v>
      </c>
      <c r="R26" s="314" t="s">
        <v>532</v>
      </c>
      <c r="S26" s="318">
        <v>1667.9399699999999</v>
      </c>
      <c r="T26" s="313">
        <v>43100</v>
      </c>
      <c r="U26" s="314" t="s">
        <v>532</v>
      </c>
      <c r="V26" s="315">
        <v>1639.782704</v>
      </c>
      <c r="W26" s="313">
        <v>3530</v>
      </c>
      <c r="X26" s="314" t="s">
        <v>532</v>
      </c>
      <c r="Y26" s="315">
        <v>445.85622100000001</v>
      </c>
      <c r="Z26" s="313">
        <v>2260</v>
      </c>
      <c r="AA26" s="314" t="s">
        <v>532</v>
      </c>
      <c r="AB26" s="320" t="s">
        <v>534</v>
      </c>
      <c r="AF26" s="303"/>
      <c r="AG26" s="303"/>
      <c r="AH26" s="303"/>
      <c r="AI26" s="303"/>
      <c r="AJ26" s="303"/>
      <c r="AK26" s="303"/>
    </row>
    <row r="27" spans="1:37" s="302" customFormat="1" ht="12.95">
      <c r="A27" s="312" t="s">
        <v>553</v>
      </c>
      <c r="B27" s="313">
        <v>330</v>
      </c>
      <c r="C27" s="314" t="s">
        <v>532</v>
      </c>
      <c r="D27" s="315">
        <v>1</v>
      </c>
      <c r="E27" s="316">
        <v>85230</v>
      </c>
      <c r="F27" s="314" t="s">
        <v>532</v>
      </c>
      <c r="G27" s="317">
        <v>3226.5575669999998</v>
      </c>
      <c r="H27" s="313">
        <v>82100</v>
      </c>
      <c r="I27" s="314" t="s">
        <v>532</v>
      </c>
      <c r="J27" s="318">
        <v>1524.862392</v>
      </c>
      <c r="K27" s="313">
        <v>78880</v>
      </c>
      <c r="L27" s="319" t="s">
        <v>532</v>
      </c>
      <c r="M27" s="318">
        <v>1227.738893</v>
      </c>
      <c r="N27" s="313">
        <v>76140</v>
      </c>
      <c r="O27" s="314" t="s">
        <v>532</v>
      </c>
      <c r="P27" s="318">
        <v>2073.5479999999998</v>
      </c>
      <c r="Q27" s="313">
        <v>70590</v>
      </c>
      <c r="R27" s="314" t="s">
        <v>532</v>
      </c>
      <c r="S27" s="318">
        <v>2132.221618</v>
      </c>
      <c r="T27" s="313">
        <v>69410</v>
      </c>
      <c r="U27" s="314" t="s">
        <v>532</v>
      </c>
      <c r="V27" s="315">
        <v>12</v>
      </c>
      <c r="W27" s="313">
        <v>5240</v>
      </c>
      <c r="X27" s="314" t="s">
        <v>532</v>
      </c>
      <c r="Y27" s="315">
        <v>1</v>
      </c>
      <c r="Z27" s="313">
        <v>4130</v>
      </c>
      <c r="AA27" s="314" t="s">
        <v>532</v>
      </c>
      <c r="AB27" s="320" t="s">
        <v>534</v>
      </c>
      <c r="AF27" s="303"/>
      <c r="AG27" s="303"/>
      <c r="AH27" s="303"/>
      <c r="AI27" s="303"/>
      <c r="AJ27" s="303"/>
      <c r="AK27" s="303"/>
    </row>
    <row r="28" spans="1:37" s="302" customFormat="1" ht="12.95">
      <c r="A28" s="312" t="s">
        <v>554</v>
      </c>
      <c r="B28" s="313">
        <v>390</v>
      </c>
      <c r="C28" s="314" t="s">
        <v>532</v>
      </c>
      <c r="D28" s="315">
        <v>2.0476190000000001</v>
      </c>
      <c r="E28" s="316">
        <v>159910</v>
      </c>
      <c r="F28" s="314" t="s">
        <v>532</v>
      </c>
      <c r="G28" s="317">
        <v>11381.249328</v>
      </c>
      <c r="H28" s="313">
        <v>155780</v>
      </c>
      <c r="I28" s="314" t="s">
        <v>532</v>
      </c>
      <c r="J28" s="318">
        <v>3515.021585</v>
      </c>
      <c r="K28" s="313">
        <v>138270</v>
      </c>
      <c r="L28" s="319" t="s">
        <v>532</v>
      </c>
      <c r="M28" s="318">
        <v>525.02314100000001</v>
      </c>
      <c r="N28" s="313">
        <v>137460</v>
      </c>
      <c r="O28" s="314" t="s">
        <v>532</v>
      </c>
      <c r="P28" s="321" t="s">
        <v>534</v>
      </c>
      <c r="Q28" s="313">
        <v>147040</v>
      </c>
      <c r="R28" s="314" t="s">
        <v>532</v>
      </c>
      <c r="S28" s="318">
        <v>9890.1177690000004</v>
      </c>
      <c r="T28" s="313">
        <v>125720</v>
      </c>
      <c r="U28" s="314" t="s">
        <v>532</v>
      </c>
      <c r="V28" s="315">
        <v>107.85714299999999</v>
      </c>
      <c r="W28" s="313">
        <v>8830</v>
      </c>
      <c r="X28" s="314" t="s">
        <v>532</v>
      </c>
      <c r="Y28" s="315">
        <v>4.5619050000000003</v>
      </c>
      <c r="Z28" s="313">
        <v>7510</v>
      </c>
      <c r="AA28" s="314" t="s">
        <v>532</v>
      </c>
      <c r="AB28" s="320" t="s">
        <v>534</v>
      </c>
      <c r="AF28" s="303"/>
      <c r="AG28" s="303"/>
      <c r="AH28" s="303"/>
      <c r="AI28" s="303"/>
      <c r="AJ28" s="303"/>
      <c r="AK28" s="303"/>
    </row>
    <row r="29" spans="1:37" s="302" customFormat="1" ht="12.95">
      <c r="A29" s="312" t="s">
        <v>555</v>
      </c>
      <c r="B29" s="313">
        <v>160</v>
      </c>
      <c r="C29" s="314" t="s">
        <v>532</v>
      </c>
      <c r="D29" s="315" t="s">
        <v>534</v>
      </c>
      <c r="E29" s="316">
        <v>20820</v>
      </c>
      <c r="F29" s="314" t="s">
        <v>532</v>
      </c>
      <c r="G29" s="317">
        <v>173.61126400000001</v>
      </c>
      <c r="H29" s="313">
        <v>24740</v>
      </c>
      <c r="I29" s="314" t="s">
        <v>532</v>
      </c>
      <c r="J29" s="318">
        <v>3628.9463930000002</v>
      </c>
      <c r="K29" s="313">
        <v>20680</v>
      </c>
      <c r="L29" s="319" t="s">
        <v>532</v>
      </c>
      <c r="M29" s="318">
        <v>337.033796</v>
      </c>
      <c r="N29" s="313">
        <v>21260</v>
      </c>
      <c r="O29" s="314" t="s">
        <v>532</v>
      </c>
      <c r="P29" s="318">
        <v>143.25960000000001</v>
      </c>
      <c r="Q29" s="313">
        <v>18310</v>
      </c>
      <c r="R29" s="314" t="s">
        <v>532</v>
      </c>
      <c r="S29" s="321" t="s">
        <v>534</v>
      </c>
      <c r="T29" s="313">
        <v>18350</v>
      </c>
      <c r="U29" s="314" t="s">
        <v>532</v>
      </c>
      <c r="V29" s="315" t="s">
        <v>534</v>
      </c>
      <c r="W29" s="313">
        <v>2000</v>
      </c>
      <c r="X29" s="314" t="s">
        <v>532</v>
      </c>
      <c r="Y29" s="315" t="s">
        <v>534</v>
      </c>
      <c r="Z29" s="313">
        <v>2600</v>
      </c>
      <c r="AA29" s="314" t="s">
        <v>532</v>
      </c>
      <c r="AB29" s="320" t="s">
        <v>534</v>
      </c>
      <c r="AF29" s="303"/>
      <c r="AG29" s="303"/>
      <c r="AH29" s="303"/>
      <c r="AI29" s="303"/>
      <c r="AJ29" s="303"/>
      <c r="AK29" s="303"/>
    </row>
    <row r="30" spans="1:37" s="302" customFormat="1" ht="12.95">
      <c r="A30" s="324"/>
      <c r="C30" s="314"/>
      <c r="D30" s="315"/>
      <c r="E30" s="316"/>
      <c r="F30" s="314"/>
      <c r="G30" s="325"/>
      <c r="H30" s="313"/>
      <c r="I30" s="314"/>
      <c r="J30" s="318"/>
      <c r="K30" s="313"/>
      <c r="L30" s="319"/>
      <c r="M30" s="318"/>
      <c r="O30" s="314"/>
      <c r="P30" s="318"/>
      <c r="R30" s="314"/>
      <c r="S30" s="318"/>
      <c r="U30" s="314"/>
      <c r="V30" s="315"/>
      <c r="X30" s="314"/>
      <c r="Y30" s="315"/>
      <c r="AA30" s="314"/>
      <c r="AB30" s="320"/>
      <c r="AF30" s="303"/>
      <c r="AG30" s="303"/>
      <c r="AH30" s="303"/>
      <c r="AI30" s="303"/>
      <c r="AJ30" s="303"/>
      <c r="AK30" s="303"/>
    </row>
    <row r="31" spans="1:37" s="302" customFormat="1" ht="12.95">
      <c r="A31" s="312" t="s">
        <v>556</v>
      </c>
      <c r="B31" s="313">
        <v>740</v>
      </c>
      <c r="C31" s="314" t="s">
        <v>532</v>
      </c>
      <c r="D31" s="315">
        <v>8.2350919999999999</v>
      </c>
      <c r="E31" s="316">
        <v>175740</v>
      </c>
      <c r="F31" s="314" t="s">
        <v>532</v>
      </c>
      <c r="G31" s="321" t="s">
        <v>534</v>
      </c>
      <c r="H31" s="313">
        <v>172360</v>
      </c>
      <c r="I31" s="314" t="s">
        <v>532</v>
      </c>
      <c r="J31" s="321" t="s">
        <v>534</v>
      </c>
      <c r="K31" s="313">
        <v>170350</v>
      </c>
      <c r="L31" s="319" t="s">
        <v>532</v>
      </c>
      <c r="M31" s="318">
        <v>4201.2907750000004</v>
      </c>
      <c r="N31" s="313">
        <v>165760</v>
      </c>
      <c r="O31" s="314" t="s">
        <v>532</v>
      </c>
      <c r="P31" s="318">
        <v>1160.0730000000001</v>
      </c>
      <c r="Q31" s="313">
        <v>145690</v>
      </c>
      <c r="R31" s="314" t="s">
        <v>532</v>
      </c>
      <c r="S31" s="318">
        <v>160.07524900000001</v>
      </c>
      <c r="T31" s="313">
        <v>137450</v>
      </c>
      <c r="U31" s="314" t="s">
        <v>532</v>
      </c>
      <c r="V31" s="315">
        <v>564.17792199999997</v>
      </c>
      <c r="W31" s="313">
        <v>12430</v>
      </c>
      <c r="X31" s="314" t="s">
        <v>532</v>
      </c>
      <c r="Y31" s="315">
        <v>42.185296000000001</v>
      </c>
      <c r="Z31" s="313">
        <v>8830</v>
      </c>
      <c r="AA31" s="314" t="s">
        <v>532</v>
      </c>
      <c r="AB31" s="320" t="s">
        <v>534</v>
      </c>
      <c r="AF31" s="303"/>
      <c r="AG31" s="303"/>
      <c r="AH31" s="303"/>
      <c r="AI31" s="303"/>
      <c r="AJ31" s="303"/>
      <c r="AK31" s="303"/>
    </row>
    <row r="32" spans="1:37" s="302" customFormat="1" ht="12.95">
      <c r="A32" s="312" t="s">
        <v>557</v>
      </c>
      <c r="B32" s="313">
        <v>800</v>
      </c>
      <c r="C32" s="314" t="s">
        <v>532</v>
      </c>
      <c r="D32" s="315">
        <v>43.551419000000003</v>
      </c>
      <c r="E32" s="316">
        <v>177490</v>
      </c>
      <c r="F32" s="314" t="s">
        <v>532</v>
      </c>
      <c r="G32" s="317">
        <v>9836.0913579999997</v>
      </c>
      <c r="H32" s="313">
        <v>164390</v>
      </c>
      <c r="I32" s="314" t="s">
        <v>532</v>
      </c>
      <c r="J32" s="318">
        <v>6636.4225180000003</v>
      </c>
      <c r="K32" s="313">
        <v>157770</v>
      </c>
      <c r="L32" s="319" t="s">
        <v>532</v>
      </c>
      <c r="M32" s="318">
        <v>3272.9259470000002</v>
      </c>
      <c r="N32" s="313">
        <v>151640</v>
      </c>
      <c r="O32" s="314" t="s">
        <v>532</v>
      </c>
      <c r="P32" s="318">
        <v>2515.681</v>
      </c>
      <c r="Q32" s="313">
        <v>137110</v>
      </c>
      <c r="R32" s="314" t="s">
        <v>532</v>
      </c>
      <c r="S32" s="318">
        <v>1168.5421200000001</v>
      </c>
      <c r="T32" s="313">
        <v>130940</v>
      </c>
      <c r="U32" s="314" t="s">
        <v>532</v>
      </c>
      <c r="V32" s="315">
        <v>1596.453362</v>
      </c>
      <c r="W32" s="313">
        <v>14060</v>
      </c>
      <c r="X32" s="314" t="s">
        <v>532</v>
      </c>
      <c r="Y32" s="315">
        <v>322.786722</v>
      </c>
      <c r="Z32" s="313">
        <v>10130</v>
      </c>
      <c r="AA32" s="314" t="s">
        <v>532</v>
      </c>
      <c r="AB32" s="320" t="s">
        <v>534</v>
      </c>
      <c r="AF32" s="303"/>
      <c r="AG32" s="303"/>
      <c r="AH32" s="303"/>
      <c r="AI32" s="303"/>
      <c r="AJ32" s="303"/>
      <c r="AK32" s="303"/>
    </row>
    <row r="33" spans="1:37" s="302" customFormat="1" ht="12.95">
      <c r="A33" s="312" t="s">
        <v>558</v>
      </c>
      <c r="B33" s="313">
        <v>790</v>
      </c>
      <c r="C33" s="314" t="s">
        <v>532</v>
      </c>
      <c r="D33" s="315">
        <v>6.9805200000000003</v>
      </c>
      <c r="E33" s="316">
        <v>198380</v>
      </c>
      <c r="F33" s="314" t="s">
        <v>532</v>
      </c>
      <c r="G33" s="321" t="s">
        <v>534</v>
      </c>
      <c r="H33" s="313">
        <v>180080</v>
      </c>
      <c r="I33" s="314" t="s">
        <v>532</v>
      </c>
      <c r="J33" s="321" t="s">
        <v>534</v>
      </c>
      <c r="K33" s="313">
        <v>166950</v>
      </c>
      <c r="L33" s="319" t="s">
        <v>532</v>
      </c>
      <c r="M33" s="318">
        <v>407.082785</v>
      </c>
      <c r="N33" s="313">
        <v>159100</v>
      </c>
      <c r="O33" s="314" t="s">
        <v>532</v>
      </c>
      <c r="P33" s="318">
        <v>2047.4849999999999</v>
      </c>
      <c r="Q33" s="313">
        <v>153230</v>
      </c>
      <c r="R33" s="314" t="s">
        <v>532</v>
      </c>
      <c r="S33" s="318">
        <v>5827.9807700000001</v>
      </c>
      <c r="T33" s="313">
        <v>135580</v>
      </c>
      <c r="U33" s="314" t="s">
        <v>532</v>
      </c>
      <c r="V33" s="315">
        <v>544.48053900000002</v>
      </c>
      <c r="W33" s="313">
        <v>9290</v>
      </c>
      <c r="X33" s="314" t="s">
        <v>532</v>
      </c>
      <c r="Y33" s="315">
        <v>51.655845999999997</v>
      </c>
      <c r="Z33" s="313">
        <v>7290</v>
      </c>
      <c r="AA33" s="314" t="s">
        <v>532</v>
      </c>
      <c r="AB33" s="320" t="s">
        <v>534</v>
      </c>
      <c r="AF33" s="303"/>
      <c r="AG33" s="303"/>
      <c r="AH33" s="303"/>
      <c r="AI33" s="303"/>
      <c r="AJ33" s="303"/>
      <c r="AK33" s="303"/>
    </row>
    <row r="34" spans="1:37" s="302" customFormat="1" ht="12.95">
      <c r="A34" s="312" t="s">
        <v>559</v>
      </c>
      <c r="B34" s="313">
        <v>500</v>
      </c>
      <c r="C34" s="314" t="s">
        <v>532</v>
      </c>
      <c r="D34" s="315" t="s">
        <v>534</v>
      </c>
      <c r="E34" s="316">
        <v>112310</v>
      </c>
      <c r="F34" s="314" t="s">
        <v>532</v>
      </c>
      <c r="G34" s="317">
        <v>2992.7795649999998</v>
      </c>
      <c r="H34" s="313">
        <v>106010</v>
      </c>
      <c r="I34" s="314" t="s">
        <v>532</v>
      </c>
      <c r="J34" s="318">
        <v>3010.5150010000002</v>
      </c>
      <c r="K34" s="313">
        <v>104730</v>
      </c>
      <c r="L34" s="319" t="s">
        <v>532</v>
      </c>
      <c r="M34" s="318">
        <v>3467.3937820000001</v>
      </c>
      <c r="N34" s="313">
        <v>101740</v>
      </c>
      <c r="O34" s="314" t="s">
        <v>532</v>
      </c>
      <c r="P34" s="318">
        <v>3902.53</v>
      </c>
      <c r="Q34" s="313">
        <v>89530</v>
      </c>
      <c r="R34" s="314" t="s">
        <v>532</v>
      </c>
      <c r="S34" s="321" t="s">
        <v>534</v>
      </c>
      <c r="T34" s="313">
        <v>87620</v>
      </c>
      <c r="U34" s="314" t="s">
        <v>532</v>
      </c>
      <c r="V34" s="315" t="s">
        <v>534</v>
      </c>
      <c r="W34" s="313">
        <v>6420</v>
      </c>
      <c r="X34" s="314" t="s">
        <v>532</v>
      </c>
      <c r="Y34" s="315" t="s">
        <v>534</v>
      </c>
      <c r="Z34" s="313">
        <v>4710</v>
      </c>
      <c r="AA34" s="314" t="s">
        <v>532</v>
      </c>
      <c r="AB34" s="320" t="s">
        <v>534</v>
      </c>
      <c r="AF34" s="303"/>
      <c r="AG34" s="303"/>
      <c r="AH34" s="303"/>
      <c r="AI34" s="303"/>
      <c r="AJ34" s="303"/>
      <c r="AK34" s="303"/>
    </row>
    <row r="35" spans="1:37" s="302" customFormat="1" ht="12.95">
      <c r="A35" s="312" t="s">
        <v>560</v>
      </c>
      <c r="B35" s="313">
        <v>220</v>
      </c>
      <c r="C35" s="314" t="s">
        <v>532</v>
      </c>
      <c r="D35" s="315" t="s">
        <v>534</v>
      </c>
      <c r="E35" s="316">
        <v>67380</v>
      </c>
      <c r="F35" s="314" t="s">
        <v>532</v>
      </c>
      <c r="G35" s="317">
        <v>10106.207284</v>
      </c>
      <c r="H35" s="313">
        <v>57110</v>
      </c>
      <c r="I35" s="314" t="s">
        <v>532</v>
      </c>
      <c r="J35" s="318">
        <v>2981.0128549999999</v>
      </c>
      <c r="K35" s="313">
        <v>57930</v>
      </c>
      <c r="L35" s="319" t="s">
        <v>532</v>
      </c>
      <c r="M35" s="318">
        <v>4104.2479670000002</v>
      </c>
      <c r="N35" s="313">
        <v>55270</v>
      </c>
      <c r="O35" s="314" t="s">
        <v>532</v>
      </c>
      <c r="P35" s="321" t="s">
        <v>534</v>
      </c>
      <c r="Q35" s="313">
        <v>54650</v>
      </c>
      <c r="R35" s="314" t="s">
        <v>532</v>
      </c>
      <c r="S35" s="318">
        <v>2458.2276959999999</v>
      </c>
      <c r="T35" s="313">
        <v>52060</v>
      </c>
      <c r="U35" s="314" t="s">
        <v>532</v>
      </c>
      <c r="V35" s="315" t="s">
        <v>534</v>
      </c>
      <c r="W35" s="313">
        <v>4120</v>
      </c>
      <c r="X35" s="314" t="s">
        <v>532</v>
      </c>
      <c r="Y35" s="315" t="s">
        <v>534</v>
      </c>
      <c r="Z35" s="313">
        <v>3250</v>
      </c>
      <c r="AA35" s="314" t="s">
        <v>532</v>
      </c>
      <c r="AB35" s="320" t="s">
        <v>534</v>
      </c>
      <c r="AF35" s="303"/>
      <c r="AG35" s="303"/>
      <c r="AH35" s="303"/>
      <c r="AI35" s="303"/>
      <c r="AJ35" s="303"/>
      <c r="AK35" s="303"/>
    </row>
    <row r="36" spans="1:37" s="302" customFormat="1" ht="12.95">
      <c r="A36" s="324"/>
      <c r="C36" s="314"/>
      <c r="D36" s="315"/>
      <c r="E36" s="316"/>
      <c r="F36" s="314"/>
      <c r="G36" s="325"/>
      <c r="H36" s="313"/>
      <c r="I36" s="314"/>
      <c r="J36" s="318"/>
      <c r="K36" s="313"/>
      <c r="L36" s="319"/>
      <c r="M36" s="318"/>
      <c r="O36" s="314"/>
      <c r="P36" s="318"/>
      <c r="R36" s="314"/>
      <c r="S36" s="318"/>
      <c r="U36" s="314"/>
      <c r="V36" s="315"/>
      <c r="X36" s="314"/>
      <c r="Y36" s="315"/>
      <c r="AA36" s="314"/>
      <c r="AB36" s="320"/>
      <c r="AF36" s="303"/>
      <c r="AG36" s="303"/>
      <c r="AH36" s="303"/>
      <c r="AI36" s="303"/>
      <c r="AJ36" s="303"/>
      <c r="AK36" s="303"/>
    </row>
    <row r="37" spans="1:37" s="302" customFormat="1" ht="12.95">
      <c r="A37" s="312" t="s">
        <v>561</v>
      </c>
      <c r="B37" s="313">
        <v>1270</v>
      </c>
      <c r="C37" s="314" t="s">
        <v>536</v>
      </c>
      <c r="D37" s="315">
        <v>467.681894</v>
      </c>
      <c r="E37" s="316">
        <v>138140</v>
      </c>
      <c r="F37" s="314" t="s">
        <v>532</v>
      </c>
      <c r="G37" s="317">
        <v>4320.6895290000002</v>
      </c>
      <c r="H37" s="313">
        <v>141530</v>
      </c>
      <c r="I37" s="314" t="s">
        <v>532</v>
      </c>
      <c r="J37" s="318">
        <v>9965.9793489999993</v>
      </c>
      <c r="K37" s="313">
        <v>137810</v>
      </c>
      <c r="L37" s="319" t="s">
        <v>532</v>
      </c>
      <c r="M37" s="318">
        <v>10580.441476</v>
      </c>
      <c r="N37" s="313">
        <v>125610</v>
      </c>
      <c r="O37" s="314" t="s">
        <v>532</v>
      </c>
      <c r="P37" s="318">
        <v>3684.752</v>
      </c>
      <c r="Q37" s="313">
        <v>117970</v>
      </c>
      <c r="R37" s="314" t="s">
        <v>532</v>
      </c>
      <c r="S37" s="318">
        <v>2065.4897040000001</v>
      </c>
      <c r="T37" s="313">
        <v>130130</v>
      </c>
      <c r="U37" s="314" t="s">
        <v>532</v>
      </c>
      <c r="V37" s="315">
        <v>8714.5788049999992</v>
      </c>
      <c r="W37" s="313">
        <v>10510</v>
      </c>
      <c r="X37" s="314" t="s">
        <v>532</v>
      </c>
      <c r="Y37" s="315">
        <v>950.67710899999997</v>
      </c>
      <c r="Z37" s="313">
        <v>7530</v>
      </c>
      <c r="AA37" s="314" t="s">
        <v>532</v>
      </c>
      <c r="AB37" s="320">
        <v>88.793377000000007</v>
      </c>
      <c r="AF37" s="303"/>
      <c r="AG37" s="303"/>
      <c r="AH37" s="303"/>
      <c r="AI37" s="303"/>
      <c r="AJ37" s="303"/>
      <c r="AK37" s="303"/>
    </row>
    <row r="38" spans="1:37" s="302" customFormat="1" ht="12.95">
      <c r="A38" s="312" t="s">
        <v>562</v>
      </c>
      <c r="B38" s="313">
        <v>110</v>
      </c>
      <c r="C38" s="314" t="s">
        <v>532</v>
      </c>
      <c r="D38" s="315" t="s">
        <v>534</v>
      </c>
      <c r="E38" s="316">
        <v>12930</v>
      </c>
      <c r="F38" s="314" t="s">
        <v>532</v>
      </c>
      <c r="G38" s="317">
        <v>1895.2967530000001</v>
      </c>
      <c r="H38" s="313">
        <v>12510</v>
      </c>
      <c r="I38" s="314" t="s">
        <v>532</v>
      </c>
      <c r="J38" s="318">
        <v>2091.2855199999999</v>
      </c>
      <c r="K38" s="316" t="s">
        <v>131</v>
      </c>
      <c r="L38" s="319" t="e">
        <v>#DIV/0!</v>
      </c>
      <c r="M38" s="320" t="s">
        <v>551</v>
      </c>
      <c r="N38" s="313">
        <v>15030</v>
      </c>
      <c r="O38" s="314" t="s">
        <v>536</v>
      </c>
      <c r="P38" s="318">
        <v>5464.5839999999998</v>
      </c>
      <c r="Q38" s="313">
        <v>10390</v>
      </c>
      <c r="R38" s="314" t="s">
        <v>532</v>
      </c>
      <c r="S38" s="318">
        <v>1220.9812360000001</v>
      </c>
      <c r="T38" s="313">
        <v>10550</v>
      </c>
      <c r="U38" s="314" t="s">
        <v>532</v>
      </c>
      <c r="V38" s="315" t="s">
        <v>534</v>
      </c>
      <c r="W38" s="313">
        <v>980</v>
      </c>
      <c r="X38" s="314" t="s">
        <v>532</v>
      </c>
      <c r="Y38" s="315" t="s">
        <v>534</v>
      </c>
      <c r="Z38" s="313">
        <v>430</v>
      </c>
      <c r="AA38" s="314" t="s">
        <v>532</v>
      </c>
      <c r="AB38" s="320" t="s">
        <v>534</v>
      </c>
      <c r="AC38" s="326"/>
      <c r="AF38" s="303"/>
      <c r="AG38" s="303"/>
      <c r="AH38" s="303"/>
      <c r="AI38" s="303"/>
      <c r="AJ38" s="303"/>
      <c r="AK38" s="303"/>
    </row>
    <row r="39" spans="1:37" s="302" customFormat="1" ht="12.95">
      <c r="A39" s="312" t="s">
        <v>563</v>
      </c>
      <c r="B39" s="313">
        <v>220</v>
      </c>
      <c r="C39" s="314" t="s">
        <v>532</v>
      </c>
      <c r="D39" s="315" t="s">
        <v>534</v>
      </c>
      <c r="E39" s="316">
        <v>45590</v>
      </c>
      <c r="F39" s="314" t="s">
        <v>532</v>
      </c>
      <c r="G39" s="317">
        <v>618.26457000000005</v>
      </c>
      <c r="H39" s="313">
        <v>41650</v>
      </c>
      <c r="I39" s="314" t="s">
        <v>532</v>
      </c>
      <c r="J39" s="321" t="s">
        <v>534</v>
      </c>
      <c r="K39" s="313">
        <v>42420</v>
      </c>
      <c r="L39" s="319" t="s">
        <v>532</v>
      </c>
      <c r="M39" s="322" t="s">
        <v>534</v>
      </c>
      <c r="N39" s="313">
        <v>40320</v>
      </c>
      <c r="O39" s="314" t="s">
        <v>532</v>
      </c>
      <c r="P39" s="321" t="s">
        <v>534</v>
      </c>
      <c r="Q39" s="313">
        <v>39040</v>
      </c>
      <c r="R39" s="314" t="s">
        <v>532</v>
      </c>
      <c r="S39" s="321" t="s">
        <v>534</v>
      </c>
      <c r="T39" s="313">
        <v>40750</v>
      </c>
      <c r="U39" s="314" t="s">
        <v>532</v>
      </c>
      <c r="V39" s="315" t="s">
        <v>534</v>
      </c>
      <c r="W39" s="313">
        <v>2840</v>
      </c>
      <c r="X39" s="314" t="s">
        <v>532</v>
      </c>
      <c r="Y39" s="315" t="s">
        <v>534</v>
      </c>
      <c r="Z39" s="313">
        <v>2300</v>
      </c>
      <c r="AA39" s="314" t="s">
        <v>532</v>
      </c>
      <c r="AB39" s="320" t="s">
        <v>534</v>
      </c>
      <c r="AF39" s="303"/>
      <c r="AG39" s="303"/>
      <c r="AH39" s="303"/>
      <c r="AI39" s="303"/>
      <c r="AJ39" s="303"/>
      <c r="AK39" s="303"/>
    </row>
    <row r="40" spans="1:37" s="302" customFormat="1" ht="12.95">
      <c r="A40" s="312" t="s">
        <v>564</v>
      </c>
      <c r="B40" s="313">
        <v>160</v>
      </c>
      <c r="C40" s="314" t="s">
        <v>532</v>
      </c>
      <c r="D40" s="315" t="s">
        <v>534</v>
      </c>
      <c r="E40" s="316">
        <v>20370</v>
      </c>
      <c r="F40" s="314" t="s">
        <v>532</v>
      </c>
      <c r="G40" s="317">
        <v>384.505875</v>
      </c>
      <c r="H40" s="313">
        <v>23930</v>
      </c>
      <c r="I40" s="314" t="s">
        <v>532</v>
      </c>
      <c r="J40" s="321" t="s">
        <v>534</v>
      </c>
      <c r="K40" s="313">
        <v>29120</v>
      </c>
      <c r="L40" s="319" t="s">
        <v>532</v>
      </c>
      <c r="M40" s="322" t="s">
        <v>534</v>
      </c>
      <c r="N40" s="313">
        <v>29820</v>
      </c>
      <c r="O40" s="314" t="s">
        <v>532</v>
      </c>
      <c r="P40" s="318">
        <v>2008.954</v>
      </c>
      <c r="Q40" s="313">
        <v>25060</v>
      </c>
      <c r="R40" s="314" t="s">
        <v>532</v>
      </c>
      <c r="S40" s="321" t="s">
        <v>534</v>
      </c>
      <c r="T40" s="313">
        <v>26130</v>
      </c>
      <c r="U40" s="314" t="s">
        <v>532</v>
      </c>
      <c r="V40" s="315" t="s">
        <v>534</v>
      </c>
      <c r="W40" s="313">
        <v>1590</v>
      </c>
      <c r="X40" s="314" t="s">
        <v>532</v>
      </c>
      <c r="Y40" s="315" t="s">
        <v>534</v>
      </c>
      <c r="Z40" s="313">
        <v>900</v>
      </c>
      <c r="AA40" s="314" t="s">
        <v>532</v>
      </c>
      <c r="AB40" s="320" t="s">
        <v>534</v>
      </c>
      <c r="AF40" s="303"/>
      <c r="AG40" s="303"/>
      <c r="AH40" s="303"/>
      <c r="AI40" s="303"/>
      <c r="AJ40" s="303"/>
      <c r="AK40" s="303"/>
    </row>
    <row r="41" spans="1:37" s="302" customFormat="1" ht="12.95">
      <c r="A41" s="312" t="s">
        <v>565</v>
      </c>
      <c r="B41" s="313">
        <v>280</v>
      </c>
      <c r="C41" s="314" t="s">
        <v>532</v>
      </c>
      <c r="D41" s="315" t="s">
        <v>534</v>
      </c>
      <c r="E41" s="316">
        <v>38650</v>
      </c>
      <c r="F41" s="314" t="s">
        <v>532</v>
      </c>
      <c r="G41" s="321" t="s">
        <v>534</v>
      </c>
      <c r="H41" s="313">
        <v>33780</v>
      </c>
      <c r="I41" s="314" t="s">
        <v>532</v>
      </c>
      <c r="J41" s="321" t="s">
        <v>534</v>
      </c>
      <c r="K41" s="313">
        <v>33220</v>
      </c>
      <c r="L41" s="319" t="s">
        <v>532</v>
      </c>
      <c r="M41" s="322" t="s">
        <v>534</v>
      </c>
      <c r="N41" s="313">
        <v>30920</v>
      </c>
      <c r="O41" s="314" t="s">
        <v>532</v>
      </c>
      <c r="P41" s="321" t="s">
        <v>534</v>
      </c>
      <c r="Q41" s="313">
        <v>26470</v>
      </c>
      <c r="R41" s="314" t="s">
        <v>532</v>
      </c>
      <c r="S41" s="321" t="s">
        <v>534</v>
      </c>
      <c r="T41" s="313">
        <v>27350</v>
      </c>
      <c r="U41" s="314" t="s">
        <v>532</v>
      </c>
      <c r="V41" s="315" t="s">
        <v>534</v>
      </c>
      <c r="W41" s="313">
        <v>2670</v>
      </c>
      <c r="X41" s="314" t="s">
        <v>532</v>
      </c>
      <c r="Y41" s="315" t="s">
        <v>534</v>
      </c>
      <c r="Z41" s="313">
        <v>2520</v>
      </c>
      <c r="AA41" s="314" t="s">
        <v>532</v>
      </c>
      <c r="AB41" s="320" t="s">
        <v>534</v>
      </c>
      <c r="AF41" s="303"/>
      <c r="AG41" s="303"/>
      <c r="AH41" s="303"/>
      <c r="AI41" s="303"/>
      <c r="AJ41" s="303"/>
      <c r="AK41" s="303"/>
    </row>
    <row r="42" spans="1:37" s="302" customFormat="1" ht="12.95">
      <c r="A42" s="324"/>
      <c r="C42" s="314"/>
      <c r="D42" s="315"/>
      <c r="E42" s="316"/>
      <c r="F42" s="314"/>
      <c r="G42" s="325"/>
      <c r="H42" s="313"/>
      <c r="I42" s="314"/>
      <c r="J42" s="318"/>
      <c r="K42" s="313"/>
      <c r="L42" s="319"/>
      <c r="M42" s="318"/>
      <c r="O42" s="314"/>
      <c r="P42" s="318"/>
      <c r="R42" s="314"/>
      <c r="S42" s="318"/>
      <c r="U42" s="314"/>
      <c r="V42" s="315"/>
      <c r="X42" s="314"/>
      <c r="Y42" s="315"/>
      <c r="AA42" s="314"/>
      <c r="AB42" s="320"/>
      <c r="AF42" s="303"/>
      <c r="AG42" s="303"/>
      <c r="AH42" s="303"/>
      <c r="AI42" s="303"/>
      <c r="AJ42" s="303"/>
      <c r="AK42" s="303"/>
    </row>
    <row r="43" spans="1:37" s="302" customFormat="1" ht="12.95">
      <c r="A43" s="312" t="s">
        <v>566</v>
      </c>
      <c r="B43" s="313">
        <v>1290</v>
      </c>
      <c r="C43" s="314" t="s">
        <v>532</v>
      </c>
      <c r="D43" s="315">
        <v>18.325189000000002</v>
      </c>
      <c r="E43" s="316">
        <v>282450</v>
      </c>
      <c r="F43" s="314" t="s">
        <v>532</v>
      </c>
      <c r="G43" s="317">
        <v>4181.6056859999999</v>
      </c>
      <c r="H43" s="313">
        <v>269530</v>
      </c>
      <c r="I43" s="314" t="s">
        <v>532</v>
      </c>
      <c r="J43" s="318">
        <v>7576.929161</v>
      </c>
      <c r="K43" s="313">
        <v>256160</v>
      </c>
      <c r="L43" s="319" t="s">
        <v>532</v>
      </c>
      <c r="M43" s="318">
        <v>8439.4988030000004</v>
      </c>
      <c r="N43" s="313">
        <v>253250</v>
      </c>
      <c r="O43" s="314" t="s">
        <v>532</v>
      </c>
      <c r="P43" s="318">
        <v>5015.6469999999999</v>
      </c>
      <c r="Q43" s="313">
        <v>232020</v>
      </c>
      <c r="R43" s="314" t="s">
        <v>532</v>
      </c>
      <c r="S43" s="318">
        <v>16535.759440000002</v>
      </c>
      <c r="T43" s="313">
        <v>210220</v>
      </c>
      <c r="U43" s="314" t="s">
        <v>532</v>
      </c>
      <c r="V43" s="315">
        <v>1210.5198760000001</v>
      </c>
      <c r="W43" s="313">
        <v>16850</v>
      </c>
      <c r="X43" s="314" t="s">
        <v>532</v>
      </c>
      <c r="Y43" s="315">
        <v>208.25343599999999</v>
      </c>
      <c r="Z43" s="313">
        <v>12980</v>
      </c>
      <c r="AA43" s="314" t="s">
        <v>532</v>
      </c>
      <c r="AB43" s="320">
        <v>70.723628000000005</v>
      </c>
      <c r="AF43" s="303"/>
      <c r="AG43" s="303"/>
      <c r="AH43" s="303"/>
      <c r="AI43" s="303"/>
      <c r="AJ43" s="303"/>
      <c r="AK43" s="303"/>
    </row>
    <row r="44" spans="1:37" s="302" customFormat="1" ht="12.95">
      <c r="A44" s="312" t="s">
        <v>567</v>
      </c>
      <c r="B44" s="313">
        <v>170</v>
      </c>
      <c r="C44" s="314" t="s">
        <v>532</v>
      </c>
      <c r="D44" s="315">
        <v>1.0249999999999999</v>
      </c>
      <c r="E44" s="316">
        <v>26510</v>
      </c>
      <c r="F44" s="314" t="s">
        <v>532</v>
      </c>
      <c r="G44" s="321" t="s">
        <v>534</v>
      </c>
      <c r="H44" s="313">
        <v>29310</v>
      </c>
      <c r="I44" s="314" t="s">
        <v>532</v>
      </c>
      <c r="J44" s="318">
        <v>3928.2785290000002</v>
      </c>
      <c r="K44" s="313">
        <v>25030</v>
      </c>
      <c r="L44" s="319" t="s">
        <v>532</v>
      </c>
      <c r="M44" s="318">
        <v>141.364688</v>
      </c>
      <c r="N44" s="313">
        <v>27290</v>
      </c>
      <c r="O44" s="314" t="s">
        <v>532</v>
      </c>
      <c r="P44" s="318">
        <v>1387.5930000000001</v>
      </c>
      <c r="Q44" s="313">
        <v>23730</v>
      </c>
      <c r="R44" s="314" t="s">
        <v>532</v>
      </c>
      <c r="S44" s="318">
        <v>507.34934700000002</v>
      </c>
      <c r="T44" s="313">
        <v>22680</v>
      </c>
      <c r="U44" s="314" t="s">
        <v>532</v>
      </c>
      <c r="V44" s="315">
        <v>10.25</v>
      </c>
      <c r="W44" s="313">
        <v>1940</v>
      </c>
      <c r="X44" s="314" t="s">
        <v>532</v>
      </c>
      <c r="Y44" s="315">
        <v>1.9475</v>
      </c>
      <c r="Z44" s="313">
        <v>1280</v>
      </c>
      <c r="AA44" s="314" t="s">
        <v>532</v>
      </c>
      <c r="AB44" s="320" t="s">
        <v>534</v>
      </c>
      <c r="AF44" s="303"/>
      <c r="AG44" s="303"/>
      <c r="AH44" s="303"/>
      <c r="AI44" s="303"/>
      <c r="AJ44" s="303"/>
      <c r="AK44" s="303"/>
    </row>
    <row r="45" spans="1:37" s="302" customFormat="1" ht="12.95">
      <c r="A45" s="312" t="s">
        <v>568</v>
      </c>
      <c r="B45" s="313">
        <v>1930</v>
      </c>
      <c r="C45" s="314" t="s">
        <v>532</v>
      </c>
      <c r="D45" s="315">
        <v>31.012644999999999</v>
      </c>
      <c r="E45" s="316">
        <v>559670</v>
      </c>
      <c r="F45" s="314" t="s">
        <v>532</v>
      </c>
      <c r="G45" s="317">
        <v>1669.394254</v>
      </c>
      <c r="H45" s="313">
        <v>515620</v>
      </c>
      <c r="I45" s="314" t="s">
        <v>532</v>
      </c>
      <c r="J45" s="318">
        <v>4071.3358189999999</v>
      </c>
      <c r="K45" s="313">
        <v>510750</v>
      </c>
      <c r="L45" s="319" t="s">
        <v>532</v>
      </c>
      <c r="M45" s="318">
        <v>3596.0166479999998</v>
      </c>
      <c r="N45" s="313">
        <v>518850</v>
      </c>
      <c r="O45" s="314" t="s">
        <v>532</v>
      </c>
      <c r="P45" s="318">
        <v>7195.5240000000003</v>
      </c>
      <c r="Q45" s="313">
        <v>486310</v>
      </c>
      <c r="R45" s="314" t="s">
        <v>532</v>
      </c>
      <c r="S45" s="318">
        <v>5210.6535919999997</v>
      </c>
      <c r="T45" s="313">
        <v>487810</v>
      </c>
      <c r="U45" s="314" t="s">
        <v>532</v>
      </c>
      <c r="V45" s="315">
        <v>19573.617306</v>
      </c>
      <c r="W45" s="313">
        <v>41450</v>
      </c>
      <c r="X45" s="314" t="s">
        <v>532</v>
      </c>
      <c r="Y45" s="315">
        <v>821.23250499999995</v>
      </c>
      <c r="Z45" s="313">
        <v>30440</v>
      </c>
      <c r="AA45" s="314" t="s">
        <v>532</v>
      </c>
      <c r="AB45" s="320">
        <v>1462.4518149999999</v>
      </c>
      <c r="AF45" s="303"/>
      <c r="AG45" s="303"/>
      <c r="AH45" s="303"/>
      <c r="AI45" s="303"/>
      <c r="AJ45" s="303"/>
      <c r="AK45" s="303"/>
    </row>
    <row r="46" spans="1:37" s="302" customFormat="1" ht="12.95">
      <c r="A46" s="312" t="s">
        <v>569</v>
      </c>
      <c r="B46" s="313">
        <v>640</v>
      </c>
      <c r="C46" s="314" t="s">
        <v>532</v>
      </c>
      <c r="D46" s="315" t="s">
        <v>534</v>
      </c>
      <c r="E46" s="316">
        <v>116500</v>
      </c>
      <c r="F46" s="314" t="s">
        <v>532</v>
      </c>
      <c r="G46" s="317">
        <v>4111.816769</v>
      </c>
      <c r="H46" s="313">
        <v>126230</v>
      </c>
      <c r="I46" s="314" t="s">
        <v>532</v>
      </c>
      <c r="J46" s="318">
        <v>11439.162103000001</v>
      </c>
      <c r="K46" s="313">
        <v>117280</v>
      </c>
      <c r="L46" s="319" t="s">
        <v>532</v>
      </c>
      <c r="M46" s="318">
        <v>11680.692411</v>
      </c>
      <c r="N46" s="313">
        <v>121660</v>
      </c>
      <c r="O46" s="314" t="s">
        <v>532</v>
      </c>
      <c r="P46" s="318">
        <v>2226.0529999999999</v>
      </c>
      <c r="Q46" s="313">
        <v>110740</v>
      </c>
      <c r="R46" s="314" t="s">
        <v>532</v>
      </c>
      <c r="S46" s="318">
        <v>1850.8737570000001</v>
      </c>
      <c r="T46" s="313">
        <v>119070</v>
      </c>
      <c r="U46" s="314" t="s">
        <v>532</v>
      </c>
      <c r="V46" s="315" t="s">
        <v>534</v>
      </c>
      <c r="W46" s="313">
        <v>10680</v>
      </c>
      <c r="X46" s="314" t="s">
        <v>532</v>
      </c>
      <c r="Y46" s="315" t="s">
        <v>534</v>
      </c>
      <c r="Z46" s="313">
        <v>6310</v>
      </c>
      <c r="AA46" s="314" t="s">
        <v>532</v>
      </c>
      <c r="AB46" s="320" t="s">
        <v>534</v>
      </c>
      <c r="AF46" s="303"/>
      <c r="AG46" s="303"/>
      <c r="AH46" s="303"/>
      <c r="AI46" s="303"/>
      <c r="AJ46" s="303"/>
      <c r="AK46" s="303"/>
    </row>
    <row r="47" spans="1:37" s="302" customFormat="1" ht="12.95">
      <c r="A47" s="312" t="s">
        <v>570</v>
      </c>
      <c r="B47" s="313">
        <v>50</v>
      </c>
      <c r="C47" s="314" t="s">
        <v>532</v>
      </c>
      <c r="D47" s="315" t="s">
        <v>534</v>
      </c>
      <c r="E47" s="316">
        <v>7180</v>
      </c>
      <c r="F47" s="314" t="s">
        <v>532</v>
      </c>
      <c r="G47" s="321" t="s">
        <v>534</v>
      </c>
      <c r="H47" s="313">
        <v>6840</v>
      </c>
      <c r="I47" s="314" t="s">
        <v>532</v>
      </c>
      <c r="J47" s="321" t="s">
        <v>534</v>
      </c>
      <c r="K47" s="313">
        <v>7290</v>
      </c>
      <c r="L47" s="319" t="s">
        <v>532</v>
      </c>
      <c r="M47" s="322" t="s">
        <v>534</v>
      </c>
      <c r="N47" s="313">
        <v>7430</v>
      </c>
      <c r="O47" s="314" t="s">
        <v>532</v>
      </c>
      <c r="P47" s="321" t="s">
        <v>534</v>
      </c>
      <c r="Q47" s="313">
        <v>7750</v>
      </c>
      <c r="R47" s="314" t="s">
        <v>532</v>
      </c>
      <c r="S47" s="321" t="s">
        <v>534</v>
      </c>
      <c r="T47" s="313">
        <v>7770</v>
      </c>
      <c r="U47" s="314" t="s">
        <v>532</v>
      </c>
      <c r="V47" s="315" t="s">
        <v>534</v>
      </c>
      <c r="W47" s="313">
        <v>590</v>
      </c>
      <c r="X47" s="314" t="s">
        <v>532</v>
      </c>
      <c r="Y47" s="315" t="s">
        <v>534</v>
      </c>
      <c r="Z47" s="313">
        <v>410</v>
      </c>
      <c r="AA47" s="314" t="s">
        <v>532</v>
      </c>
      <c r="AB47" s="320" t="s">
        <v>534</v>
      </c>
      <c r="AF47" s="303"/>
      <c r="AG47" s="303"/>
      <c r="AH47" s="303"/>
      <c r="AI47" s="303"/>
      <c r="AJ47" s="303"/>
      <c r="AK47" s="303"/>
    </row>
    <row r="48" spans="1:37" s="302" customFormat="1" ht="12.95">
      <c r="A48" s="324"/>
      <c r="C48" s="314"/>
      <c r="D48" s="315"/>
      <c r="E48" s="316"/>
      <c r="F48" s="314"/>
      <c r="G48" s="325"/>
      <c r="H48" s="313"/>
      <c r="I48" s="314"/>
      <c r="J48" s="318"/>
      <c r="K48" s="313"/>
      <c r="L48" s="319"/>
      <c r="M48" s="318"/>
      <c r="O48" s="314"/>
      <c r="P48" s="318"/>
      <c r="R48" s="314"/>
      <c r="S48" s="318"/>
      <c r="U48" s="314"/>
      <c r="V48" s="315"/>
      <c r="X48" s="314"/>
      <c r="Y48" s="315"/>
      <c r="AA48" s="314"/>
      <c r="AB48" s="320"/>
      <c r="AF48" s="303"/>
      <c r="AG48" s="303"/>
      <c r="AH48" s="303"/>
      <c r="AI48" s="303"/>
      <c r="AJ48" s="303"/>
      <c r="AK48" s="303"/>
    </row>
    <row r="49" spans="1:37" s="302" customFormat="1" ht="12.95">
      <c r="A49" s="312" t="s">
        <v>571</v>
      </c>
      <c r="B49" s="313">
        <v>970</v>
      </c>
      <c r="C49" s="314" t="s">
        <v>532</v>
      </c>
      <c r="D49" s="315">
        <v>59.178249000000001</v>
      </c>
      <c r="E49" s="316">
        <v>290370</v>
      </c>
      <c r="F49" s="314" t="s">
        <v>532</v>
      </c>
      <c r="G49" s="317">
        <v>7179.9854809999997</v>
      </c>
      <c r="H49" s="313">
        <v>270660</v>
      </c>
      <c r="I49" s="314" t="s">
        <v>532</v>
      </c>
      <c r="J49" s="318">
        <v>7093.9706610000003</v>
      </c>
      <c r="K49" s="313">
        <v>254530</v>
      </c>
      <c r="L49" s="319" t="s">
        <v>532</v>
      </c>
      <c r="M49" s="318">
        <v>9820.5947450000003</v>
      </c>
      <c r="N49" s="313">
        <v>239520</v>
      </c>
      <c r="O49" s="314" t="s">
        <v>532</v>
      </c>
      <c r="P49" s="318">
        <v>2741.4650000000001</v>
      </c>
      <c r="Q49" s="313">
        <v>246250</v>
      </c>
      <c r="R49" s="314" t="s">
        <v>532</v>
      </c>
      <c r="S49" s="318">
        <v>24213.536405999999</v>
      </c>
      <c r="T49" s="313">
        <v>213990</v>
      </c>
      <c r="U49" s="314" t="s">
        <v>532</v>
      </c>
      <c r="V49" s="315">
        <v>3418.5895169999999</v>
      </c>
      <c r="W49" s="313">
        <v>15270</v>
      </c>
      <c r="X49" s="314" t="s">
        <v>532</v>
      </c>
      <c r="Y49" s="315">
        <v>395.69158199999998</v>
      </c>
      <c r="Z49" s="313">
        <v>12860</v>
      </c>
      <c r="AA49" s="314" t="s">
        <v>532</v>
      </c>
      <c r="AB49" s="320">
        <v>123.93474999999999</v>
      </c>
      <c r="AF49" s="303"/>
      <c r="AG49" s="303"/>
      <c r="AH49" s="303"/>
      <c r="AI49" s="303"/>
      <c r="AJ49" s="303"/>
      <c r="AK49" s="303"/>
    </row>
    <row r="50" spans="1:37" s="302" customFormat="1" ht="12.95">
      <c r="A50" s="312" t="s">
        <v>572</v>
      </c>
      <c r="B50" s="313">
        <v>180</v>
      </c>
      <c r="C50" s="314" t="s">
        <v>532</v>
      </c>
      <c r="D50" s="315">
        <v>9.5521750000000001</v>
      </c>
      <c r="E50" s="316">
        <v>46570</v>
      </c>
      <c r="F50" s="314" t="s">
        <v>532</v>
      </c>
      <c r="G50" s="317">
        <v>8722.678457</v>
      </c>
      <c r="H50" s="313">
        <v>34300</v>
      </c>
      <c r="I50" s="314" t="s">
        <v>532</v>
      </c>
      <c r="J50" s="318">
        <v>2013.202027</v>
      </c>
      <c r="K50" s="313">
        <v>35350</v>
      </c>
      <c r="L50" s="319" t="s">
        <v>532</v>
      </c>
      <c r="M50" s="318">
        <v>1194.445029</v>
      </c>
      <c r="N50" s="313">
        <v>40320</v>
      </c>
      <c r="O50" s="314" t="s">
        <v>532</v>
      </c>
      <c r="P50" s="318">
        <v>5031.5789999999997</v>
      </c>
      <c r="Q50" s="313">
        <v>34000</v>
      </c>
      <c r="R50" s="314" t="s">
        <v>532</v>
      </c>
      <c r="S50" s="318">
        <v>715.66816200000005</v>
      </c>
      <c r="T50" s="313">
        <v>35750</v>
      </c>
      <c r="U50" s="314" t="s">
        <v>532</v>
      </c>
      <c r="V50" s="315">
        <v>846.57282299999997</v>
      </c>
      <c r="W50" s="313">
        <v>3000</v>
      </c>
      <c r="X50" s="314" t="s">
        <v>532</v>
      </c>
      <c r="Y50" s="315">
        <v>71.593264000000005</v>
      </c>
      <c r="Z50" s="313">
        <v>1760</v>
      </c>
      <c r="AA50" s="314" t="s">
        <v>532</v>
      </c>
      <c r="AB50" s="320">
        <v>17.092979</v>
      </c>
      <c r="AC50" s="326"/>
      <c r="AF50" s="303"/>
      <c r="AG50" s="303"/>
      <c r="AH50" s="303"/>
      <c r="AI50" s="303"/>
      <c r="AJ50" s="303"/>
      <c r="AK50" s="303"/>
    </row>
    <row r="51" spans="1:37" s="302" customFormat="1" ht="12.95">
      <c r="A51" s="312" t="s">
        <v>573</v>
      </c>
      <c r="B51" s="313">
        <v>430</v>
      </c>
      <c r="C51" s="314" t="s">
        <v>532</v>
      </c>
      <c r="D51" s="315" t="s">
        <v>534</v>
      </c>
      <c r="E51" s="316">
        <v>71500</v>
      </c>
      <c r="F51" s="314" t="s">
        <v>532</v>
      </c>
      <c r="G51" s="317">
        <v>15518.593774000001</v>
      </c>
      <c r="H51" s="313">
        <v>54320</v>
      </c>
      <c r="I51" s="314" t="s">
        <v>532</v>
      </c>
      <c r="J51" s="321" t="s">
        <v>534</v>
      </c>
      <c r="K51" s="313">
        <v>69620</v>
      </c>
      <c r="L51" s="319" t="s">
        <v>532</v>
      </c>
      <c r="M51" s="318">
        <v>14139.186594000001</v>
      </c>
      <c r="N51" s="313">
        <v>66260</v>
      </c>
      <c r="O51" s="314" t="s">
        <v>532</v>
      </c>
      <c r="P51" s="318">
        <v>5187.5910000000003</v>
      </c>
      <c r="Q51" s="313">
        <v>56820</v>
      </c>
      <c r="R51" s="314" t="s">
        <v>532</v>
      </c>
      <c r="S51" s="318">
        <v>3501.8094740000001</v>
      </c>
      <c r="T51" s="313">
        <v>53200</v>
      </c>
      <c r="U51" s="314" t="s">
        <v>532</v>
      </c>
      <c r="V51" s="315" t="s">
        <v>534</v>
      </c>
      <c r="W51" s="313">
        <v>3820</v>
      </c>
      <c r="X51" s="314" t="s">
        <v>532</v>
      </c>
      <c r="Y51" s="315" t="s">
        <v>534</v>
      </c>
      <c r="Z51" s="313">
        <v>2970</v>
      </c>
      <c r="AA51" s="314" t="s">
        <v>532</v>
      </c>
      <c r="AB51" s="320" t="s">
        <v>534</v>
      </c>
      <c r="AF51" s="303"/>
      <c r="AG51" s="303"/>
      <c r="AH51" s="303"/>
      <c r="AI51" s="303"/>
      <c r="AJ51" s="303"/>
      <c r="AK51" s="303"/>
    </row>
    <row r="52" spans="1:37" s="302" customFormat="1" ht="12.95">
      <c r="A52" s="312" t="s">
        <v>574</v>
      </c>
      <c r="B52" s="313">
        <v>2320</v>
      </c>
      <c r="C52" s="314" t="s">
        <v>532</v>
      </c>
      <c r="D52" s="315">
        <v>60.073233999999999</v>
      </c>
      <c r="E52" s="316">
        <v>374490</v>
      </c>
      <c r="F52" s="314" t="s">
        <v>532</v>
      </c>
      <c r="G52" s="321" t="s">
        <v>534</v>
      </c>
      <c r="H52" s="313">
        <v>357580</v>
      </c>
      <c r="I52" s="314" t="s">
        <v>532</v>
      </c>
      <c r="J52" s="318">
        <v>3363.5520799999999</v>
      </c>
      <c r="K52" s="313">
        <v>332740</v>
      </c>
      <c r="L52" s="319" t="s">
        <v>532</v>
      </c>
      <c r="M52" s="318">
        <v>3918.0548829999998</v>
      </c>
      <c r="N52" s="313">
        <v>324020</v>
      </c>
      <c r="O52" s="314" t="s">
        <v>532</v>
      </c>
      <c r="P52" s="318">
        <v>6253.2250000000004</v>
      </c>
      <c r="Q52" s="313">
        <v>301640</v>
      </c>
      <c r="R52" s="314" t="s">
        <v>532</v>
      </c>
      <c r="S52" s="318">
        <v>5035.7441680000002</v>
      </c>
      <c r="T52" s="313">
        <v>276300</v>
      </c>
      <c r="U52" s="314" t="s">
        <v>532</v>
      </c>
      <c r="V52" s="315">
        <v>3668.2357339999999</v>
      </c>
      <c r="W52" s="313">
        <v>21960</v>
      </c>
      <c r="X52" s="314" t="s">
        <v>532</v>
      </c>
      <c r="Y52" s="315">
        <v>467.52232199999997</v>
      </c>
      <c r="Z52" s="313">
        <v>16370</v>
      </c>
      <c r="AA52" s="314" t="s">
        <v>532</v>
      </c>
      <c r="AB52" s="320">
        <v>90.205646999999999</v>
      </c>
      <c r="AF52" s="303"/>
      <c r="AG52" s="303"/>
      <c r="AH52" s="303"/>
      <c r="AI52" s="303"/>
      <c r="AJ52" s="303"/>
      <c r="AK52" s="303"/>
    </row>
    <row r="53" spans="1:37" s="302" customFormat="1" ht="12.95">
      <c r="A53" s="312" t="s">
        <v>575</v>
      </c>
      <c r="B53" s="313">
        <v>140</v>
      </c>
      <c r="C53" s="314" t="s">
        <v>532</v>
      </c>
      <c r="D53" s="315" t="s">
        <v>534</v>
      </c>
      <c r="E53" s="316">
        <v>30970</v>
      </c>
      <c r="F53" s="314" t="s">
        <v>532</v>
      </c>
      <c r="G53" s="321" t="s">
        <v>534</v>
      </c>
      <c r="H53" s="313">
        <v>31960</v>
      </c>
      <c r="I53" s="314" t="s">
        <v>532</v>
      </c>
      <c r="J53" s="321" t="s">
        <v>534</v>
      </c>
      <c r="K53" s="313">
        <v>30600</v>
      </c>
      <c r="L53" s="319" t="s">
        <v>532</v>
      </c>
      <c r="M53" s="322" t="s">
        <v>534</v>
      </c>
      <c r="N53" s="313">
        <v>28260</v>
      </c>
      <c r="O53" s="314" t="s">
        <v>532</v>
      </c>
      <c r="P53" s="318">
        <v>1096.028</v>
      </c>
      <c r="Q53" s="313">
        <v>24940</v>
      </c>
      <c r="R53" s="314" t="s">
        <v>532</v>
      </c>
      <c r="S53" s="321" t="s">
        <v>534</v>
      </c>
      <c r="T53" s="313">
        <v>25420</v>
      </c>
      <c r="U53" s="314" t="s">
        <v>532</v>
      </c>
      <c r="V53" s="315" t="s">
        <v>534</v>
      </c>
      <c r="W53" s="313">
        <v>2360</v>
      </c>
      <c r="X53" s="314" t="s">
        <v>532</v>
      </c>
      <c r="Y53" s="315" t="s">
        <v>534</v>
      </c>
      <c r="Z53" s="313">
        <v>2020</v>
      </c>
      <c r="AA53" s="314" t="s">
        <v>532</v>
      </c>
      <c r="AB53" s="320" t="s">
        <v>534</v>
      </c>
      <c r="AF53" s="303"/>
      <c r="AG53" s="303"/>
      <c r="AH53" s="303"/>
      <c r="AI53" s="303"/>
      <c r="AJ53" s="303"/>
      <c r="AK53" s="303"/>
    </row>
    <row r="54" spans="1:37" s="302" customFormat="1" ht="12.95">
      <c r="A54" s="324"/>
      <c r="C54" s="314"/>
      <c r="D54" s="315"/>
      <c r="E54" s="316"/>
      <c r="F54" s="314"/>
      <c r="G54" s="325"/>
      <c r="H54" s="313"/>
      <c r="I54" s="314"/>
      <c r="J54" s="318"/>
      <c r="K54" s="313"/>
      <c r="L54" s="319"/>
      <c r="M54" s="318"/>
      <c r="O54" s="314"/>
      <c r="P54" s="318"/>
      <c r="R54" s="314"/>
      <c r="S54" s="318"/>
      <c r="U54" s="314"/>
      <c r="V54" s="315"/>
      <c r="X54" s="314"/>
      <c r="Y54" s="315"/>
      <c r="AA54" s="314"/>
      <c r="AB54" s="320"/>
      <c r="AF54" s="303"/>
      <c r="AG54" s="303"/>
      <c r="AH54" s="303"/>
      <c r="AI54" s="303"/>
      <c r="AJ54" s="303"/>
      <c r="AK54" s="303"/>
    </row>
    <row r="55" spans="1:37" s="302" customFormat="1" ht="12.95">
      <c r="A55" s="312" t="s">
        <v>576</v>
      </c>
      <c r="B55" s="313">
        <v>380</v>
      </c>
      <c r="C55" s="314" t="s">
        <v>532</v>
      </c>
      <c r="D55" s="315" t="s">
        <v>534</v>
      </c>
      <c r="E55" s="316">
        <v>70950</v>
      </c>
      <c r="F55" s="314" t="s">
        <v>532</v>
      </c>
      <c r="G55" s="321" t="s">
        <v>534</v>
      </c>
      <c r="H55" s="313">
        <v>73800</v>
      </c>
      <c r="I55" s="314" t="s">
        <v>532</v>
      </c>
      <c r="J55" s="321" t="s">
        <v>534</v>
      </c>
      <c r="K55" s="313">
        <v>70240</v>
      </c>
      <c r="L55" s="319" t="s">
        <v>532</v>
      </c>
      <c r="M55" s="318">
        <v>1796.7005349999999</v>
      </c>
      <c r="N55" s="313">
        <v>71430</v>
      </c>
      <c r="O55" s="314" t="s">
        <v>532</v>
      </c>
      <c r="P55" s="318">
        <v>1042.9059999999999</v>
      </c>
      <c r="Q55" s="313">
        <v>62320</v>
      </c>
      <c r="R55" s="314" t="s">
        <v>532</v>
      </c>
      <c r="S55" s="318">
        <v>310.94956000000002</v>
      </c>
      <c r="T55" s="313">
        <v>60890</v>
      </c>
      <c r="U55" s="314" t="s">
        <v>532</v>
      </c>
      <c r="V55" s="315" t="s">
        <v>534</v>
      </c>
      <c r="W55" s="313">
        <v>5000</v>
      </c>
      <c r="X55" s="314" t="s">
        <v>532</v>
      </c>
      <c r="Y55" s="315" t="s">
        <v>534</v>
      </c>
      <c r="Z55" s="313">
        <v>2960</v>
      </c>
      <c r="AA55" s="314" t="s">
        <v>532</v>
      </c>
      <c r="AB55" s="320" t="s">
        <v>534</v>
      </c>
      <c r="AF55" s="303"/>
      <c r="AG55" s="303"/>
      <c r="AH55" s="303"/>
      <c r="AI55" s="303"/>
      <c r="AJ55" s="303"/>
      <c r="AK55" s="303"/>
    </row>
    <row r="56" spans="1:37" s="302" customFormat="1" ht="12.95">
      <c r="A56" s="312" t="s">
        <v>577</v>
      </c>
      <c r="B56" s="313">
        <v>70</v>
      </c>
      <c r="C56" s="314" t="s">
        <v>532</v>
      </c>
      <c r="D56" s="315" t="s">
        <v>534</v>
      </c>
      <c r="E56" s="316">
        <v>11740</v>
      </c>
      <c r="F56" s="314" t="s">
        <v>532</v>
      </c>
      <c r="G56" s="321" t="s">
        <v>534</v>
      </c>
      <c r="H56" s="313">
        <v>11980</v>
      </c>
      <c r="I56" s="314" t="s">
        <v>532</v>
      </c>
      <c r="J56" s="321" t="s">
        <v>534</v>
      </c>
      <c r="K56" s="313">
        <v>12700</v>
      </c>
      <c r="L56" s="319" t="s">
        <v>532</v>
      </c>
      <c r="M56" s="322" t="s">
        <v>534</v>
      </c>
      <c r="N56" s="313">
        <v>12280</v>
      </c>
      <c r="O56" s="314" t="s">
        <v>532</v>
      </c>
      <c r="P56" s="321" t="s">
        <v>534</v>
      </c>
      <c r="Q56" s="313">
        <v>11470</v>
      </c>
      <c r="R56" s="314" t="s">
        <v>532</v>
      </c>
      <c r="S56" s="321" t="s">
        <v>534</v>
      </c>
      <c r="T56" s="313">
        <v>12490</v>
      </c>
      <c r="U56" s="314" t="s">
        <v>532</v>
      </c>
      <c r="V56" s="315" t="s">
        <v>534</v>
      </c>
      <c r="W56" s="313">
        <v>970</v>
      </c>
      <c r="X56" s="314" t="s">
        <v>532</v>
      </c>
      <c r="Y56" s="315" t="s">
        <v>534</v>
      </c>
      <c r="Z56" s="313">
        <v>650</v>
      </c>
      <c r="AA56" s="314" t="s">
        <v>532</v>
      </c>
      <c r="AB56" s="320" t="s">
        <v>534</v>
      </c>
      <c r="AF56" s="303"/>
      <c r="AG56" s="303"/>
      <c r="AH56" s="303"/>
      <c r="AI56" s="303"/>
      <c r="AJ56" s="303"/>
      <c r="AK56" s="303"/>
    </row>
    <row r="57" spans="1:37" s="302" customFormat="1" ht="12.95">
      <c r="A57" s="312" t="s">
        <v>578</v>
      </c>
      <c r="B57" s="313">
        <v>510</v>
      </c>
      <c r="C57" s="314" t="s">
        <v>532</v>
      </c>
      <c r="D57" s="315">
        <v>1.0857140000000001</v>
      </c>
      <c r="E57" s="316">
        <v>98790</v>
      </c>
      <c r="F57" s="314" t="s">
        <v>532</v>
      </c>
      <c r="G57" s="321" t="s">
        <v>534</v>
      </c>
      <c r="H57" s="313">
        <v>93390</v>
      </c>
      <c r="I57" s="314" t="s">
        <v>532</v>
      </c>
      <c r="J57" s="321" t="s">
        <v>534</v>
      </c>
      <c r="K57" s="313">
        <v>105240</v>
      </c>
      <c r="L57" s="319" t="s">
        <v>532</v>
      </c>
      <c r="M57" s="318">
        <v>2531.2618430000002</v>
      </c>
      <c r="N57" s="313">
        <v>117540</v>
      </c>
      <c r="O57" s="314" t="s">
        <v>532</v>
      </c>
      <c r="P57" s="318">
        <v>12850.63</v>
      </c>
      <c r="Q57" s="313">
        <v>98310</v>
      </c>
      <c r="R57" s="314" t="s">
        <v>532</v>
      </c>
      <c r="S57" s="318">
        <v>4176.2380640000001</v>
      </c>
      <c r="T57" s="313">
        <v>92430</v>
      </c>
      <c r="U57" s="314" t="s">
        <v>532</v>
      </c>
      <c r="V57" s="315">
        <v>33.657142999999998</v>
      </c>
      <c r="W57" s="313">
        <v>8150</v>
      </c>
      <c r="X57" s="314" t="s">
        <v>532</v>
      </c>
      <c r="Y57" s="315">
        <v>2.1714289999999998</v>
      </c>
      <c r="Z57" s="313">
        <v>5860</v>
      </c>
      <c r="AA57" s="314" t="s">
        <v>532</v>
      </c>
      <c r="AB57" s="320" t="s">
        <v>534</v>
      </c>
      <c r="AF57" s="303"/>
      <c r="AG57" s="303"/>
      <c r="AH57" s="303"/>
      <c r="AI57" s="303"/>
      <c r="AJ57" s="303"/>
      <c r="AK57" s="303"/>
    </row>
    <row r="58" spans="1:37" s="302" customFormat="1" ht="12.95">
      <c r="A58" s="312" t="s">
        <v>579</v>
      </c>
      <c r="B58" s="313">
        <v>1500</v>
      </c>
      <c r="C58" s="314" t="s">
        <v>532</v>
      </c>
      <c r="D58" s="315">
        <v>17.871281</v>
      </c>
      <c r="E58" s="316">
        <v>314210</v>
      </c>
      <c r="F58" s="314" t="s">
        <v>532</v>
      </c>
      <c r="G58" s="317">
        <v>12243.815816</v>
      </c>
      <c r="H58" s="313">
        <v>271380</v>
      </c>
      <c r="I58" s="314" t="s">
        <v>532</v>
      </c>
      <c r="J58" s="318">
        <v>2757.6140890000001</v>
      </c>
      <c r="K58" s="313">
        <v>304170</v>
      </c>
      <c r="L58" s="319" t="s">
        <v>532</v>
      </c>
      <c r="M58" s="318">
        <v>20453.011299999998</v>
      </c>
      <c r="N58" s="313">
        <v>296540</v>
      </c>
      <c r="O58" s="314" t="s">
        <v>532</v>
      </c>
      <c r="P58" s="318">
        <v>4131.8100000000004</v>
      </c>
      <c r="Q58" s="313">
        <v>313360</v>
      </c>
      <c r="R58" s="314" t="s">
        <v>532</v>
      </c>
      <c r="S58" s="318">
        <v>11968.314188</v>
      </c>
      <c r="T58" s="313">
        <v>285320</v>
      </c>
      <c r="U58" s="314" t="s">
        <v>532</v>
      </c>
      <c r="V58" s="315">
        <v>2046.4760140000001</v>
      </c>
      <c r="W58" s="313">
        <v>23360</v>
      </c>
      <c r="X58" s="314" t="s">
        <v>532</v>
      </c>
      <c r="Y58" s="315">
        <v>101.29677599999999</v>
      </c>
      <c r="Z58" s="313">
        <v>12840</v>
      </c>
      <c r="AA58" s="314" t="s">
        <v>532</v>
      </c>
      <c r="AB58" s="320">
        <v>489.34146299999998</v>
      </c>
      <c r="AF58" s="303"/>
      <c r="AG58" s="303"/>
      <c r="AH58" s="303"/>
      <c r="AI58" s="303"/>
      <c r="AJ58" s="303"/>
      <c r="AK58" s="303"/>
    </row>
    <row r="59" spans="1:37" s="302" customFormat="1" ht="12.95">
      <c r="A59" s="312" t="s">
        <v>580</v>
      </c>
      <c r="B59" s="313">
        <v>160</v>
      </c>
      <c r="C59" s="314" t="s">
        <v>532</v>
      </c>
      <c r="D59" s="315">
        <v>2.218855</v>
      </c>
      <c r="E59" s="316">
        <v>20040</v>
      </c>
      <c r="F59" s="314" t="s">
        <v>532</v>
      </c>
      <c r="G59" s="321" t="s">
        <v>534</v>
      </c>
      <c r="H59" s="313">
        <v>19990</v>
      </c>
      <c r="I59" s="314" t="s">
        <v>532</v>
      </c>
      <c r="J59" s="321" t="s">
        <v>534</v>
      </c>
      <c r="K59" s="313">
        <v>21220</v>
      </c>
      <c r="L59" s="319" t="s">
        <v>532</v>
      </c>
      <c r="M59" s="322" t="s">
        <v>534</v>
      </c>
      <c r="N59" s="313">
        <v>20860</v>
      </c>
      <c r="O59" s="314" t="s">
        <v>532</v>
      </c>
      <c r="P59" s="321" t="s">
        <v>534</v>
      </c>
      <c r="Q59" s="313">
        <v>21990</v>
      </c>
      <c r="R59" s="314" t="s">
        <v>532</v>
      </c>
      <c r="S59" s="318">
        <v>1557.8401100000001</v>
      </c>
      <c r="T59" s="313">
        <v>18660</v>
      </c>
      <c r="U59" s="314" t="s">
        <v>532</v>
      </c>
      <c r="V59" s="315">
        <v>55.424242</v>
      </c>
      <c r="W59" s="313">
        <v>1620</v>
      </c>
      <c r="X59" s="314" t="s">
        <v>532</v>
      </c>
      <c r="Y59" s="315">
        <v>5.8824920000000001</v>
      </c>
      <c r="Z59" s="313">
        <v>1210</v>
      </c>
      <c r="AA59" s="314" t="s">
        <v>532</v>
      </c>
      <c r="AB59" s="320">
        <v>1.181818</v>
      </c>
      <c r="AF59" s="303"/>
      <c r="AG59" s="303"/>
      <c r="AH59" s="303"/>
      <c r="AI59" s="303"/>
      <c r="AJ59" s="303"/>
      <c r="AK59" s="303"/>
    </row>
    <row r="60" spans="1:37" s="302" customFormat="1" ht="12.95">
      <c r="A60" s="324"/>
      <c r="C60" s="314"/>
      <c r="D60" s="315"/>
      <c r="E60" s="316"/>
      <c r="F60" s="314"/>
      <c r="H60" s="313"/>
      <c r="I60" s="314"/>
      <c r="J60" s="318"/>
      <c r="K60" s="313"/>
      <c r="L60" s="319"/>
      <c r="M60" s="318"/>
      <c r="O60" s="314"/>
      <c r="P60" s="318"/>
      <c r="R60" s="314"/>
      <c r="S60" s="318"/>
      <c r="U60" s="314"/>
      <c r="V60" s="315"/>
      <c r="X60" s="314"/>
      <c r="Y60" s="315"/>
      <c r="AA60" s="314"/>
      <c r="AB60" s="320"/>
      <c r="AF60" s="303"/>
      <c r="AG60" s="303"/>
      <c r="AH60" s="303"/>
      <c r="AI60" s="303"/>
      <c r="AJ60" s="303"/>
      <c r="AK60" s="303"/>
    </row>
    <row r="61" spans="1:37" s="302" customFormat="1" ht="12.95">
      <c r="A61" s="312" t="s">
        <v>581</v>
      </c>
      <c r="B61" s="313">
        <v>110</v>
      </c>
      <c r="C61" s="314" t="s">
        <v>532</v>
      </c>
      <c r="D61" s="315" t="s">
        <v>534</v>
      </c>
      <c r="E61" s="316">
        <v>14090</v>
      </c>
      <c r="F61" s="314" t="s">
        <v>532</v>
      </c>
      <c r="G61" s="321" t="s">
        <v>534</v>
      </c>
      <c r="H61" s="313">
        <v>12730</v>
      </c>
      <c r="I61" s="314" t="s">
        <v>532</v>
      </c>
      <c r="J61" s="321" t="s">
        <v>534</v>
      </c>
      <c r="K61" s="313">
        <v>11530</v>
      </c>
      <c r="L61" s="319" t="s">
        <v>532</v>
      </c>
      <c r="M61" s="322" t="s">
        <v>534</v>
      </c>
      <c r="N61" s="313">
        <v>12600</v>
      </c>
      <c r="O61" s="314" t="s">
        <v>532</v>
      </c>
      <c r="P61" s="318">
        <v>232.17449999999999</v>
      </c>
      <c r="Q61" s="313">
        <v>10350</v>
      </c>
      <c r="R61" s="314" t="s">
        <v>532</v>
      </c>
      <c r="S61" s="321" t="s">
        <v>534</v>
      </c>
      <c r="T61" s="313">
        <v>9030</v>
      </c>
      <c r="U61" s="314" t="s">
        <v>532</v>
      </c>
      <c r="V61" s="315" t="s">
        <v>534</v>
      </c>
      <c r="W61" s="313">
        <v>1200</v>
      </c>
      <c r="X61" s="314" t="s">
        <v>532</v>
      </c>
      <c r="Y61" s="315" t="s">
        <v>534</v>
      </c>
      <c r="Z61" s="313">
        <v>1000</v>
      </c>
      <c r="AA61" s="314" t="s">
        <v>532</v>
      </c>
      <c r="AB61" s="320" t="s">
        <v>534</v>
      </c>
      <c r="AF61" s="303"/>
      <c r="AG61" s="303"/>
      <c r="AH61" s="303"/>
      <c r="AI61" s="303"/>
      <c r="AJ61" s="303"/>
      <c r="AK61" s="303"/>
    </row>
    <row r="62" spans="1:37" s="302" customFormat="1" ht="12.95">
      <c r="A62" s="312" t="s">
        <v>582</v>
      </c>
      <c r="B62" s="313">
        <v>750</v>
      </c>
      <c r="C62" s="314" t="s">
        <v>532</v>
      </c>
      <c r="D62" s="315">
        <v>2.1199789999999998</v>
      </c>
      <c r="E62" s="316">
        <v>129470</v>
      </c>
      <c r="F62" s="314" t="s">
        <v>532</v>
      </c>
      <c r="G62" s="321" t="s">
        <v>534</v>
      </c>
      <c r="H62" s="313">
        <v>131160</v>
      </c>
      <c r="I62" s="314" t="s">
        <v>532</v>
      </c>
      <c r="J62" s="318">
        <v>6935.6676349999998</v>
      </c>
      <c r="K62" s="313">
        <v>155220</v>
      </c>
      <c r="L62" s="319" t="s">
        <v>532</v>
      </c>
      <c r="M62" s="318">
        <v>14290.391670999999</v>
      </c>
      <c r="N62" s="313">
        <v>143140</v>
      </c>
      <c r="O62" s="314" t="s">
        <v>532</v>
      </c>
      <c r="P62" s="318">
        <v>7987.58</v>
      </c>
      <c r="Q62" s="313">
        <v>128140</v>
      </c>
      <c r="R62" s="314" t="s">
        <v>532</v>
      </c>
      <c r="S62" s="318">
        <v>2580.733142</v>
      </c>
      <c r="T62" s="313">
        <v>123780</v>
      </c>
      <c r="U62" s="314" t="s">
        <v>532</v>
      </c>
      <c r="V62" s="315">
        <v>81.941648999999998</v>
      </c>
      <c r="W62" s="313">
        <v>10980</v>
      </c>
      <c r="X62" s="314" t="s">
        <v>532</v>
      </c>
      <c r="Y62" s="315">
        <v>11.025672999999999</v>
      </c>
      <c r="Z62" s="313">
        <v>6400</v>
      </c>
      <c r="AA62" s="314" t="s">
        <v>532</v>
      </c>
      <c r="AB62" s="320">
        <v>1.076023</v>
      </c>
      <c r="AF62" s="303"/>
      <c r="AG62" s="303"/>
      <c r="AH62" s="303"/>
      <c r="AI62" s="303"/>
      <c r="AJ62" s="303"/>
      <c r="AK62" s="303"/>
    </row>
    <row r="63" spans="1:37" s="302" customFormat="1" ht="12.95">
      <c r="A63" s="312" t="s">
        <v>583</v>
      </c>
      <c r="B63" s="313">
        <v>630</v>
      </c>
      <c r="C63" s="314" t="s">
        <v>532</v>
      </c>
      <c r="D63" s="315">
        <v>5.3859589999999997</v>
      </c>
      <c r="E63" s="316">
        <v>91150</v>
      </c>
      <c r="F63" s="314" t="s">
        <v>532</v>
      </c>
      <c r="G63" s="317">
        <v>2028.0944179999999</v>
      </c>
      <c r="H63" s="313">
        <v>101130</v>
      </c>
      <c r="I63" s="314" t="s">
        <v>532</v>
      </c>
      <c r="J63" s="318">
        <v>7934.7785199999998</v>
      </c>
      <c r="K63" s="313">
        <v>119640</v>
      </c>
      <c r="L63" s="319" t="s">
        <v>532</v>
      </c>
      <c r="M63" s="318">
        <v>13187.197824999999</v>
      </c>
      <c r="N63" s="313">
        <v>104070</v>
      </c>
      <c r="O63" s="314" t="s">
        <v>532</v>
      </c>
      <c r="P63" s="318">
        <v>3054.2269999999999</v>
      </c>
      <c r="Q63" s="313">
        <v>94340</v>
      </c>
      <c r="R63" s="314" t="s">
        <v>532</v>
      </c>
      <c r="S63" s="318">
        <v>625.47483599999998</v>
      </c>
      <c r="T63" s="313">
        <v>93630</v>
      </c>
      <c r="U63" s="314" t="s">
        <v>532</v>
      </c>
      <c r="V63" s="315">
        <v>233.515693</v>
      </c>
      <c r="W63" s="313">
        <v>7130</v>
      </c>
      <c r="X63" s="314" t="s">
        <v>532</v>
      </c>
      <c r="Y63" s="315">
        <v>21.486363000000001</v>
      </c>
      <c r="Z63" s="313">
        <v>4210</v>
      </c>
      <c r="AA63" s="314" t="s">
        <v>532</v>
      </c>
      <c r="AB63" s="320">
        <v>30</v>
      </c>
      <c r="AF63" s="303"/>
      <c r="AG63" s="303"/>
      <c r="AH63" s="303"/>
      <c r="AI63" s="303"/>
      <c r="AJ63" s="303"/>
      <c r="AK63" s="303"/>
    </row>
    <row r="64" spans="1:37" s="302" customFormat="1" ht="12.95">
      <c r="A64" s="312" t="s">
        <v>584</v>
      </c>
      <c r="B64" s="313">
        <v>120</v>
      </c>
      <c r="C64" s="314" t="s">
        <v>532</v>
      </c>
      <c r="D64" s="315">
        <v>1.04878</v>
      </c>
      <c r="E64" s="316">
        <v>16560</v>
      </c>
      <c r="F64" s="314" t="s">
        <v>532</v>
      </c>
      <c r="G64" s="321" t="s">
        <v>534</v>
      </c>
      <c r="H64" s="313">
        <v>15300</v>
      </c>
      <c r="I64" s="314" t="s">
        <v>532</v>
      </c>
      <c r="J64" s="321" t="s">
        <v>534</v>
      </c>
      <c r="K64" s="313">
        <v>16120</v>
      </c>
      <c r="L64" s="319" t="s">
        <v>532</v>
      </c>
      <c r="M64" s="322" t="s">
        <v>534</v>
      </c>
      <c r="N64" s="313">
        <v>14980</v>
      </c>
      <c r="O64" s="314" t="s">
        <v>532</v>
      </c>
      <c r="P64" s="321" t="s">
        <v>534</v>
      </c>
      <c r="Q64" s="313">
        <v>13860</v>
      </c>
      <c r="R64" s="314" t="s">
        <v>532</v>
      </c>
      <c r="S64" s="321" t="s">
        <v>534</v>
      </c>
      <c r="T64" s="313">
        <v>13430</v>
      </c>
      <c r="U64" s="314" t="s">
        <v>532</v>
      </c>
      <c r="V64" s="315">
        <v>1.04878</v>
      </c>
      <c r="W64" s="313">
        <v>1130</v>
      </c>
      <c r="X64" s="314" t="s">
        <v>532</v>
      </c>
      <c r="Y64" s="315">
        <v>1.04878</v>
      </c>
      <c r="Z64" s="313">
        <v>660</v>
      </c>
      <c r="AA64" s="314" t="s">
        <v>532</v>
      </c>
      <c r="AB64" s="320">
        <v>1.04878</v>
      </c>
      <c r="AF64" s="303"/>
      <c r="AG64" s="303"/>
      <c r="AH64" s="303"/>
      <c r="AI64" s="303"/>
      <c r="AJ64" s="303"/>
      <c r="AK64" s="303"/>
    </row>
    <row r="65" spans="1:37" s="302" customFormat="1" ht="12.95">
      <c r="A65" s="312" t="s">
        <v>585</v>
      </c>
      <c r="B65" s="313">
        <v>840</v>
      </c>
      <c r="C65" s="314" t="s">
        <v>532</v>
      </c>
      <c r="D65" s="315" t="s">
        <v>534</v>
      </c>
      <c r="E65" s="316">
        <v>162220</v>
      </c>
      <c r="F65" s="314" t="s">
        <v>532</v>
      </c>
      <c r="G65" s="317">
        <v>9079.6259989999999</v>
      </c>
      <c r="H65" s="313">
        <v>159240</v>
      </c>
      <c r="I65" s="314" t="s">
        <v>532</v>
      </c>
      <c r="J65" s="318">
        <v>11742.685651</v>
      </c>
      <c r="K65" s="313">
        <v>142280</v>
      </c>
      <c r="L65" s="319" t="s">
        <v>532</v>
      </c>
      <c r="M65" s="318">
        <v>137.31192899999999</v>
      </c>
      <c r="N65" s="313">
        <v>138290</v>
      </c>
      <c r="O65" s="314" t="s">
        <v>532</v>
      </c>
      <c r="P65" s="318">
        <v>1596.954</v>
      </c>
      <c r="Q65" s="313">
        <v>130510</v>
      </c>
      <c r="R65" s="314" t="s">
        <v>532</v>
      </c>
      <c r="S65" s="321" t="s">
        <v>534</v>
      </c>
      <c r="T65" s="313">
        <v>127250</v>
      </c>
      <c r="U65" s="314" t="s">
        <v>532</v>
      </c>
      <c r="V65" s="315" t="s">
        <v>534</v>
      </c>
      <c r="W65" s="313">
        <v>9150</v>
      </c>
      <c r="X65" s="314" t="s">
        <v>532</v>
      </c>
      <c r="Y65" s="315" t="s">
        <v>534</v>
      </c>
      <c r="Z65" s="313">
        <v>5420</v>
      </c>
      <c r="AA65" s="314" t="s">
        <v>532</v>
      </c>
      <c r="AB65" s="320" t="s">
        <v>534</v>
      </c>
      <c r="AF65" s="303"/>
      <c r="AG65" s="303"/>
      <c r="AH65" s="303"/>
      <c r="AI65" s="303"/>
      <c r="AJ65" s="303"/>
      <c r="AK65" s="303"/>
    </row>
    <row r="66" spans="1:37" s="302" customFormat="1" ht="12.95">
      <c r="A66" s="327" t="s">
        <v>586</v>
      </c>
      <c r="B66" s="313">
        <v>40</v>
      </c>
      <c r="C66" s="314" t="s">
        <v>532</v>
      </c>
      <c r="D66" s="328" t="s">
        <v>534</v>
      </c>
      <c r="E66" s="329">
        <v>2430</v>
      </c>
      <c r="F66" s="314" t="s">
        <v>532</v>
      </c>
      <c r="G66" s="330" t="s">
        <v>534</v>
      </c>
      <c r="H66" s="331">
        <v>2600</v>
      </c>
      <c r="I66" s="314" t="s">
        <v>532</v>
      </c>
      <c r="J66" s="330" t="s">
        <v>534</v>
      </c>
      <c r="K66" s="331">
        <v>2310</v>
      </c>
      <c r="L66" s="319" t="s">
        <v>532</v>
      </c>
      <c r="M66" s="332" t="s">
        <v>534</v>
      </c>
      <c r="N66" s="313">
        <v>2930</v>
      </c>
      <c r="O66" s="314" t="s">
        <v>532</v>
      </c>
      <c r="P66" s="330" t="s">
        <v>534</v>
      </c>
      <c r="Q66" s="331">
        <v>2910</v>
      </c>
      <c r="R66" s="333" t="s">
        <v>532</v>
      </c>
      <c r="S66" s="330" t="s">
        <v>534</v>
      </c>
      <c r="T66" s="331">
        <v>2740</v>
      </c>
      <c r="U66" s="333" t="s">
        <v>532</v>
      </c>
      <c r="V66" s="328" t="s">
        <v>534</v>
      </c>
      <c r="W66" s="331">
        <v>260</v>
      </c>
      <c r="X66" s="314" t="s">
        <v>532</v>
      </c>
      <c r="Y66" s="315" t="s">
        <v>534</v>
      </c>
      <c r="Z66" s="331">
        <v>30</v>
      </c>
      <c r="AA66" s="314" t="s">
        <v>532</v>
      </c>
      <c r="AB66" s="320" t="s">
        <v>534</v>
      </c>
      <c r="AF66" s="303"/>
      <c r="AG66" s="303"/>
      <c r="AH66" s="303"/>
      <c r="AI66" s="303"/>
      <c r="AJ66" s="303"/>
      <c r="AK66" s="303"/>
    </row>
    <row r="67" spans="1:37" s="334" customFormat="1" ht="12.95">
      <c r="A67" s="639" t="s">
        <v>587</v>
      </c>
      <c r="B67" s="640"/>
      <c r="C67" s="640"/>
      <c r="D67" s="641"/>
      <c r="E67" s="640"/>
      <c r="F67" s="640"/>
      <c r="G67" s="640"/>
      <c r="H67" s="640"/>
      <c r="I67" s="640"/>
      <c r="J67" s="640"/>
      <c r="K67" s="640"/>
      <c r="L67" s="640"/>
      <c r="M67" s="640"/>
      <c r="N67" s="640"/>
      <c r="O67" s="640"/>
      <c r="P67" s="641"/>
      <c r="Q67" s="641"/>
      <c r="R67" s="641"/>
      <c r="S67" s="641"/>
      <c r="T67" s="641"/>
      <c r="U67" s="641"/>
      <c r="V67" s="641"/>
      <c r="W67" s="640"/>
      <c r="X67" s="640"/>
      <c r="Y67" s="640"/>
      <c r="Z67" s="640"/>
      <c r="AA67" s="640"/>
      <c r="AB67" s="640"/>
      <c r="AF67" s="335"/>
      <c r="AG67" s="335"/>
      <c r="AH67" s="335"/>
      <c r="AI67" s="335"/>
      <c r="AJ67" s="335"/>
      <c r="AK67" s="335"/>
    </row>
    <row r="68" spans="1:37" s="334" customFormat="1" ht="12.95">
      <c r="A68" s="638" t="s">
        <v>588</v>
      </c>
      <c r="B68" s="638"/>
      <c r="C68" s="638"/>
      <c r="D68" s="638"/>
      <c r="E68" s="638"/>
      <c r="F68" s="638"/>
      <c r="G68" s="638"/>
      <c r="H68" s="638"/>
      <c r="I68" s="638"/>
      <c r="J68" s="638"/>
      <c r="K68" s="638"/>
      <c r="L68" s="638"/>
      <c r="M68" s="638"/>
      <c r="N68" s="638"/>
      <c r="O68" s="638"/>
      <c r="P68" s="638"/>
      <c r="Q68" s="638"/>
      <c r="R68" s="638"/>
      <c r="S68" s="638"/>
      <c r="T68" s="638"/>
      <c r="U68" s="638"/>
      <c r="V68" s="638"/>
      <c r="W68" s="638"/>
      <c r="X68" s="638"/>
      <c r="Y68" s="638"/>
      <c r="Z68" s="638"/>
      <c r="AA68" s="638"/>
      <c r="AB68" s="638"/>
      <c r="AF68" s="335"/>
      <c r="AG68" s="335"/>
      <c r="AH68" s="335"/>
      <c r="AI68" s="335"/>
      <c r="AJ68" s="335"/>
      <c r="AK68" s="335"/>
    </row>
    <row r="69" spans="1:37" s="334" customFormat="1" ht="12.95">
      <c r="A69" s="638" t="s">
        <v>589</v>
      </c>
      <c r="B69" s="638"/>
      <c r="C69" s="638"/>
      <c r="D69" s="638"/>
      <c r="E69" s="638"/>
      <c r="F69" s="638"/>
      <c r="G69" s="638"/>
      <c r="H69" s="638"/>
      <c r="I69" s="638"/>
      <c r="J69" s="638"/>
      <c r="K69" s="638"/>
      <c r="L69" s="638"/>
      <c r="M69" s="638"/>
      <c r="N69" s="638"/>
      <c r="O69" s="638"/>
      <c r="P69" s="638"/>
      <c r="Q69" s="638"/>
      <c r="R69" s="638"/>
      <c r="S69" s="638"/>
      <c r="T69" s="638"/>
      <c r="U69" s="638"/>
      <c r="V69" s="638"/>
      <c r="W69" s="638"/>
      <c r="X69" s="638"/>
      <c r="Y69" s="638"/>
      <c r="Z69" s="638"/>
      <c r="AA69" s="638"/>
      <c r="AB69" s="638"/>
      <c r="AF69" s="335"/>
      <c r="AG69" s="335"/>
      <c r="AH69" s="335"/>
      <c r="AI69" s="335"/>
      <c r="AJ69" s="335"/>
      <c r="AK69" s="335"/>
    </row>
    <row r="70" spans="1:37" s="334" customFormat="1" ht="12.95">
      <c r="A70" s="642" t="s">
        <v>590</v>
      </c>
      <c r="B70" s="642"/>
      <c r="C70" s="642"/>
      <c r="D70" s="642"/>
      <c r="E70" s="642"/>
      <c r="F70" s="642"/>
      <c r="G70" s="642"/>
      <c r="H70" s="642"/>
      <c r="I70" s="642"/>
      <c r="J70" s="642"/>
      <c r="K70" s="642"/>
      <c r="L70" s="642"/>
      <c r="M70" s="642"/>
      <c r="N70" s="642"/>
      <c r="O70" s="642"/>
      <c r="P70" s="642"/>
      <c r="Q70" s="642"/>
      <c r="R70" s="642"/>
      <c r="S70" s="642"/>
      <c r="T70" s="642"/>
      <c r="U70" s="642"/>
      <c r="V70" s="642"/>
      <c r="W70" s="642"/>
      <c r="X70" s="642"/>
      <c r="Y70" s="642"/>
      <c r="Z70" s="642"/>
      <c r="AA70" s="642"/>
      <c r="AB70" s="642"/>
      <c r="AF70" s="335"/>
      <c r="AG70" s="335"/>
      <c r="AH70" s="335"/>
      <c r="AI70" s="335"/>
      <c r="AJ70" s="335"/>
      <c r="AK70" s="335"/>
    </row>
    <row r="71" spans="1:37" s="334" customFormat="1" ht="26.1" customHeight="1">
      <c r="A71" s="637" t="s">
        <v>591</v>
      </c>
      <c r="B71" s="637"/>
      <c r="C71" s="637"/>
      <c r="D71" s="637"/>
      <c r="E71" s="637"/>
      <c r="F71" s="637"/>
      <c r="G71" s="637"/>
      <c r="H71" s="637"/>
      <c r="I71" s="637"/>
      <c r="J71" s="637"/>
      <c r="K71" s="637"/>
      <c r="L71" s="637"/>
      <c r="M71" s="637"/>
      <c r="N71" s="637"/>
      <c r="O71" s="637"/>
      <c r="P71" s="637"/>
      <c r="Q71" s="637"/>
      <c r="R71" s="637"/>
      <c r="S71" s="637"/>
      <c r="T71" s="637"/>
      <c r="U71" s="637"/>
      <c r="V71" s="637"/>
      <c r="W71" s="637"/>
      <c r="X71" s="637"/>
      <c r="Y71" s="637"/>
      <c r="Z71" s="637"/>
      <c r="AA71" s="637"/>
      <c r="AB71" s="637"/>
      <c r="AF71" s="335"/>
      <c r="AG71" s="335"/>
      <c r="AH71" s="335"/>
      <c r="AI71" s="335"/>
      <c r="AJ71" s="335"/>
      <c r="AK71" s="335"/>
    </row>
    <row r="72" spans="1:37" s="334" customFormat="1" ht="12.95">
      <c r="A72" s="638" t="s">
        <v>592</v>
      </c>
      <c r="B72" s="638"/>
      <c r="C72" s="638"/>
      <c r="D72" s="638"/>
      <c r="E72" s="638"/>
      <c r="F72" s="638"/>
      <c r="G72" s="638"/>
      <c r="H72" s="638"/>
      <c r="I72" s="638"/>
      <c r="J72" s="638"/>
      <c r="K72" s="638"/>
      <c r="L72" s="638"/>
      <c r="M72" s="638"/>
      <c r="N72" s="638"/>
      <c r="O72" s="638"/>
      <c r="P72" s="638"/>
      <c r="Q72" s="638"/>
      <c r="R72" s="638"/>
      <c r="S72" s="638"/>
      <c r="T72" s="638"/>
      <c r="U72" s="638"/>
      <c r="V72" s="638"/>
      <c r="W72" s="638"/>
      <c r="X72" s="638"/>
      <c r="Y72" s="638"/>
      <c r="Z72" s="638"/>
      <c r="AA72" s="638"/>
      <c r="AB72" s="638"/>
      <c r="AF72" s="335"/>
      <c r="AG72" s="335"/>
      <c r="AH72" s="335"/>
      <c r="AI72" s="335"/>
      <c r="AJ72" s="335"/>
      <c r="AK72" s="335"/>
    </row>
    <row r="74" spans="1:37">
      <c r="A74" t="s">
        <v>593</v>
      </c>
    </row>
  </sheetData>
  <mergeCells count="28">
    <mergeCell ref="Q5:S5"/>
    <mergeCell ref="T5:V5"/>
    <mergeCell ref="A71:AB71"/>
    <mergeCell ref="A72:AB72"/>
    <mergeCell ref="W5:Y5"/>
    <mergeCell ref="Z5:AB5"/>
    <mergeCell ref="A67:AB67"/>
    <mergeCell ref="A68:AB68"/>
    <mergeCell ref="A69:AB69"/>
    <mergeCell ref="A70:AB70"/>
    <mergeCell ref="B5:D5"/>
    <mergeCell ref="E5:G5"/>
    <mergeCell ref="H5:J5"/>
    <mergeCell ref="K5:M5"/>
    <mergeCell ref="N5:P5"/>
    <mergeCell ref="A1:AB1"/>
    <mergeCell ref="A2:AB2"/>
    <mergeCell ref="A3:A4"/>
    <mergeCell ref="B3:D4"/>
    <mergeCell ref="E3:V3"/>
    <mergeCell ref="W3:Y4"/>
    <mergeCell ref="Z3:AB4"/>
    <mergeCell ref="E4:G4"/>
    <mergeCell ref="H4:J4"/>
    <mergeCell ref="K4:M4"/>
    <mergeCell ref="N4:P4"/>
    <mergeCell ref="Q4:S4"/>
    <mergeCell ref="T4:V4"/>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1"/>
  </sheetPr>
  <dimension ref="A1:N63"/>
  <sheetViews>
    <sheetView topLeftCell="A49" workbookViewId="0">
      <selection activeCell="A62" sqref="A62"/>
    </sheetView>
  </sheetViews>
  <sheetFormatPr defaultRowHeight="12.6"/>
  <cols>
    <col min="1" max="1" width="27.28515625" customWidth="1"/>
    <col min="2" max="14" width="9.7109375" bestFit="1" customWidth="1"/>
  </cols>
  <sheetData>
    <row r="1" spans="1:14">
      <c r="A1" s="2" t="s">
        <v>594</v>
      </c>
    </row>
    <row r="2" spans="1:14">
      <c r="A2" s="2" t="s">
        <v>595</v>
      </c>
    </row>
    <row r="3" spans="1:14">
      <c r="A3" s="2" t="s">
        <v>183</v>
      </c>
    </row>
    <row r="4" spans="1:14">
      <c r="A4" s="2"/>
      <c r="B4" s="27" t="s">
        <v>234</v>
      </c>
      <c r="C4" s="27" t="s">
        <v>235</v>
      </c>
      <c r="D4" s="27" t="s">
        <v>236</v>
      </c>
      <c r="E4" s="27" t="s">
        <v>237</v>
      </c>
      <c r="F4" s="27" t="s">
        <v>238</v>
      </c>
      <c r="G4" s="27" t="s">
        <v>239</v>
      </c>
      <c r="H4" s="27" t="s">
        <v>240</v>
      </c>
      <c r="I4" s="27" t="s">
        <v>596</v>
      </c>
      <c r="J4" s="27" t="s">
        <v>241</v>
      </c>
      <c r="K4" s="27" t="s">
        <v>597</v>
      </c>
      <c r="L4" s="27" t="s">
        <v>242</v>
      </c>
      <c r="M4" s="27" t="s">
        <v>598</v>
      </c>
      <c r="N4" s="27" t="s">
        <v>599</v>
      </c>
    </row>
    <row r="5" spans="1:14">
      <c r="A5" s="2" t="s">
        <v>600</v>
      </c>
      <c r="B5" s="8">
        <v>3121630</v>
      </c>
      <c r="C5" s="8">
        <v>3103680</v>
      </c>
      <c r="D5" s="8">
        <v>3110140</v>
      </c>
      <c r="E5" s="8">
        <v>3070410</v>
      </c>
      <c r="F5" s="8">
        <v>3031410</v>
      </c>
      <c r="G5" s="8">
        <v>3047810</v>
      </c>
      <c r="H5" s="8">
        <v>3066370</v>
      </c>
      <c r="I5" s="8">
        <v>3106010</v>
      </c>
      <c r="J5" s="8">
        <v>3100960</v>
      </c>
      <c r="K5" s="8">
        <v>3085660</v>
      </c>
      <c r="L5" s="8">
        <v>3115190</v>
      </c>
      <c r="M5" s="8">
        <v>3130440</v>
      </c>
      <c r="N5" s="8">
        <v>3146620</v>
      </c>
    </row>
    <row r="6" spans="1:14">
      <c r="A6" s="2" t="s">
        <v>601</v>
      </c>
      <c r="B6" s="2">
        <v>1107200</v>
      </c>
      <c r="C6" s="2">
        <v>1104730</v>
      </c>
      <c r="D6" s="2">
        <v>1121490</v>
      </c>
      <c r="E6" s="2">
        <v>1118200</v>
      </c>
      <c r="F6" s="2">
        <v>1116330</v>
      </c>
      <c r="G6" s="2">
        <v>1130470</v>
      </c>
      <c r="H6" s="2">
        <v>1146240</v>
      </c>
      <c r="I6" s="2">
        <v>1172090</v>
      </c>
      <c r="J6" s="2">
        <v>1178000</v>
      </c>
      <c r="K6" s="2">
        <v>1171250</v>
      </c>
      <c r="L6" s="2">
        <v>1177880</v>
      </c>
      <c r="M6" s="2">
        <v>1181630</v>
      </c>
      <c r="N6" s="2">
        <v>1198830</v>
      </c>
    </row>
    <row r="7" spans="1:14">
      <c r="A7" s="2" t="s">
        <v>33</v>
      </c>
      <c r="B7" s="2">
        <v>44210</v>
      </c>
      <c r="C7" s="2">
        <v>44030</v>
      </c>
      <c r="D7" s="2">
        <v>43050</v>
      </c>
      <c r="E7" s="2">
        <v>42560</v>
      </c>
      <c r="F7" s="2">
        <v>41760</v>
      </c>
      <c r="G7" s="2">
        <v>42430</v>
      </c>
      <c r="H7" s="2">
        <v>42550</v>
      </c>
      <c r="I7" s="2">
        <v>42990</v>
      </c>
      <c r="J7" s="2">
        <v>42860</v>
      </c>
      <c r="K7" s="2">
        <v>41190</v>
      </c>
      <c r="L7" s="2">
        <v>40770</v>
      </c>
      <c r="M7" s="2">
        <v>40790</v>
      </c>
      <c r="N7" s="2">
        <v>40690</v>
      </c>
    </row>
    <row r="8" spans="1:14">
      <c r="A8" s="2" t="s">
        <v>34</v>
      </c>
      <c r="B8" s="2">
        <v>28110</v>
      </c>
      <c r="C8" s="2">
        <v>28210</v>
      </c>
      <c r="D8" s="2">
        <v>28210</v>
      </c>
      <c r="E8" s="2">
        <v>28540</v>
      </c>
      <c r="F8" s="2">
        <v>28810</v>
      </c>
      <c r="G8" s="2">
        <v>28810</v>
      </c>
      <c r="H8" s="2">
        <v>29210</v>
      </c>
      <c r="I8" s="2">
        <v>29200</v>
      </c>
      <c r="J8" s="2">
        <v>29480</v>
      </c>
      <c r="K8" s="2">
        <v>29470</v>
      </c>
      <c r="L8" s="2">
        <v>29380</v>
      </c>
      <c r="M8" s="2">
        <v>29380</v>
      </c>
      <c r="N8" s="2">
        <v>29310</v>
      </c>
    </row>
    <row r="9" spans="1:14">
      <c r="A9" s="2" t="s">
        <v>35</v>
      </c>
      <c r="B9" s="2">
        <v>8220</v>
      </c>
      <c r="C9" s="2">
        <v>8320</v>
      </c>
      <c r="D9" s="2">
        <v>8140</v>
      </c>
      <c r="E9" s="2">
        <v>7950</v>
      </c>
      <c r="F9" s="2">
        <v>7820</v>
      </c>
      <c r="G9" s="2">
        <v>7610</v>
      </c>
      <c r="H9" s="2">
        <v>7770</v>
      </c>
      <c r="I9" s="2">
        <v>7970</v>
      </c>
      <c r="J9" s="2">
        <v>8160</v>
      </c>
      <c r="K9" s="2">
        <v>8100</v>
      </c>
      <c r="L9" s="2">
        <v>8560</v>
      </c>
      <c r="M9" s="2">
        <v>8380</v>
      </c>
      <c r="N9" s="2">
        <v>8510</v>
      </c>
    </row>
    <row r="10" spans="1:14">
      <c r="A10" s="2" t="s">
        <v>36</v>
      </c>
      <c r="B10" s="2">
        <v>160570</v>
      </c>
      <c r="C10" s="2">
        <v>157050</v>
      </c>
      <c r="D10" s="2">
        <v>164790</v>
      </c>
      <c r="E10" s="2">
        <v>163860</v>
      </c>
      <c r="F10" s="2">
        <v>166890</v>
      </c>
      <c r="G10" s="2">
        <v>165210</v>
      </c>
      <c r="H10" s="2">
        <v>168260</v>
      </c>
      <c r="I10" s="2">
        <v>169610</v>
      </c>
      <c r="J10" s="2">
        <v>171040</v>
      </c>
      <c r="K10" s="2">
        <v>166750</v>
      </c>
      <c r="L10" s="2">
        <v>167980</v>
      </c>
      <c r="M10" s="2">
        <v>170560</v>
      </c>
      <c r="N10" s="2">
        <v>172920</v>
      </c>
    </row>
    <row r="11" spans="1:14">
      <c r="A11" s="2" t="s">
        <v>37</v>
      </c>
      <c r="B11" s="2">
        <v>93410</v>
      </c>
      <c r="C11" s="2">
        <v>91780</v>
      </c>
      <c r="D11" s="2">
        <v>92890</v>
      </c>
      <c r="E11" s="2">
        <v>93770</v>
      </c>
      <c r="F11" s="2">
        <v>93390</v>
      </c>
      <c r="G11" s="2">
        <v>95300</v>
      </c>
      <c r="H11" s="2">
        <v>96430</v>
      </c>
      <c r="I11" s="2">
        <v>98350</v>
      </c>
      <c r="J11" s="2">
        <v>98220</v>
      </c>
      <c r="K11" s="2">
        <v>96670</v>
      </c>
      <c r="L11" s="2">
        <v>95860</v>
      </c>
      <c r="M11" s="2">
        <v>96180</v>
      </c>
      <c r="N11" s="2">
        <v>96930</v>
      </c>
    </row>
    <row r="12" spans="1:14">
      <c r="A12" s="2" t="s">
        <v>38</v>
      </c>
      <c r="B12" s="2">
        <v>41540</v>
      </c>
      <c r="C12" s="2">
        <v>41750</v>
      </c>
      <c r="D12" s="2">
        <v>41700</v>
      </c>
      <c r="E12" s="2">
        <v>40130</v>
      </c>
      <c r="F12" s="2">
        <v>39350</v>
      </c>
      <c r="G12" s="2">
        <v>40700</v>
      </c>
      <c r="H12" s="2">
        <v>40790</v>
      </c>
      <c r="I12" s="2">
        <v>41730</v>
      </c>
      <c r="J12" s="2">
        <v>42250</v>
      </c>
      <c r="K12" s="2">
        <v>41120</v>
      </c>
      <c r="L12" s="2">
        <v>41190</v>
      </c>
      <c r="M12" s="2">
        <v>41470</v>
      </c>
      <c r="N12" s="2">
        <v>41690</v>
      </c>
    </row>
    <row r="13" spans="1:14">
      <c r="A13" s="2" t="s">
        <v>39</v>
      </c>
      <c r="B13" s="2">
        <v>34330</v>
      </c>
      <c r="C13" s="2">
        <v>34920</v>
      </c>
      <c r="D13" s="2">
        <v>35510</v>
      </c>
      <c r="E13" s="2">
        <v>36510</v>
      </c>
      <c r="F13" s="2">
        <v>34150</v>
      </c>
      <c r="G13" s="2">
        <v>35870</v>
      </c>
      <c r="H13" s="2">
        <v>35850</v>
      </c>
      <c r="I13" s="2">
        <v>38490</v>
      </c>
      <c r="J13" s="2">
        <v>37580</v>
      </c>
      <c r="K13" s="2">
        <v>37260</v>
      </c>
      <c r="L13" s="2">
        <v>37350</v>
      </c>
      <c r="M13" s="2">
        <v>37140</v>
      </c>
      <c r="N13" s="2">
        <v>37190</v>
      </c>
    </row>
    <row r="14" spans="1:14">
      <c r="A14" s="2" t="s">
        <v>40</v>
      </c>
      <c r="B14" s="2">
        <v>58010</v>
      </c>
      <c r="C14" s="2">
        <v>57770</v>
      </c>
      <c r="D14" s="2">
        <v>57220</v>
      </c>
      <c r="E14" s="2">
        <v>55910</v>
      </c>
      <c r="F14" s="2">
        <v>55390</v>
      </c>
      <c r="G14" s="2">
        <v>55190</v>
      </c>
      <c r="H14" s="2">
        <v>54310</v>
      </c>
      <c r="I14" s="2">
        <v>55520</v>
      </c>
      <c r="J14" s="2">
        <v>54930</v>
      </c>
      <c r="K14" s="2">
        <v>56960</v>
      </c>
      <c r="L14" s="2">
        <v>57740</v>
      </c>
      <c r="M14" s="2">
        <v>58440</v>
      </c>
      <c r="N14" s="2">
        <v>59170</v>
      </c>
    </row>
    <row r="15" spans="1:14">
      <c r="A15" s="2" t="s">
        <v>41</v>
      </c>
      <c r="B15" s="2">
        <v>26160</v>
      </c>
      <c r="C15" s="2">
        <v>25670</v>
      </c>
      <c r="D15" s="2">
        <v>26020</v>
      </c>
      <c r="E15" s="2">
        <v>25200</v>
      </c>
      <c r="F15" s="2">
        <v>24720</v>
      </c>
      <c r="G15" s="2">
        <v>24610</v>
      </c>
      <c r="H15" s="2">
        <v>25020</v>
      </c>
      <c r="I15" s="2">
        <v>25780</v>
      </c>
      <c r="J15" s="2">
        <v>25020</v>
      </c>
      <c r="K15" s="2">
        <v>24710</v>
      </c>
      <c r="L15" s="2">
        <v>24170</v>
      </c>
      <c r="M15" s="2">
        <v>24790</v>
      </c>
      <c r="N15" s="2">
        <v>24540</v>
      </c>
    </row>
    <row r="16" spans="1:14">
      <c r="A16" s="2" t="s">
        <v>42</v>
      </c>
      <c r="B16" s="2">
        <v>86580</v>
      </c>
      <c r="C16" s="2">
        <v>88940</v>
      </c>
      <c r="D16" s="2">
        <v>89120</v>
      </c>
      <c r="E16" s="2">
        <v>89170</v>
      </c>
      <c r="F16" s="2">
        <v>88620</v>
      </c>
      <c r="G16" s="2">
        <v>90120</v>
      </c>
      <c r="H16" s="2">
        <v>91620</v>
      </c>
      <c r="I16" s="2">
        <v>93600</v>
      </c>
      <c r="J16" s="2">
        <v>95130</v>
      </c>
      <c r="K16" s="2">
        <v>94050</v>
      </c>
      <c r="L16" s="2">
        <v>94620</v>
      </c>
      <c r="M16" s="2">
        <v>87310</v>
      </c>
      <c r="N16" s="2">
        <v>94670</v>
      </c>
    </row>
    <row r="17" spans="1:14">
      <c r="A17" s="2" t="s">
        <v>43</v>
      </c>
      <c r="B17" s="2">
        <v>37830</v>
      </c>
      <c r="C17" s="2">
        <v>37660</v>
      </c>
      <c r="D17" s="2">
        <v>37520</v>
      </c>
      <c r="E17" s="2">
        <v>37310</v>
      </c>
      <c r="F17" s="2">
        <v>37330</v>
      </c>
      <c r="G17" s="2">
        <v>38740</v>
      </c>
      <c r="H17" s="2">
        <v>39100</v>
      </c>
      <c r="I17" s="2">
        <v>39580</v>
      </c>
      <c r="J17" s="2">
        <v>39800</v>
      </c>
      <c r="K17" s="2">
        <v>40130</v>
      </c>
      <c r="L17" s="2">
        <v>40790</v>
      </c>
      <c r="M17" s="2">
        <v>40820</v>
      </c>
      <c r="N17" s="2">
        <v>41430</v>
      </c>
    </row>
    <row r="18" spans="1:14">
      <c r="A18" s="2" t="s">
        <v>44</v>
      </c>
      <c r="B18" s="2">
        <v>40050</v>
      </c>
      <c r="C18" s="2">
        <v>40050</v>
      </c>
      <c r="D18" s="2">
        <v>39830</v>
      </c>
      <c r="E18" s="2">
        <v>39420</v>
      </c>
      <c r="F18" s="2">
        <v>38580</v>
      </c>
      <c r="G18" s="2">
        <v>39680</v>
      </c>
      <c r="H18" s="2">
        <v>40250</v>
      </c>
      <c r="I18" s="2">
        <v>41410</v>
      </c>
      <c r="J18" s="2">
        <v>41760</v>
      </c>
      <c r="K18" s="2">
        <v>40980</v>
      </c>
      <c r="L18" s="2">
        <v>40850</v>
      </c>
      <c r="M18" s="2">
        <v>41490</v>
      </c>
      <c r="N18" s="2">
        <v>42100</v>
      </c>
    </row>
    <row r="19" spans="1:14">
      <c r="A19" s="2" t="s">
        <v>45</v>
      </c>
      <c r="B19" s="2">
        <v>62880</v>
      </c>
      <c r="C19" s="2">
        <v>63080</v>
      </c>
      <c r="D19" s="2">
        <v>62670</v>
      </c>
      <c r="E19" s="2">
        <v>61490</v>
      </c>
      <c r="F19" s="2">
        <v>61780</v>
      </c>
      <c r="G19" s="2">
        <v>63430</v>
      </c>
      <c r="H19" s="2">
        <v>64650</v>
      </c>
      <c r="I19" s="2">
        <v>65570</v>
      </c>
      <c r="J19" s="2">
        <v>65750</v>
      </c>
      <c r="K19" s="2">
        <v>65110</v>
      </c>
      <c r="L19" s="2">
        <v>65410</v>
      </c>
      <c r="M19" s="2">
        <v>65730</v>
      </c>
      <c r="N19" s="2">
        <v>66530</v>
      </c>
    </row>
    <row r="20" spans="1:14">
      <c r="A20" s="2" t="s">
        <v>46</v>
      </c>
      <c r="B20" s="2">
        <v>282670</v>
      </c>
      <c r="C20" s="2">
        <v>282960</v>
      </c>
      <c r="D20" s="2">
        <v>292560</v>
      </c>
      <c r="E20" s="2">
        <v>295600</v>
      </c>
      <c r="F20" s="2">
        <v>298360</v>
      </c>
      <c r="G20" s="2">
        <v>302280</v>
      </c>
      <c r="H20" s="2">
        <v>309670</v>
      </c>
      <c r="I20" s="2">
        <v>319290</v>
      </c>
      <c r="J20" s="2">
        <v>323230</v>
      </c>
      <c r="K20" s="2">
        <v>325870</v>
      </c>
      <c r="L20" s="2">
        <v>330110</v>
      </c>
      <c r="M20" s="2">
        <v>334350</v>
      </c>
      <c r="N20" s="2">
        <v>338510</v>
      </c>
    </row>
    <row r="21" spans="1:14">
      <c r="A21" s="2" t="s">
        <v>48</v>
      </c>
      <c r="B21" s="2">
        <v>82080</v>
      </c>
      <c r="C21" s="2">
        <v>82140</v>
      </c>
      <c r="D21" s="2">
        <v>82070</v>
      </c>
      <c r="E21" s="2">
        <v>81050</v>
      </c>
      <c r="F21" s="2">
        <v>79710</v>
      </c>
      <c r="G21" s="2">
        <v>80730</v>
      </c>
      <c r="H21" s="2">
        <v>81400</v>
      </c>
      <c r="I21" s="2">
        <v>83160</v>
      </c>
      <c r="J21" s="2">
        <v>83220</v>
      </c>
      <c r="K21" s="2">
        <v>83260</v>
      </c>
      <c r="L21" s="2">
        <v>83960</v>
      </c>
      <c r="M21" s="2">
        <v>85400</v>
      </c>
      <c r="N21" s="2">
        <v>85110</v>
      </c>
    </row>
    <row r="22" spans="1:14">
      <c r="A22" s="2" t="s">
        <v>49</v>
      </c>
      <c r="B22" s="2">
        <v>17260</v>
      </c>
      <c r="C22" s="2">
        <v>17320</v>
      </c>
      <c r="D22" s="2">
        <v>17100</v>
      </c>
      <c r="E22" s="2">
        <v>16710</v>
      </c>
      <c r="F22" s="2">
        <v>16590</v>
      </c>
      <c r="G22" s="2">
        <v>16800</v>
      </c>
      <c r="H22" s="2">
        <v>16570</v>
      </c>
      <c r="I22" s="2">
        <v>16950</v>
      </c>
      <c r="J22" s="2">
        <v>16650</v>
      </c>
      <c r="K22" s="2">
        <v>16880</v>
      </c>
      <c r="L22" s="2">
        <v>16450</v>
      </c>
      <c r="M22" s="2">
        <v>16690</v>
      </c>
      <c r="N22" s="2">
        <v>16600</v>
      </c>
    </row>
    <row r="23" spans="1:14">
      <c r="A23" s="2" t="s">
        <v>50</v>
      </c>
      <c r="B23" s="2">
        <v>755490</v>
      </c>
      <c r="C23" s="2">
        <v>759460</v>
      </c>
      <c r="D23" s="2">
        <v>757010</v>
      </c>
      <c r="E23" s="2">
        <v>749140</v>
      </c>
      <c r="F23" s="2">
        <v>739010</v>
      </c>
      <c r="G23" s="2">
        <v>734670</v>
      </c>
      <c r="H23" s="2">
        <v>740720</v>
      </c>
      <c r="I23" s="2">
        <v>746600</v>
      </c>
      <c r="J23" s="2">
        <v>736160</v>
      </c>
      <c r="K23" s="2">
        <v>740280</v>
      </c>
      <c r="L23" s="2">
        <v>752930</v>
      </c>
      <c r="M23" s="2">
        <v>758330</v>
      </c>
      <c r="N23" s="2">
        <v>773420</v>
      </c>
    </row>
    <row r="24" spans="1:14">
      <c r="A24" s="2" t="s">
        <v>51</v>
      </c>
      <c r="B24" s="2">
        <v>7750</v>
      </c>
      <c r="C24" s="2">
        <v>7970</v>
      </c>
      <c r="D24" s="2">
        <v>7230</v>
      </c>
      <c r="E24" s="2">
        <v>7210</v>
      </c>
      <c r="F24" s="2">
        <v>7100</v>
      </c>
      <c r="G24" s="2">
        <v>7050</v>
      </c>
      <c r="H24" s="2">
        <v>7280</v>
      </c>
      <c r="I24" s="2">
        <v>7260</v>
      </c>
      <c r="J24" s="2">
        <v>7240</v>
      </c>
      <c r="K24" s="2">
        <v>7180</v>
      </c>
      <c r="L24" s="2">
        <v>7350</v>
      </c>
      <c r="M24" s="2">
        <v>7480</v>
      </c>
      <c r="N24" s="2">
        <v>7650</v>
      </c>
    </row>
    <row r="25" spans="1:14">
      <c r="A25" s="2" t="s">
        <v>52</v>
      </c>
      <c r="B25" s="2">
        <v>65010</v>
      </c>
      <c r="C25" s="2">
        <v>64910</v>
      </c>
      <c r="D25" s="2">
        <v>64090</v>
      </c>
      <c r="E25" s="2">
        <v>63380</v>
      </c>
      <c r="F25" s="2">
        <v>60610</v>
      </c>
      <c r="G25" s="2">
        <v>60690</v>
      </c>
      <c r="H25" s="2">
        <v>61450</v>
      </c>
      <c r="I25" s="2">
        <v>63030</v>
      </c>
      <c r="J25" s="2">
        <v>64120</v>
      </c>
      <c r="K25" s="2">
        <v>65010</v>
      </c>
      <c r="L25" s="2">
        <v>66930</v>
      </c>
      <c r="M25" s="2">
        <v>68110</v>
      </c>
      <c r="N25" s="2">
        <v>68860</v>
      </c>
    </row>
    <row r="26" spans="1:14">
      <c r="A26" s="2" t="s">
        <v>53</v>
      </c>
      <c r="B26" s="2">
        <v>414180</v>
      </c>
      <c r="C26" s="2">
        <v>415600</v>
      </c>
      <c r="D26" s="2">
        <v>415370</v>
      </c>
      <c r="E26" s="2">
        <v>409660</v>
      </c>
      <c r="F26" s="2">
        <v>403390</v>
      </c>
      <c r="G26" s="2">
        <v>394320</v>
      </c>
      <c r="H26" s="2">
        <v>394770</v>
      </c>
      <c r="I26" s="2">
        <v>395410</v>
      </c>
      <c r="J26" s="2">
        <v>382140</v>
      </c>
      <c r="K26" s="2">
        <v>384890</v>
      </c>
      <c r="L26" s="2">
        <v>390060</v>
      </c>
      <c r="M26" s="2">
        <v>391910</v>
      </c>
      <c r="N26" s="2">
        <v>403250</v>
      </c>
    </row>
    <row r="27" spans="1:14">
      <c r="A27" s="2" t="s">
        <v>54</v>
      </c>
      <c r="B27" s="2">
        <v>51000</v>
      </c>
      <c r="C27" s="2">
        <v>51430</v>
      </c>
      <c r="D27" s="2">
        <v>52150</v>
      </c>
      <c r="E27" s="2">
        <v>52110</v>
      </c>
      <c r="F27" s="2">
        <v>52180</v>
      </c>
      <c r="G27" s="2">
        <v>53280</v>
      </c>
      <c r="H27" s="2">
        <v>54290</v>
      </c>
      <c r="I27" s="2">
        <v>55930</v>
      </c>
      <c r="J27" s="2">
        <v>56830</v>
      </c>
      <c r="K27" s="2">
        <v>57640</v>
      </c>
      <c r="L27" s="2">
        <v>59260</v>
      </c>
      <c r="M27" s="2">
        <v>58980</v>
      </c>
      <c r="N27" s="2">
        <v>59700</v>
      </c>
    </row>
    <row r="28" spans="1:14">
      <c r="A28" s="2" t="s">
        <v>55</v>
      </c>
      <c r="B28" s="2">
        <v>11090</v>
      </c>
      <c r="C28" s="2">
        <v>11360</v>
      </c>
      <c r="D28" s="2">
        <v>11000</v>
      </c>
      <c r="E28" s="2">
        <v>10900</v>
      </c>
      <c r="F28" s="2">
        <v>10630</v>
      </c>
      <c r="G28" s="2">
        <v>10790</v>
      </c>
      <c r="H28" s="2">
        <v>10960</v>
      </c>
      <c r="I28" s="2">
        <v>11070</v>
      </c>
      <c r="J28" s="2">
        <v>10530</v>
      </c>
      <c r="K28" s="2">
        <v>11050</v>
      </c>
      <c r="L28" s="2">
        <v>11190</v>
      </c>
      <c r="M28" s="2">
        <v>11170</v>
      </c>
      <c r="N28" s="2">
        <v>11310</v>
      </c>
    </row>
    <row r="29" spans="1:14">
      <c r="A29" s="2" t="s">
        <v>56</v>
      </c>
      <c r="B29" s="2">
        <v>17440</v>
      </c>
      <c r="C29" s="2">
        <v>17500</v>
      </c>
      <c r="D29" s="2">
        <v>17330</v>
      </c>
      <c r="E29" s="2">
        <v>17620</v>
      </c>
      <c r="F29" s="2">
        <v>17150</v>
      </c>
      <c r="G29" s="2">
        <v>17600</v>
      </c>
      <c r="H29" s="2">
        <v>18180</v>
      </c>
      <c r="I29" s="2">
        <v>18340</v>
      </c>
      <c r="J29" s="2">
        <v>18620</v>
      </c>
      <c r="K29" s="2">
        <v>18830</v>
      </c>
      <c r="L29" s="2">
        <v>19070</v>
      </c>
      <c r="M29" s="2">
        <v>19460</v>
      </c>
      <c r="N29" s="2">
        <v>20050</v>
      </c>
    </row>
    <row r="30" spans="1:14">
      <c r="A30" s="2" t="s">
        <v>57</v>
      </c>
      <c r="B30" s="2">
        <v>9700</v>
      </c>
      <c r="C30" s="2">
        <v>9600</v>
      </c>
      <c r="D30" s="2">
        <v>9260</v>
      </c>
      <c r="E30" s="2">
        <v>9350</v>
      </c>
      <c r="F30" s="2">
        <v>9180</v>
      </c>
      <c r="G30" s="2">
        <v>9190</v>
      </c>
      <c r="H30" s="2">
        <v>9280</v>
      </c>
      <c r="I30" s="2">
        <v>9140</v>
      </c>
      <c r="J30" s="2">
        <v>9340</v>
      </c>
      <c r="K30" s="2">
        <v>9350</v>
      </c>
      <c r="L30" s="2">
        <v>9480</v>
      </c>
      <c r="M30" s="2">
        <v>9650</v>
      </c>
      <c r="N30" s="2">
        <v>9610</v>
      </c>
    </row>
    <row r="31" spans="1:14">
      <c r="A31" s="2" t="s">
        <v>58</v>
      </c>
      <c r="B31" s="2">
        <v>23460</v>
      </c>
      <c r="C31" s="2">
        <v>24360</v>
      </c>
      <c r="D31" s="2">
        <v>24350</v>
      </c>
      <c r="E31" s="2">
        <v>23820</v>
      </c>
      <c r="F31" s="2">
        <v>23630</v>
      </c>
      <c r="G31" s="2">
        <v>24030</v>
      </c>
      <c r="H31" s="2">
        <v>24580</v>
      </c>
      <c r="I31" s="2">
        <v>24560</v>
      </c>
      <c r="J31" s="2">
        <v>25240</v>
      </c>
      <c r="K31" s="2">
        <v>25130</v>
      </c>
      <c r="L31" s="2">
        <v>25000</v>
      </c>
      <c r="M31" s="2">
        <v>25100</v>
      </c>
      <c r="N31" s="2">
        <v>25570</v>
      </c>
    </row>
    <row r="32" spans="1:14">
      <c r="A32" s="2" t="s">
        <v>59</v>
      </c>
      <c r="B32" s="2">
        <v>18900</v>
      </c>
      <c r="C32" s="2">
        <v>18980</v>
      </c>
      <c r="D32" s="2">
        <v>18470</v>
      </c>
      <c r="E32" s="2">
        <v>18130</v>
      </c>
      <c r="F32" s="2">
        <v>18310</v>
      </c>
      <c r="G32" s="2">
        <v>18280</v>
      </c>
      <c r="H32" s="2">
        <v>18850</v>
      </c>
      <c r="I32" s="2">
        <v>18980</v>
      </c>
      <c r="J32" s="2">
        <v>19140</v>
      </c>
      <c r="K32" s="2">
        <v>19170</v>
      </c>
      <c r="L32" s="2">
        <v>19190</v>
      </c>
      <c r="M32" s="2">
        <v>19440</v>
      </c>
      <c r="N32" s="2">
        <v>19580</v>
      </c>
    </row>
    <row r="33" spans="1:14">
      <c r="A33" s="2" t="s">
        <v>60</v>
      </c>
      <c r="B33" s="2">
        <v>34690</v>
      </c>
      <c r="C33" s="2">
        <v>34460</v>
      </c>
      <c r="D33" s="2">
        <v>34010</v>
      </c>
      <c r="E33" s="2">
        <v>34160</v>
      </c>
      <c r="F33" s="2">
        <v>33650</v>
      </c>
      <c r="G33" s="2">
        <v>34300</v>
      </c>
      <c r="H33" s="2">
        <v>34260</v>
      </c>
      <c r="I33" s="2">
        <v>34430</v>
      </c>
      <c r="J33" s="2">
        <v>34370</v>
      </c>
      <c r="K33" s="2">
        <v>33820</v>
      </c>
      <c r="L33" s="2">
        <v>34430</v>
      </c>
      <c r="M33" s="2">
        <v>34630</v>
      </c>
      <c r="N33" s="2">
        <v>34580</v>
      </c>
    </row>
    <row r="34" spans="1:14">
      <c r="A34" s="2" t="s">
        <v>61</v>
      </c>
      <c r="B34" s="2">
        <v>30850</v>
      </c>
      <c r="C34" s="2">
        <v>31620</v>
      </c>
      <c r="D34" s="2">
        <v>31990</v>
      </c>
      <c r="E34" s="2">
        <v>32350</v>
      </c>
      <c r="F34" s="2">
        <v>33390</v>
      </c>
      <c r="G34" s="2">
        <v>34850</v>
      </c>
      <c r="H34" s="2">
        <v>36000</v>
      </c>
      <c r="I34" s="2">
        <v>37100</v>
      </c>
      <c r="J34" s="2">
        <v>37410</v>
      </c>
      <c r="K34" s="2">
        <v>38020</v>
      </c>
      <c r="L34" s="2">
        <v>39330</v>
      </c>
      <c r="M34" s="2">
        <v>40120</v>
      </c>
      <c r="N34" s="2">
        <v>40350</v>
      </c>
    </row>
    <row r="35" spans="1:14">
      <c r="A35" s="2" t="s">
        <v>62</v>
      </c>
      <c r="B35" s="2">
        <v>65830</v>
      </c>
      <c r="C35" s="2">
        <v>66140</v>
      </c>
      <c r="D35" s="2">
        <v>66350</v>
      </c>
      <c r="E35" s="2">
        <v>65080</v>
      </c>
      <c r="F35" s="2">
        <v>64260</v>
      </c>
      <c r="G35" s="2">
        <v>64660</v>
      </c>
      <c r="H35" s="2">
        <v>65130</v>
      </c>
      <c r="I35" s="2">
        <v>65600</v>
      </c>
      <c r="J35" s="2">
        <v>65410</v>
      </c>
      <c r="K35" s="2">
        <v>64330</v>
      </c>
      <c r="L35" s="2">
        <v>65480</v>
      </c>
      <c r="M35" s="2">
        <v>66110</v>
      </c>
      <c r="N35" s="2">
        <v>66430</v>
      </c>
    </row>
    <row r="36" spans="1:14">
      <c r="A36" s="2" t="s">
        <v>63</v>
      </c>
      <c r="B36" s="2">
        <v>5600</v>
      </c>
      <c r="C36" s="2">
        <v>5550</v>
      </c>
      <c r="D36" s="2">
        <v>5440</v>
      </c>
      <c r="E36" s="2">
        <v>5390</v>
      </c>
      <c r="F36" s="2">
        <v>5530</v>
      </c>
      <c r="G36" s="2">
        <v>5630</v>
      </c>
      <c r="H36" s="2">
        <v>5700</v>
      </c>
      <c r="I36" s="2">
        <v>5770</v>
      </c>
      <c r="J36" s="2">
        <v>5780</v>
      </c>
      <c r="K36" s="2">
        <v>5870</v>
      </c>
      <c r="L36" s="2">
        <v>6160</v>
      </c>
      <c r="M36" s="2">
        <v>6190</v>
      </c>
      <c r="N36" s="2">
        <v>6470</v>
      </c>
    </row>
    <row r="37" spans="1:14">
      <c r="A37" s="2" t="s">
        <v>64</v>
      </c>
      <c r="B37" s="2">
        <v>702910</v>
      </c>
      <c r="C37" s="2">
        <v>691940</v>
      </c>
      <c r="D37" s="2">
        <v>689850</v>
      </c>
      <c r="E37" s="2">
        <v>678520</v>
      </c>
      <c r="F37" s="2">
        <v>664430</v>
      </c>
      <c r="G37" s="2">
        <v>672330</v>
      </c>
      <c r="H37" s="2">
        <v>671900</v>
      </c>
      <c r="I37" s="2">
        <v>678090</v>
      </c>
      <c r="J37" s="2">
        <v>680600</v>
      </c>
      <c r="K37" s="2">
        <v>672400</v>
      </c>
      <c r="L37" s="2">
        <v>675100</v>
      </c>
      <c r="M37" s="2">
        <v>681670</v>
      </c>
      <c r="N37" s="2">
        <v>671610</v>
      </c>
    </row>
    <row r="38" spans="1:14">
      <c r="A38" s="2" t="s">
        <v>65</v>
      </c>
      <c r="B38" s="2">
        <v>136400</v>
      </c>
      <c r="C38" s="2">
        <v>134660</v>
      </c>
      <c r="D38" s="2">
        <v>141290</v>
      </c>
      <c r="E38" s="2">
        <v>135860</v>
      </c>
      <c r="F38" s="2">
        <v>132500</v>
      </c>
      <c r="G38" s="2">
        <v>135230</v>
      </c>
      <c r="H38" s="2">
        <v>135830</v>
      </c>
      <c r="I38" s="2">
        <v>136970</v>
      </c>
      <c r="J38" s="2">
        <v>138510</v>
      </c>
      <c r="K38" s="2">
        <v>139070</v>
      </c>
      <c r="L38" s="2">
        <v>139010</v>
      </c>
      <c r="M38" s="2">
        <v>140870</v>
      </c>
      <c r="N38" s="2">
        <v>136320</v>
      </c>
    </row>
    <row r="39" spans="1:14">
      <c r="A39" s="2" t="s">
        <v>66</v>
      </c>
      <c r="B39" s="2">
        <v>65750</v>
      </c>
      <c r="C39" s="2">
        <v>65090</v>
      </c>
      <c r="D39" s="2">
        <v>65670</v>
      </c>
      <c r="E39" s="2">
        <v>66570</v>
      </c>
      <c r="F39" s="2">
        <v>64860</v>
      </c>
      <c r="G39" s="2">
        <v>64520</v>
      </c>
      <c r="H39" s="2">
        <v>64640</v>
      </c>
      <c r="I39" s="2">
        <v>65190</v>
      </c>
      <c r="J39" s="2">
        <v>66750</v>
      </c>
      <c r="K39" s="2">
        <v>63860</v>
      </c>
      <c r="L39" s="2">
        <v>63170</v>
      </c>
      <c r="M39" s="2">
        <v>63550</v>
      </c>
      <c r="N39" s="2">
        <v>62040</v>
      </c>
    </row>
    <row r="40" spans="1:14">
      <c r="A40" s="2" t="s">
        <v>67</v>
      </c>
      <c r="B40" s="2">
        <v>33370</v>
      </c>
      <c r="C40" s="2">
        <v>32820</v>
      </c>
      <c r="D40" s="2">
        <v>32150</v>
      </c>
      <c r="E40" s="2">
        <v>31960</v>
      </c>
      <c r="F40" s="2">
        <v>31770</v>
      </c>
      <c r="G40" s="2">
        <v>32010</v>
      </c>
      <c r="H40" s="2">
        <v>32100</v>
      </c>
      <c r="I40" s="2">
        <v>32530</v>
      </c>
      <c r="J40" s="2">
        <v>32270</v>
      </c>
      <c r="K40" s="2">
        <v>32220</v>
      </c>
      <c r="L40" s="2">
        <v>32680</v>
      </c>
      <c r="M40" s="2">
        <v>32840</v>
      </c>
      <c r="N40" s="2">
        <v>33290</v>
      </c>
    </row>
    <row r="41" spans="1:14">
      <c r="A41" s="2" t="s">
        <v>68</v>
      </c>
      <c r="B41" s="2">
        <v>31120</v>
      </c>
      <c r="C41" s="2">
        <v>30470</v>
      </c>
      <c r="D41" s="2">
        <v>30790</v>
      </c>
      <c r="E41" s="2">
        <v>30220</v>
      </c>
      <c r="F41" s="2">
        <v>29650</v>
      </c>
      <c r="G41" s="2">
        <v>30530</v>
      </c>
      <c r="H41" s="2">
        <v>30740</v>
      </c>
      <c r="I41" s="2">
        <v>31200</v>
      </c>
      <c r="J41" s="2">
        <v>31370</v>
      </c>
      <c r="K41" s="2">
        <v>31230</v>
      </c>
      <c r="L41" s="2">
        <v>31900</v>
      </c>
      <c r="M41" s="2">
        <v>31840</v>
      </c>
      <c r="N41" s="2">
        <v>32150</v>
      </c>
    </row>
    <row r="42" spans="1:14">
      <c r="A42" s="2" t="s">
        <v>69</v>
      </c>
      <c r="B42" s="2">
        <v>107080</v>
      </c>
      <c r="C42" s="2">
        <v>105580</v>
      </c>
      <c r="D42" s="2">
        <v>102770</v>
      </c>
      <c r="E42" s="2">
        <v>101970</v>
      </c>
      <c r="F42" s="2">
        <v>98030</v>
      </c>
      <c r="G42" s="2">
        <v>99420</v>
      </c>
      <c r="H42" s="2">
        <v>97710</v>
      </c>
      <c r="I42" s="2">
        <v>98100</v>
      </c>
      <c r="J42" s="2">
        <v>97490</v>
      </c>
      <c r="K42" s="2">
        <v>94450</v>
      </c>
      <c r="L42" s="2">
        <v>93630</v>
      </c>
      <c r="M42" s="2">
        <v>94170</v>
      </c>
      <c r="N42" s="2">
        <v>91050</v>
      </c>
    </row>
    <row r="43" spans="1:14">
      <c r="A43" s="2" t="s">
        <v>70</v>
      </c>
      <c r="B43" s="2">
        <v>58890</v>
      </c>
      <c r="C43" s="2">
        <v>57240</v>
      </c>
      <c r="D43" s="2">
        <v>56690</v>
      </c>
      <c r="E43" s="2">
        <v>55060</v>
      </c>
      <c r="F43" s="2">
        <v>55330</v>
      </c>
      <c r="G43" s="2">
        <v>55230</v>
      </c>
      <c r="H43" s="2">
        <v>55950</v>
      </c>
      <c r="I43" s="2">
        <v>56610</v>
      </c>
      <c r="J43" s="2">
        <v>57700</v>
      </c>
      <c r="K43" s="2">
        <v>57420</v>
      </c>
      <c r="L43" s="2">
        <v>59510</v>
      </c>
      <c r="M43" s="2">
        <v>61060</v>
      </c>
      <c r="N43" s="2">
        <v>60570</v>
      </c>
    </row>
    <row r="44" spans="1:14">
      <c r="A44" s="2" t="s">
        <v>71</v>
      </c>
      <c r="B44" s="2">
        <v>62170</v>
      </c>
      <c r="C44" s="2">
        <v>60760</v>
      </c>
      <c r="D44" s="2">
        <v>60190</v>
      </c>
      <c r="E44" s="2">
        <v>59720</v>
      </c>
      <c r="F44" s="2">
        <v>58810</v>
      </c>
      <c r="G44" s="2">
        <v>59990</v>
      </c>
      <c r="H44" s="2">
        <v>59360</v>
      </c>
      <c r="I44" s="2">
        <v>59780</v>
      </c>
      <c r="J44" s="2">
        <v>59310</v>
      </c>
      <c r="K44" s="2">
        <v>58480</v>
      </c>
      <c r="L44" s="2">
        <v>58820</v>
      </c>
      <c r="M44" s="2">
        <v>59220</v>
      </c>
      <c r="N44" s="2">
        <v>59680</v>
      </c>
    </row>
    <row r="45" spans="1:14">
      <c r="A45" s="2" t="s">
        <v>72</v>
      </c>
      <c r="B45" s="2">
        <v>19230</v>
      </c>
      <c r="C45" s="2">
        <v>19320</v>
      </c>
      <c r="D45" s="2">
        <v>19450</v>
      </c>
      <c r="E45" s="2">
        <v>19470</v>
      </c>
      <c r="F45" s="2">
        <v>18990</v>
      </c>
      <c r="G45" s="2">
        <v>19150</v>
      </c>
      <c r="H45" s="2">
        <v>19360</v>
      </c>
      <c r="I45" s="2">
        <v>19940</v>
      </c>
      <c r="J45" s="2">
        <v>20180</v>
      </c>
      <c r="K45" s="2">
        <v>20600</v>
      </c>
      <c r="L45" s="2">
        <v>20870</v>
      </c>
      <c r="M45" s="2">
        <v>21510</v>
      </c>
      <c r="N45" s="2">
        <v>21350</v>
      </c>
    </row>
    <row r="46" spans="1:14">
      <c r="A46" s="2" t="s">
        <v>73</v>
      </c>
      <c r="B46" s="2">
        <v>7060</v>
      </c>
      <c r="C46" s="2">
        <v>6840</v>
      </c>
      <c r="D46" s="2">
        <v>6830</v>
      </c>
      <c r="E46" s="2">
        <v>6720</v>
      </c>
      <c r="F46" s="2">
        <v>6660</v>
      </c>
      <c r="G46" s="2">
        <v>6790</v>
      </c>
      <c r="H46" s="2">
        <v>6730</v>
      </c>
      <c r="I46" s="2">
        <v>6480</v>
      </c>
      <c r="J46" s="2">
        <v>6790</v>
      </c>
      <c r="K46" s="2">
        <v>6870</v>
      </c>
      <c r="L46" s="2">
        <v>7180</v>
      </c>
      <c r="M46" s="2">
        <v>7520</v>
      </c>
      <c r="N46" s="2">
        <v>7560</v>
      </c>
    </row>
    <row r="47" spans="1:14">
      <c r="A47" s="2" t="s">
        <v>602</v>
      </c>
      <c r="B47" s="2">
        <v>110360</v>
      </c>
      <c r="C47" s="2">
        <v>109370</v>
      </c>
      <c r="D47" s="2">
        <v>106100</v>
      </c>
      <c r="E47" s="2">
        <v>103810</v>
      </c>
      <c r="F47" s="2">
        <v>101340</v>
      </c>
      <c r="G47" s="2">
        <v>102980</v>
      </c>
      <c r="H47" s="2">
        <v>102710</v>
      </c>
      <c r="I47" s="2">
        <v>103610</v>
      </c>
      <c r="J47" s="2">
        <v>103130</v>
      </c>
      <c r="K47" s="2">
        <v>101650</v>
      </c>
      <c r="L47" s="2">
        <v>101170</v>
      </c>
      <c r="M47" s="2">
        <v>100990</v>
      </c>
      <c r="N47" s="2">
        <v>99610</v>
      </c>
    </row>
    <row r="48" spans="1:14">
      <c r="A48" s="2" t="s">
        <v>75</v>
      </c>
      <c r="B48" s="2">
        <v>8460</v>
      </c>
      <c r="C48" s="2">
        <v>8090</v>
      </c>
      <c r="D48" s="2">
        <v>8030</v>
      </c>
      <c r="E48" s="2">
        <v>8040</v>
      </c>
      <c r="F48" s="2">
        <v>8000</v>
      </c>
      <c r="G48" s="2">
        <v>7880</v>
      </c>
      <c r="H48" s="2">
        <v>7990</v>
      </c>
      <c r="I48" s="2">
        <v>8080</v>
      </c>
      <c r="J48" s="2">
        <v>7920</v>
      </c>
      <c r="K48" s="2">
        <v>8070</v>
      </c>
      <c r="L48" s="2">
        <v>8300</v>
      </c>
      <c r="M48" s="2">
        <v>8470</v>
      </c>
      <c r="N48" s="2">
        <v>8880</v>
      </c>
    </row>
    <row r="49" spans="1:14">
      <c r="A49" s="2" t="s">
        <v>76</v>
      </c>
      <c r="B49" s="2">
        <v>63020</v>
      </c>
      <c r="C49" s="2">
        <v>61710</v>
      </c>
      <c r="D49" s="2">
        <v>59890</v>
      </c>
      <c r="E49" s="2">
        <v>59140</v>
      </c>
      <c r="F49" s="2">
        <v>58500</v>
      </c>
      <c r="G49" s="2">
        <v>58610</v>
      </c>
      <c r="H49" s="2">
        <v>58780</v>
      </c>
      <c r="I49" s="2">
        <v>59590</v>
      </c>
      <c r="J49" s="2">
        <v>59180</v>
      </c>
      <c r="K49" s="2">
        <v>58480</v>
      </c>
      <c r="L49" s="2">
        <v>58850</v>
      </c>
      <c r="M49" s="2">
        <v>59640</v>
      </c>
      <c r="N49" s="2">
        <v>59120</v>
      </c>
    </row>
    <row r="50" spans="1:14">
      <c r="A50" s="2" t="s">
        <v>77</v>
      </c>
      <c r="B50" s="8">
        <v>556050</v>
      </c>
      <c r="C50" s="8">
        <v>547550</v>
      </c>
      <c r="D50" s="8">
        <v>541790</v>
      </c>
      <c r="E50" s="8">
        <v>524560</v>
      </c>
      <c r="F50" s="8">
        <v>511640</v>
      </c>
      <c r="G50" s="8">
        <v>510350</v>
      </c>
      <c r="H50" s="8">
        <v>507520</v>
      </c>
      <c r="I50" s="8">
        <v>509230</v>
      </c>
      <c r="J50" s="8">
        <v>506200</v>
      </c>
      <c r="K50" s="8">
        <v>501740</v>
      </c>
      <c r="L50" s="8">
        <v>509280</v>
      </c>
      <c r="M50" s="8">
        <v>508810</v>
      </c>
      <c r="N50" s="8">
        <v>502760</v>
      </c>
    </row>
    <row r="51" spans="1:14">
      <c r="A51" s="2" t="s">
        <v>78</v>
      </c>
      <c r="B51" s="2">
        <v>36910</v>
      </c>
      <c r="C51" s="2">
        <v>36290</v>
      </c>
      <c r="D51" s="2">
        <v>35820</v>
      </c>
      <c r="E51" s="2">
        <v>35200</v>
      </c>
      <c r="F51" s="2">
        <v>34280</v>
      </c>
      <c r="G51" s="2">
        <v>34300</v>
      </c>
      <c r="H51" s="2">
        <v>33790</v>
      </c>
      <c r="I51" s="2">
        <v>33420</v>
      </c>
      <c r="J51" s="2">
        <v>33080</v>
      </c>
      <c r="K51" s="2">
        <v>32330</v>
      </c>
      <c r="L51" s="2">
        <v>32960</v>
      </c>
      <c r="M51" s="2">
        <v>32090</v>
      </c>
      <c r="N51" s="2">
        <v>31800</v>
      </c>
    </row>
    <row r="52" spans="1:14">
      <c r="A52" s="2" t="s">
        <v>79</v>
      </c>
      <c r="B52" s="2">
        <v>14040</v>
      </c>
      <c r="C52" s="2">
        <v>13650</v>
      </c>
      <c r="D52" s="2">
        <v>13250</v>
      </c>
      <c r="E52" s="2">
        <v>12850</v>
      </c>
      <c r="F52" s="2">
        <v>12660</v>
      </c>
      <c r="G52" s="2">
        <v>12810</v>
      </c>
      <c r="H52" s="2">
        <v>12610</v>
      </c>
      <c r="I52" s="2">
        <v>12560</v>
      </c>
      <c r="J52" s="2">
        <v>12490</v>
      </c>
      <c r="K52" s="2">
        <v>12330</v>
      </c>
      <c r="L52" s="2">
        <v>12350</v>
      </c>
      <c r="M52" s="2">
        <v>12580</v>
      </c>
      <c r="N52" s="2">
        <v>12740</v>
      </c>
    </row>
    <row r="53" spans="1:14">
      <c r="A53" s="2" t="s">
        <v>80</v>
      </c>
      <c r="B53" s="2">
        <v>63320</v>
      </c>
      <c r="C53" s="2">
        <v>63090</v>
      </c>
      <c r="D53" s="2">
        <v>63370</v>
      </c>
      <c r="E53" s="2">
        <v>62250</v>
      </c>
      <c r="F53" s="2">
        <v>61490</v>
      </c>
      <c r="G53" s="2">
        <v>62440</v>
      </c>
      <c r="H53" s="2">
        <v>61730</v>
      </c>
      <c r="I53" s="2">
        <v>61660</v>
      </c>
      <c r="J53" s="2">
        <v>61650</v>
      </c>
      <c r="K53" s="2">
        <v>60910</v>
      </c>
      <c r="L53" s="2">
        <v>61510</v>
      </c>
      <c r="M53" s="2">
        <v>61250</v>
      </c>
      <c r="N53" s="2">
        <v>60370</v>
      </c>
    </row>
    <row r="54" spans="1:14">
      <c r="A54" s="2" t="s">
        <v>81</v>
      </c>
      <c r="B54" s="2">
        <v>14330</v>
      </c>
      <c r="C54" s="2">
        <v>14230</v>
      </c>
      <c r="D54" s="2">
        <v>14160</v>
      </c>
      <c r="E54" s="2">
        <v>13770</v>
      </c>
      <c r="F54" s="2">
        <v>13710</v>
      </c>
      <c r="G54" s="2">
        <v>13450</v>
      </c>
      <c r="H54" s="2">
        <v>13170</v>
      </c>
      <c r="I54" s="2">
        <v>12980</v>
      </c>
      <c r="J54" s="2">
        <v>12690</v>
      </c>
      <c r="K54" s="2">
        <v>12660</v>
      </c>
      <c r="L54" s="2">
        <v>12460</v>
      </c>
      <c r="M54" s="2">
        <v>12410</v>
      </c>
      <c r="N54" s="2">
        <v>12030</v>
      </c>
    </row>
    <row r="55" spans="1:14">
      <c r="A55" s="2" t="s">
        <v>82</v>
      </c>
      <c r="B55" s="2">
        <v>94280</v>
      </c>
      <c r="C55" s="2">
        <v>91100</v>
      </c>
      <c r="D55" s="2">
        <v>90870</v>
      </c>
      <c r="E55" s="2">
        <v>88030</v>
      </c>
      <c r="F55" s="2">
        <v>86950</v>
      </c>
      <c r="G55" s="2">
        <v>86110</v>
      </c>
      <c r="H55" s="2">
        <v>85340</v>
      </c>
      <c r="I55" s="2">
        <v>83940</v>
      </c>
      <c r="J55" s="2">
        <v>84400</v>
      </c>
      <c r="K55" s="2">
        <v>83260</v>
      </c>
      <c r="L55" s="2">
        <v>84200</v>
      </c>
      <c r="M55" s="2">
        <v>84430</v>
      </c>
      <c r="N55" s="2">
        <v>81870</v>
      </c>
    </row>
    <row r="56" spans="1:14">
      <c r="A56" s="2" t="s">
        <v>83</v>
      </c>
      <c r="B56" s="2">
        <v>185630</v>
      </c>
      <c r="C56" s="2">
        <v>184900</v>
      </c>
      <c r="D56" s="2">
        <v>184490</v>
      </c>
      <c r="E56" s="2">
        <v>176890</v>
      </c>
      <c r="F56" s="2">
        <v>171440</v>
      </c>
      <c r="G56" s="2">
        <v>170400</v>
      </c>
      <c r="H56" s="2">
        <v>170290</v>
      </c>
      <c r="I56" s="2">
        <v>173720</v>
      </c>
      <c r="J56" s="2">
        <v>171570</v>
      </c>
      <c r="K56" s="2">
        <v>171540</v>
      </c>
      <c r="L56" s="2">
        <v>175330</v>
      </c>
      <c r="M56" s="2">
        <v>174530</v>
      </c>
      <c r="N56" s="2">
        <v>173620</v>
      </c>
    </row>
    <row r="57" spans="1:14">
      <c r="A57" s="2" t="s">
        <v>84</v>
      </c>
      <c r="B57" s="2">
        <v>130950</v>
      </c>
      <c r="C57" s="2">
        <v>127790</v>
      </c>
      <c r="D57" s="2">
        <v>123540</v>
      </c>
      <c r="E57" s="2">
        <v>119990</v>
      </c>
      <c r="F57" s="2">
        <v>116150</v>
      </c>
      <c r="G57" s="2">
        <v>115720</v>
      </c>
      <c r="H57" s="2">
        <v>116570</v>
      </c>
      <c r="I57" s="2">
        <v>116860</v>
      </c>
      <c r="J57" s="2">
        <v>115670</v>
      </c>
      <c r="K57" s="2">
        <v>114170</v>
      </c>
      <c r="L57" s="2">
        <v>115930</v>
      </c>
      <c r="M57" s="2">
        <v>116870</v>
      </c>
      <c r="N57" s="2">
        <v>115890</v>
      </c>
    </row>
    <row r="58" spans="1:14">
      <c r="A58" s="2" t="s">
        <v>85</v>
      </c>
      <c r="B58" s="2">
        <v>9730</v>
      </c>
      <c r="C58" s="2">
        <v>9820</v>
      </c>
      <c r="D58" s="2">
        <v>9810</v>
      </c>
      <c r="E58" s="2">
        <v>9430</v>
      </c>
      <c r="F58" s="2">
        <v>9020</v>
      </c>
      <c r="G58" s="2">
        <v>9220</v>
      </c>
      <c r="H58" s="2">
        <v>8190</v>
      </c>
      <c r="I58" s="2">
        <v>8460</v>
      </c>
      <c r="J58" s="2">
        <v>9000</v>
      </c>
      <c r="K58" s="2">
        <v>8980</v>
      </c>
      <c r="L58" s="2">
        <v>8950</v>
      </c>
      <c r="M58" s="2">
        <v>9040</v>
      </c>
      <c r="N58" s="2">
        <v>8800</v>
      </c>
    </row>
    <row r="59" spans="1:14">
      <c r="A59" s="2" t="s">
        <v>86</v>
      </c>
      <c r="B59" s="2">
        <v>6850</v>
      </c>
      <c r="C59" s="2">
        <v>6670</v>
      </c>
      <c r="D59" s="2">
        <v>6480</v>
      </c>
      <c r="E59" s="2">
        <v>6140</v>
      </c>
      <c r="F59" s="2">
        <v>5960</v>
      </c>
      <c r="G59" s="2">
        <v>5900</v>
      </c>
      <c r="H59" s="2">
        <v>5840</v>
      </c>
      <c r="I59" s="2">
        <v>5630</v>
      </c>
      <c r="J59" s="2">
        <v>5660</v>
      </c>
      <c r="K59" s="2">
        <v>5560</v>
      </c>
      <c r="L59" s="2">
        <v>5590</v>
      </c>
      <c r="M59" s="2">
        <v>5620</v>
      </c>
      <c r="N59" s="2">
        <v>5640</v>
      </c>
    </row>
    <row r="60" spans="1:14" s="2" customFormat="1">
      <c r="A60" s="2" t="s">
        <v>87</v>
      </c>
      <c r="B60" s="2">
        <v>3290</v>
      </c>
      <c r="C60" s="2">
        <v>3080</v>
      </c>
      <c r="D60" s="2">
        <v>3100</v>
      </c>
      <c r="E60" s="2">
        <v>3020</v>
      </c>
      <c r="F60" s="2">
        <v>3090</v>
      </c>
      <c r="G60" s="2">
        <v>2970</v>
      </c>
      <c r="H60" s="2">
        <v>2780</v>
      </c>
      <c r="I60" s="2">
        <v>2900</v>
      </c>
      <c r="J60" s="2">
        <v>2920</v>
      </c>
      <c r="K60" s="2">
        <v>2760</v>
      </c>
      <c r="L60" s="2">
        <v>2700</v>
      </c>
      <c r="M60" s="2">
        <v>2710</v>
      </c>
      <c r="N60" s="2">
        <v>2930</v>
      </c>
    </row>
    <row r="61" spans="1:14" s="2" customFormat="1"/>
    <row r="62" spans="1:14" s="2" customFormat="1">
      <c r="A62" s="2" t="s">
        <v>603</v>
      </c>
    </row>
    <row r="63" spans="1:14">
      <c r="A63" s="2" t="s">
        <v>604</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CX79"/>
  <sheetViews>
    <sheetView zoomScale="70" zoomScaleNormal="90" workbookViewId="0">
      <pane xSplit="1" ySplit="4" topLeftCell="CK5" activePane="bottomRight" state="frozen"/>
      <selection pane="bottomRight" activeCell="CQ4" sqref="CQ4"/>
      <selection pane="bottomLeft" activeCell="A5" sqref="A5"/>
      <selection pane="topRight" activeCell="B1" sqref="B1"/>
    </sheetView>
  </sheetViews>
  <sheetFormatPr defaultRowHeight="12.6"/>
  <cols>
    <col min="1" max="1" width="26.42578125" style="76" customWidth="1"/>
    <col min="2" max="2" width="16.85546875" style="76" customWidth="1"/>
    <col min="3" max="3" width="13.7109375" style="76" customWidth="1"/>
    <col min="4" max="4" width="15.42578125" style="76" customWidth="1"/>
    <col min="5" max="5" width="14" style="76" customWidth="1"/>
    <col min="6" max="6" width="15.140625" style="76" customWidth="1"/>
    <col min="7" max="7" width="12.5703125" style="76" customWidth="1"/>
    <col min="8" max="8" width="14.42578125" style="76" customWidth="1"/>
    <col min="9" max="9" width="14.85546875" style="76" customWidth="1"/>
    <col min="10" max="10" width="14.140625" style="76" customWidth="1"/>
    <col min="11" max="11" width="13.85546875" style="76" customWidth="1"/>
    <col min="12" max="12" width="13.28515625" style="76" customWidth="1"/>
    <col min="13" max="13" width="14.28515625" style="76" customWidth="1"/>
    <col min="14" max="14" width="11.5703125" style="76" customWidth="1"/>
    <col min="15" max="18" width="13" style="76" customWidth="1"/>
    <col min="19" max="19" width="13" style="367" customWidth="1"/>
    <col min="20" max="25" width="8.7109375" customWidth="1"/>
    <col min="26" max="26" width="12.85546875" customWidth="1"/>
    <col min="27" max="27" width="11.28515625" customWidth="1"/>
    <col min="28" max="28" width="11.7109375" customWidth="1"/>
    <col min="29" max="34" width="8.7109375" customWidth="1"/>
    <col min="35" max="35" width="12.42578125" customWidth="1"/>
    <col min="36" max="36" width="10.28515625" customWidth="1"/>
    <col min="37" max="37" width="9.85546875" customWidth="1"/>
    <col min="38" max="55" width="8.7109375" customWidth="1"/>
    <col min="64" max="64" width="8.85546875" bestFit="1" customWidth="1"/>
    <col min="65" max="65" width="8.7109375" bestFit="1" customWidth="1"/>
    <col min="77" max="77" width="8.7109375" style="476"/>
    <col min="78" max="88" width="8.7109375" style="8"/>
    <col min="89" max="89" width="8.7109375" style="51"/>
    <col min="101" max="101" width="10.42578125" bestFit="1" customWidth="1"/>
  </cols>
  <sheetData>
    <row r="1" spans="1:102" ht="12.95">
      <c r="A1" s="44" t="s">
        <v>94</v>
      </c>
      <c r="B1" s="44"/>
      <c r="C1" s="44"/>
      <c r="D1" s="44"/>
      <c r="E1" s="44"/>
      <c r="F1" s="44"/>
      <c r="G1" s="44"/>
      <c r="H1" s="44"/>
      <c r="I1" s="44"/>
      <c r="J1" s="44"/>
      <c r="K1" s="44"/>
      <c r="L1" s="44"/>
      <c r="M1" s="44"/>
      <c r="N1" s="44"/>
      <c r="O1" s="44"/>
      <c r="P1" s="44"/>
      <c r="Q1" s="44"/>
      <c r="R1" s="44"/>
      <c r="S1" s="44"/>
    </row>
    <row r="2" spans="1:102">
      <c r="A2" s="172"/>
      <c r="B2" s="172"/>
      <c r="C2" s="172"/>
      <c r="D2" s="172"/>
      <c r="E2" s="172"/>
      <c r="F2" s="172"/>
      <c r="G2" s="172"/>
      <c r="H2" s="172"/>
      <c r="I2" s="172"/>
      <c r="J2" s="172"/>
      <c r="K2" s="172"/>
      <c r="L2" s="172"/>
      <c r="M2" s="172"/>
      <c r="N2" s="172"/>
      <c r="O2" s="172"/>
      <c r="P2" s="172"/>
      <c r="Q2" s="172"/>
      <c r="R2" s="172"/>
      <c r="S2" s="172"/>
      <c r="T2" s="585"/>
      <c r="U2" s="585"/>
      <c r="V2" s="585"/>
      <c r="W2" s="585"/>
      <c r="X2" s="585"/>
      <c r="Y2" s="585"/>
      <c r="Z2" s="585"/>
      <c r="AA2" s="585"/>
      <c r="AB2" s="585"/>
      <c r="AC2" s="585"/>
      <c r="BN2" s="490"/>
      <c r="BO2" s="490"/>
      <c r="BP2" s="490"/>
      <c r="BQ2" s="490"/>
      <c r="BR2" s="490"/>
      <c r="BS2" s="490"/>
      <c r="BT2" s="490"/>
      <c r="BU2" s="490"/>
      <c r="BV2" s="490"/>
      <c r="BW2" s="490"/>
      <c r="BX2" s="490"/>
      <c r="BY2" s="506"/>
    </row>
    <row r="3" spans="1:102" ht="12.95">
      <c r="B3" s="574" t="s">
        <v>95</v>
      </c>
      <c r="C3" s="575"/>
      <c r="D3" s="575"/>
      <c r="E3" s="575"/>
      <c r="F3" s="575"/>
      <c r="G3" s="575"/>
      <c r="H3" s="575"/>
      <c r="I3" s="575"/>
      <c r="J3" s="575"/>
      <c r="K3" s="582" t="s">
        <v>96</v>
      </c>
      <c r="L3" s="583"/>
      <c r="M3" s="583"/>
      <c r="N3" s="583"/>
      <c r="O3" s="583"/>
      <c r="P3" s="583"/>
      <c r="Q3" s="583"/>
      <c r="R3" s="583"/>
      <c r="S3" s="584"/>
      <c r="T3" s="586" t="s">
        <v>97</v>
      </c>
      <c r="U3" s="587"/>
      <c r="V3" s="587"/>
      <c r="W3" s="587"/>
      <c r="X3" s="587"/>
      <c r="Y3" s="587"/>
      <c r="Z3" s="587"/>
      <c r="AA3" s="587"/>
      <c r="AB3" s="587"/>
      <c r="AC3" s="586" t="s">
        <v>98</v>
      </c>
      <c r="AD3" s="587"/>
      <c r="AE3" s="587"/>
      <c r="AF3" s="587"/>
      <c r="AG3" s="587"/>
      <c r="AH3" s="587"/>
      <c r="AI3" s="587"/>
      <c r="AJ3" s="587"/>
      <c r="AK3" s="592"/>
      <c r="AL3" s="587" t="s">
        <v>99</v>
      </c>
      <c r="AM3" s="587"/>
      <c r="AN3" s="587"/>
      <c r="AO3" s="587"/>
      <c r="AP3" s="587"/>
      <c r="AQ3" s="587"/>
      <c r="AR3" s="587"/>
      <c r="AS3" s="587"/>
      <c r="AT3" s="587"/>
      <c r="AU3" s="586" t="s">
        <v>100</v>
      </c>
      <c r="AV3" s="587"/>
      <c r="AW3" s="587"/>
      <c r="AX3" s="587"/>
      <c r="AY3" s="587"/>
      <c r="AZ3" s="587"/>
      <c r="BA3" s="587"/>
      <c r="BB3" s="587"/>
      <c r="BC3" s="592"/>
      <c r="BD3" s="586" t="s">
        <v>101</v>
      </c>
      <c r="BE3" s="587"/>
      <c r="BF3" s="587"/>
      <c r="BG3" s="587"/>
      <c r="BH3" s="587"/>
      <c r="BI3" s="587"/>
      <c r="BJ3" s="587"/>
      <c r="BK3" s="587"/>
      <c r="BL3" s="587"/>
      <c r="BM3" s="592"/>
      <c r="BN3" s="572" t="s">
        <v>29</v>
      </c>
      <c r="BO3" s="573"/>
      <c r="BP3" s="573"/>
      <c r="BQ3" s="573"/>
      <c r="BR3" s="573"/>
      <c r="BS3" s="573"/>
      <c r="BT3" s="573"/>
      <c r="BU3" s="573"/>
      <c r="BV3" s="573"/>
      <c r="BW3" s="573"/>
      <c r="BX3" s="573"/>
      <c r="BY3" s="573"/>
      <c r="BZ3" s="570" t="s">
        <v>28</v>
      </c>
      <c r="CA3" s="571"/>
      <c r="CB3" s="571"/>
      <c r="CC3" s="571"/>
      <c r="CD3" s="571"/>
      <c r="CE3" s="571"/>
      <c r="CF3" s="571"/>
      <c r="CG3" s="571"/>
      <c r="CH3" s="571"/>
      <c r="CI3" s="571"/>
      <c r="CJ3" s="571"/>
      <c r="CK3" s="571"/>
      <c r="CL3" s="569" t="s">
        <v>102</v>
      </c>
      <c r="CM3" s="569"/>
      <c r="CN3" s="569"/>
      <c r="CO3" s="569"/>
      <c r="CP3" s="569"/>
      <c r="CQ3" s="569"/>
      <c r="CR3" s="569"/>
      <c r="CS3" s="569"/>
      <c r="CT3" s="569"/>
      <c r="CU3" s="569"/>
      <c r="CV3" s="569"/>
      <c r="CW3" s="569"/>
      <c r="CX3" s="569"/>
    </row>
    <row r="4" spans="1:102" ht="50.45" thickBot="1">
      <c r="A4" s="375" t="s">
        <v>103</v>
      </c>
      <c r="B4" s="376" t="s">
        <v>104</v>
      </c>
      <c r="C4" s="376" t="s">
        <v>105</v>
      </c>
      <c r="D4" s="376" t="s">
        <v>106</v>
      </c>
      <c r="E4" s="376" t="s">
        <v>21</v>
      </c>
      <c r="F4" s="376" t="s">
        <v>22</v>
      </c>
      <c r="G4" s="376" t="s">
        <v>23</v>
      </c>
      <c r="H4" s="376" t="s">
        <v>107</v>
      </c>
      <c r="I4" s="376" t="s">
        <v>108</v>
      </c>
      <c r="J4" s="377" t="s">
        <v>109</v>
      </c>
      <c r="K4" s="358" t="s">
        <v>104</v>
      </c>
      <c r="L4" s="359" t="s">
        <v>105</v>
      </c>
      <c r="M4" s="359" t="s">
        <v>106</v>
      </c>
      <c r="N4" s="359" t="s">
        <v>21</v>
      </c>
      <c r="O4" s="359" t="s">
        <v>22</v>
      </c>
      <c r="P4" s="359" t="s">
        <v>23</v>
      </c>
      <c r="Q4" s="359" t="s">
        <v>107</v>
      </c>
      <c r="R4" s="359" t="s">
        <v>108</v>
      </c>
      <c r="S4" s="366" t="s">
        <v>109</v>
      </c>
      <c r="T4" s="358" t="s">
        <v>104</v>
      </c>
      <c r="U4" s="359" t="s">
        <v>105</v>
      </c>
      <c r="V4" s="359" t="s">
        <v>106</v>
      </c>
      <c r="W4" s="359" t="s">
        <v>21</v>
      </c>
      <c r="X4" s="359" t="s">
        <v>22</v>
      </c>
      <c r="Y4" s="359" t="s">
        <v>23</v>
      </c>
      <c r="Z4" s="359" t="s">
        <v>107</v>
      </c>
      <c r="AA4" s="359" t="s">
        <v>108</v>
      </c>
      <c r="AB4" s="359" t="s">
        <v>109</v>
      </c>
      <c r="AC4" s="451" t="s">
        <v>104</v>
      </c>
      <c r="AD4" s="359" t="s">
        <v>105</v>
      </c>
      <c r="AE4" s="359" t="s">
        <v>106</v>
      </c>
      <c r="AF4" s="359" t="s">
        <v>21</v>
      </c>
      <c r="AG4" s="359" t="s">
        <v>22</v>
      </c>
      <c r="AH4" s="359" t="s">
        <v>23</v>
      </c>
      <c r="AI4" s="359" t="s">
        <v>107</v>
      </c>
      <c r="AJ4" s="359" t="s">
        <v>108</v>
      </c>
      <c r="AK4" s="366" t="s">
        <v>109</v>
      </c>
      <c r="AL4" s="358" t="s">
        <v>104</v>
      </c>
      <c r="AM4" s="359" t="s">
        <v>105</v>
      </c>
      <c r="AN4" s="359" t="s">
        <v>106</v>
      </c>
      <c r="AO4" s="359" t="s">
        <v>21</v>
      </c>
      <c r="AP4" s="359" t="s">
        <v>22</v>
      </c>
      <c r="AQ4" s="359" t="s">
        <v>23</v>
      </c>
      <c r="AR4" s="359" t="s">
        <v>107</v>
      </c>
      <c r="AS4" s="359" t="s">
        <v>108</v>
      </c>
      <c r="AT4" s="359" t="s">
        <v>109</v>
      </c>
      <c r="AU4" s="451" t="s">
        <v>104</v>
      </c>
      <c r="AV4" s="359" t="s">
        <v>105</v>
      </c>
      <c r="AW4" s="359" t="s">
        <v>106</v>
      </c>
      <c r="AX4" s="359" t="s">
        <v>21</v>
      </c>
      <c r="AY4" s="359" t="s">
        <v>22</v>
      </c>
      <c r="AZ4" s="359" t="s">
        <v>23</v>
      </c>
      <c r="BA4" s="359" t="s">
        <v>107</v>
      </c>
      <c r="BB4" s="359" t="s">
        <v>108</v>
      </c>
      <c r="BC4" s="366" t="s">
        <v>109</v>
      </c>
      <c r="BD4" s="451" t="s">
        <v>104</v>
      </c>
      <c r="BE4" s="359" t="s">
        <v>105</v>
      </c>
      <c r="BF4" s="359" t="s">
        <v>106</v>
      </c>
      <c r="BG4" s="359" t="s">
        <v>21</v>
      </c>
      <c r="BH4" s="359" t="s">
        <v>22</v>
      </c>
      <c r="BI4" s="359" t="s">
        <v>23</v>
      </c>
      <c r="BJ4" s="359" t="s">
        <v>110</v>
      </c>
      <c r="BK4" s="359" t="s">
        <v>107</v>
      </c>
      <c r="BL4" s="359" t="s">
        <v>108</v>
      </c>
      <c r="BM4" s="366" t="s">
        <v>109</v>
      </c>
      <c r="BN4" s="451" t="s">
        <v>104</v>
      </c>
      <c r="BO4" s="359" t="s">
        <v>105</v>
      </c>
      <c r="BP4" s="359" t="s">
        <v>106</v>
      </c>
      <c r="BQ4" s="359" t="s">
        <v>21</v>
      </c>
      <c r="BR4" s="359" t="s">
        <v>22</v>
      </c>
      <c r="BS4" s="359" t="s">
        <v>23</v>
      </c>
      <c r="BT4" s="359" t="s">
        <v>110</v>
      </c>
      <c r="BU4" s="359" t="s">
        <v>107</v>
      </c>
      <c r="BV4" s="359" t="s">
        <v>108</v>
      </c>
      <c r="BW4" s="366" t="s">
        <v>109</v>
      </c>
      <c r="BX4" s="167" t="s">
        <v>111</v>
      </c>
      <c r="BY4" s="507" t="s">
        <v>112</v>
      </c>
      <c r="BZ4" s="358" t="s">
        <v>104</v>
      </c>
      <c r="CA4" s="359" t="s">
        <v>105</v>
      </c>
      <c r="CB4" s="359" t="s">
        <v>106</v>
      </c>
      <c r="CC4" s="359" t="s">
        <v>21</v>
      </c>
      <c r="CD4" s="359" t="s">
        <v>22</v>
      </c>
      <c r="CE4" s="359" t="s">
        <v>23</v>
      </c>
      <c r="CF4" s="359" t="s">
        <v>110</v>
      </c>
      <c r="CG4" s="359" t="s">
        <v>107</v>
      </c>
      <c r="CH4" s="359" t="s">
        <v>108</v>
      </c>
      <c r="CI4" s="366" t="s">
        <v>109</v>
      </c>
      <c r="CJ4" s="167" t="s">
        <v>111</v>
      </c>
      <c r="CK4" s="507" t="s">
        <v>112</v>
      </c>
      <c r="CL4" t="s">
        <v>104</v>
      </c>
      <c r="CM4" t="s">
        <v>23</v>
      </c>
      <c r="CN4" t="s">
        <v>22</v>
      </c>
      <c r="CO4" t="s">
        <v>21</v>
      </c>
      <c r="CP4" t="s">
        <v>20</v>
      </c>
      <c r="CQ4" t="s">
        <v>113</v>
      </c>
      <c r="CR4" t="s">
        <v>114</v>
      </c>
      <c r="CS4" t="s">
        <v>109</v>
      </c>
      <c r="CT4" t="s">
        <v>115</v>
      </c>
      <c r="CU4" t="s">
        <v>107</v>
      </c>
      <c r="CV4" t="s">
        <v>116</v>
      </c>
      <c r="CW4" t="s">
        <v>117</v>
      </c>
    </row>
    <row r="5" spans="1:102" ht="12.95">
      <c r="A5" s="39" t="s">
        <v>31</v>
      </c>
      <c r="B5" s="378">
        <v>79</v>
      </c>
      <c r="C5" s="378">
        <v>65</v>
      </c>
      <c r="D5" s="378">
        <v>87</v>
      </c>
      <c r="E5" s="378">
        <v>71</v>
      </c>
      <c r="F5" s="378">
        <v>67</v>
      </c>
      <c r="G5" s="378">
        <v>84</v>
      </c>
      <c r="H5" s="378">
        <v>70</v>
      </c>
      <c r="I5" s="378">
        <v>57</v>
      </c>
      <c r="J5" s="379">
        <v>59</v>
      </c>
      <c r="K5" s="370">
        <v>80</v>
      </c>
      <c r="L5" s="370">
        <v>67</v>
      </c>
      <c r="M5" s="370">
        <v>88</v>
      </c>
      <c r="N5" s="370">
        <v>73</v>
      </c>
      <c r="O5" s="370">
        <v>69</v>
      </c>
      <c r="P5" s="370">
        <v>86</v>
      </c>
      <c r="Q5" s="370">
        <v>72</v>
      </c>
      <c r="R5" s="370">
        <v>59</v>
      </c>
      <c r="S5" s="371">
        <v>61</v>
      </c>
      <c r="T5" s="360">
        <v>81.400000000000006</v>
      </c>
      <c r="U5" s="360">
        <v>69.7</v>
      </c>
      <c r="V5" s="360">
        <v>88.7</v>
      </c>
      <c r="W5" s="360">
        <v>75.2</v>
      </c>
      <c r="X5" s="360">
        <v>70.7</v>
      </c>
      <c r="Y5" s="360">
        <v>86.6</v>
      </c>
      <c r="Z5" s="360">
        <v>73.3</v>
      </c>
      <c r="AA5" s="360">
        <v>61.1</v>
      </c>
      <c r="AB5" s="360">
        <v>61.9</v>
      </c>
      <c r="AC5" s="452" t="s">
        <v>118</v>
      </c>
      <c r="AD5" s="407" t="s">
        <v>119</v>
      </c>
      <c r="AE5" s="407" t="s">
        <v>120</v>
      </c>
      <c r="AF5" s="407" t="s">
        <v>121</v>
      </c>
      <c r="AG5" s="407" t="s">
        <v>122</v>
      </c>
      <c r="AH5" s="407" t="s">
        <v>123</v>
      </c>
      <c r="AI5" s="407" t="s">
        <v>124</v>
      </c>
      <c r="AJ5" s="407" t="s">
        <v>125</v>
      </c>
      <c r="AK5" s="458" t="s">
        <v>126</v>
      </c>
      <c r="AL5" s="413">
        <v>83.2</v>
      </c>
      <c r="AM5" s="413">
        <v>71.599999999999994</v>
      </c>
      <c r="AN5" s="413">
        <v>90.2</v>
      </c>
      <c r="AO5" s="413">
        <v>77.8</v>
      </c>
      <c r="AP5" s="413">
        <v>74.599999999999994</v>
      </c>
      <c r="AQ5" s="413">
        <v>87.6</v>
      </c>
      <c r="AR5" s="413">
        <v>76.099999999999994</v>
      </c>
      <c r="AS5" s="413">
        <v>65.099999999999994</v>
      </c>
      <c r="AT5" s="416">
        <v>64.599999999999994</v>
      </c>
      <c r="AU5" s="465">
        <v>84.1</v>
      </c>
      <c r="AV5" s="413">
        <v>71.900000000000006</v>
      </c>
      <c r="AW5" s="413">
        <v>90.8</v>
      </c>
      <c r="AX5" s="413">
        <v>79.3</v>
      </c>
      <c r="AY5" s="413">
        <v>76.400000000000006</v>
      </c>
      <c r="AZ5" s="413">
        <v>88.3</v>
      </c>
      <c r="BA5" s="413">
        <v>77.599999999999994</v>
      </c>
      <c r="BB5" s="413">
        <v>66.900000000000006</v>
      </c>
      <c r="BC5" s="463">
        <v>65.5</v>
      </c>
      <c r="BD5" s="480">
        <v>84.6</v>
      </c>
      <c r="BE5" s="360">
        <v>72.400000000000006</v>
      </c>
      <c r="BF5" s="360">
        <v>91.2</v>
      </c>
      <c r="BG5" s="360">
        <v>80</v>
      </c>
      <c r="BH5" s="360">
        <v>77.8</v>
      </c>
      <c r="BI5" s="416">
        <v>88.6</v>
      </c>
      <c r="BJ5" s="481" t="s">
        <v>47</v>
      </c>
      <c r="BK5" s="416">
        <v>78.3</v>
      </c>
      <c r="BL5" s="416">
        <v>66.400000000000006</v>
      </c>
      <c r="BM5" s="463">
        <v>67.099999999999994</v>
      </c>
      <c r="BN5" s="491">
        <v>85.3</v>
      </c>
      <c r="BO5" s="491">
        <v>73.5</v>
      </c>
      <c r="BP5" s="491">
        <v>92.2</v>
      </c>
      <c r="BQ5" s="491">
        <v>81</v>
      </c>
      <c r="BR5" s="491">
        <v>79</v>
      </c>
      <c r="BS5" s="491">
        <v>89.1</v>
      </c>
      <c r="BT5" s="491" t="s">
        <v>47</v>
      </c>
      <c r="BU5" s="491">
        <v>79.5</v>
      </c>
      <c r="BV5" s="491">
        <v>68.3</v>
      </c>
      <c r="BW5" s="491">
        <v>67.099999999999994</v>
      </c>
      <c r="BX5" s="491" t="s">
        <v>47</v>
      </c>
      <c r="BY5" s="508" t="s">
        <v>47</v>
      </c>
      <c r="BZ5" s="505">
        <v>85.8</v>
      </c>
      <c r="CA5" s="505">
        <v>74.3</v>
      </c>
      <c r="CB5" s="505">
        <v>92.6</v>
      </c>
      <c r="CC5" s="505">
        <v>81.7</v>
      </c>
      <c r="CD5" s="505">
        <v>79.599999999999994</v>
      </c>
      <c r="CE5" s="505">
        <v>89.4</v>
      </c>
      <c r="CF5" s="504" t="s">
        <v>47</v>
      </c>
      <c r="CG5" s="505">
        <v>80</v>
      </c>
      <c r="CH5" s="505">
        <v>69.2</v>
      </c>
      <c r="CI5" s="505">
        <v>68.2</v>
      </c>
      <c r="CJ5" s="504" t="s">
        <v>47</v>
      </c>
      <c r="CK5" s="521" t="s">
        <v>47</v>
      </c>
      <c r="CL5" s="504">
        <v>87</v>
      </c>
      <c r="CM5">
        <v>90.2</v>
      </c>
      <c r="CN5" s="504">
        <v>81.099999999999994</v>
      </c>
      <c r="CO5" s="504">
        <v>82.5</v>
      </c>
      <c r="CP5">
        <v>92.5</v>
      </c>
      <c r="CQ5">
        <v>74.900000000000006</v>
      </c>
      <c r="CR5" s="520" t="s">
        <v>127</v>
      </c>
      <c r="CS5">
        <v>70.599999999999994</v>
      </c>
      <c r="CT5">
        <v>71.3</v>
      </c>
      <c r="CU5">
        <v>81.3</v>
      </c>
      <c r="CV5" s="520" t="s">
        <v>127</v>
      </c>
      <c r="CW5" s="520" t="s">
        <v>127</v>
      </c>
    </row>
    <row r="6" spans="1:102">
      <c r="A6" s="2" t="s">
        <v>128</v>
      </c>
      <c r="B6" s="373">
        <f>MEDIAN(B8:B23)</f>
        <v>78</v>
      </c>
      <c r="C6" s="373">
        <f t="shared" ref="C6:J6" si="0">MEDIAN(C8:C23)</f>
        <v>74</v>
      </c>
      <c r="D6" s="373">
        <f t="shared" si="0"/>
        <v>87.5</v>
      </c>
      <c r="E6" s="373">
        <f t="shared" si="0"/>
        <v>71</v>
      </c>
      <c r="F6" s="373">
        <f t="shared" si="0"/>
        <v>72</v>
      </c>
      <c r="G6" s="373">
        <f t="shared" si="0"/>
        <v>82</v>
      </c>
      <c r="H6" s="373">
        <f t="shared" si="0"/>
        <v>70</v>
      </c>
      <c r="I6" s="373">
        <f t="shared" si="0"/>
        <v>54.5</v>
      </c>
      <c r="J6" s="373">
        <f t="shared" si="0"/>
        <v>51.5</v>
      </c>
      <c r="K6" s="373">
        <f>MEDIAN(K8:K23)</f>
        <v>79.5</v>
      </c>
      <c r="L6" s="373">
        <f t="shared" ref="L6:S6" si="1">MEDIAN(L8:L23)</f>
        <v>73.5</v>
      </c>
      <c r="M6" s="373">
        <f t="shared" si="1"/>
        <v>89.5</v>
      </c>
      <c r="N6" s="373">
        <f t="shared" si="1"/>
        <v>73</v>
      </c>
      <c r="O6" s="373">
        <f t="shared" si="1"/>
        <v>74</v>
      </c>
      <c r="P6" s="373">
        <f t="shared" si="1"/>
        <v>82.5</v>
      </c>
      <c r="Q6" s="373">
        <f t="shared" si="1"/>
        <v>72</v>
      </c>
      <c r="R6" s="373">
        <f t="shared" si="1"/>
        <v>56</v>
      </c>
      <c r="S6" s="373">
        <f t="shared" si="1"/>
        <v>55.5</v>
      </c>
      <c r="T6" s="373">
        <f>MEDIAN(T8:T23)</f>
        <v>81.95</v>
      </c>
      <c r="U6" s="373">
        <f t="shared" ref="U6:CF6" si="2">MEDIAN(U8:U23)</f>
        <v>78</v>
      </c>
      <c r="V6" s="373">
        <f t="shared" si="2"/>
        <v>89</v>
      </c>
      <c r="W6" s="373">
        <f t="shared" si="2"/>
        <v>77.05</v>
      </c>
      <c r="X6" s="373">
        <f t="shared" si="2"/>
        <v>76.449999999999989</v>
      </c>
      <c r="Y6" s="373">
        <f t="shared" si="2"/>
        <v>85.050000000000011</v>
      </c>
      <c r="Z6" s="373">
        <f t="shared" si="2"/>
        <v>74.099999999999994</v>
      </c>
      <c r="AA6" s="373">
        <f t="shared" si="2"/>
        <v>60.75</v>
      </c>
      <c r="AB6" s="373">
        <f t="shared" si="2"/>
        <v>60</v>
      </c>
      <c r="AC6" s="453">
        <f t="shared" si="2"/>
        <v>84.9</v>
      </c>
      <c r="AD6" s="408">
        <f t="shared" si="2"/>
        <v>81</v>
      </c>
      <c r="AE6" s="408">
        <f t="shared" si="2"/>
        <v>89.85</v>
      </c>
      <c r="AF6" s="408">
        <f t="shared" si="2"/>
        <v>78.8</v>
      </c>
      <c r="AG6" s="408">
        <f t="shared" si="2"/>
        <v>78.8</v>
      </c>
      <c r="AH6" s="408">
        <f t="shared" si="2"/>
        <v>87.449999999999989</v>
      </c>
      <c r="AI6" s="408">
        <f t="shared" si="2"/>
        <v>78.099999999999994</v>
      </c>
      <c r="AJ6" s="408">
        <f t="shared" si="2"/>
        <v>66.5</v>
      </c>
      <c r="AK6" s="459">
        <f t="shared" si="2"/>
        <v>64.400000000000006</v>
      </c>
      <c r="AL6" s="415">
        <f t="shared" si="2"/>
        <v>85.6</v>
      </c>
      <c r="AM6" s="415">
        <f t="shared" si="2"/>
        <v>80</v>
      </c>
      <c r="AN6" s="415">
        <f t="shared" si="2"/>
        <v>91</v>
      </c>
      <c r="AO6" s="415">
        <f t="shared" si="2"/>
        <v>79.400000000000006</v>
      </c>
      <c r="AP6" s="415">
        <f t="shared" si="2"/>
        <v>79.599999999999994</v>
      </c>
      <c r="AQ6" s="415">
        <f t="shared" si="2"/>
        <v>87.7</v>
      </c>
      <c r="AR6" s="415">
        <f t="shared" si="2"/>
        <v>78.05</v>
      </c>
      <c r="AS6" s="415">
        <f t="shared" si="2"/>
        <v>63.5</v>
      </c>
      <c r="AT6" s="408">
        <f t="shared" si="2"/>
        <v>66</v>
      </c>
      <c r="AU6" s="415">
        <f t="shared" si="2"/>
        <v>86.300000000000011</v>
      </c>
      <c r="AV6" s="415">
        <f t="shared" si="2"/>
        <v>83</v>
      </c>
      <c r="AW6" s="415">
        <f t="shared" si="2"/>
        <v>92</v>
      </c>
      <c r="AX6" s="415">
        <f t="shared" si="2"/>
        <v>80.55</v>
      </c>
      <c r="AY6" s="415">
        <f t="shared" si="2"/>
        <v>81.400000000000006</v>
      </c>
      <c r="AZ6" s="415">
        <f t="shared" si="2"/>
        <v>88.6</v>
      </c>
      <c r="BA6" s="415">
        <f t="shared" si="2"/>
        <v>79.900000000000006</v>
      </c>
      <c r="BB6" s="415">
        <f t="shared" si="2"/>
        <v>64.5</v>
      </c>
      <c r="BC6" s="475">
        <f t="shared" si="2"/>
        <v>66.95</v>
      </c>
      <c r="BD6">
        <f t="shared" si="2"/>
        <v>86.9</v>
      </c>
      <c r="BE6">
        <f t="shared" si="2"/>
        <v>81.849999999999994</v>
      </c>
      <c r="BF6">
        <f t="shared" si="2"/>
        <v>93.2</v>
      </c>
      <c r="BG6">
        <f t="shared" si="2"/>
        <v>81.150000000000006</v>
      </c>
      <c r="BH6">
        <f t="shared" si="2"/>
        <v>83</v>
      </c>
      <c r="BI6">
        <f t="shared" si="2"/>
        <v>89.7</v>
      </c>
      <c r="BJ6">
        <f t="shared" si="2"/>
        <v>85.15</v>
      </c>
      <c r="BK6">
        <f t="shared" si="2"/>
        <v>79.900000000000006</v>
      </c>
      <c r="BL6">
        <f t="shared" si="2"/>
        <v>67</v>
      </c>
      <c r="BM6" s="482">
        <f t="shared" si="2"/>
        <v>69</v>
      </c>
      <c r="BN6" s="494">
        <f t="shared" si="2"/>
        <v>87</v>
      </c>
      <c r="BO6" s="494">
        <f t="shared" si="2"/>
        <v>84.5</v>
      </c>
      <c r="BP6" s="494">
        <f t="shared" si="2"/>
        <v>94</v>
      </c>
      <c r="BQ6" s="494">
        <f t="shared" si="2"/>
        <v>81.25</v>
      </c>
      <c r="BR6" s="494">
        <f t="shared" si="2"/>
        <v>83.2</v>
      </c>
      <c r="BS6" s="494">
        <f t="shared" si="2"/>
        <v>90.15</v>
      </c>
      <c r="BT6" s="494">
        <f t="shared" si="2"/>
        <v>87.65</v>
      </c>
      <c r="BU6" s="494">
        <f t="shared" si="2"/>
        <v>81.55</v>
      </c>
      <c r="BV6" s="494">
        <f t="shared" si="2"/>
        <v>68.7</v>
      </c>
      <c r="BW6" s="494">
        <f t="shared" si="2"/>
        <v>68.5</v>
      </c>
      <c r="BX6" s="494">
        <f t="shared" si="2"/>
        <v>72.45</v>
      </c>
      <c r="BY6" s="494">
        <f t="shared" si="2"/>
        <v>63</v>
      </c>
      <c r="BZ6" s="353">
        <f t="shared" si="2"/>
        <v>87.35</v>
      </c>
      <c r="CA6" s="353">
        <f t="shared" si="2"/>
        <v>82</v>
      </c>
      <c r="CB6" s="353">
        <f t="shared" si="2"/>
        <v>94</v>
      </c>
      <c r="CC6" s="353">
        <f t="shared" si="2"/>
        <v>83.5</v>
      </c>
      <c r="CD6" s="353">
        <f t="shared" si="2"/>
        <v>83.550000000000011</v>
      </c>
      <c r="CE6" s="353">
        <f t="shared" si="2"/>
        <v>90.5</v>
      </c>
      <c r="CF6" s="353">
        <f t="shared" si="2"/>
        <v>87.7</v>
      </c>
      <c r="CG6" s="353">
        <f t="shared" ref="CG6:CW6" si="3">MEDIAN(CG8:CG23)</f>
        <v>82.1</v>
      </c>
      <c r="CH6" s="353">
        <f t="shared" si="3"/>
        <v>73</v>
      </c>
      <c r="CI6" s="353">
        <f t="shared" si="3"/>
        <v>71.400000000000006</v>
      </c>
      <c r="CJ6" s="353">
        <f t="shared" si="3"/>
        <v>71</v>
      </c>
      <c r="CK6" s="353">
        <f t="shared" si="3"/>
        <v>59.5</v>
      </c>
      <c r="CL6" s="353">
        <f t="shared" si="3"/>
        <v>88.8</v>
      </c>
      <c r="CM6" s="353">
        <f>MEDIAN(CM8:CM23)</f>
        <v>90.9</v>
      </c>
      <c r="CN6" s="353">
        <f t="shared" si="3"/>
        <v>84.7</v>
      </c>
      <c r="CO6" s="353">
        <f t="shared" si="3"/>
        <v>82.6</v>
      </c>
      <c r="CP6" s="353">
        <f t="shared" si="3"/>
        <v>94.2</v>
      </c>
      <c r="CQ6" s="353">
        <f t="shared" si="3"/>
        <v>84.5</v>
      </c>
      <c r="CR6" s="353">
        <f>MEDIAN(CR8:CR23)</f>
        <v>88</v>
      </c>
      <c r="CS6" s="353">
        <f t="shared" si="3"/>
        <v>72.099999999999994</v>
      </c>
      <c r="CT6" s="353">
        <f t="shared" si="3"/>
        <v>71.7</v>
      </c>
      <c r="CU6" s="353">
        <f t="shared" si="3"/>
        <v>84.3</v>
      </c>
      <c r="CV6" s="353">
        <f t="shared" si="3"/>
        <v>73</v>
      </c>
      <c r="CW6" s="353">
        <f t="shared" si="3"/>
        <v>57.5</v>
      </c>
    </row>
    <row r="7" spans="1:102" ht="14.45">
      <c r="A7" s="3" t="s">
        <v>129</v>
      </c>
      <c r="B7" s="380"/>
      <c r="C7" s="380"/>
      <c r="D7" s="380"/>
      <c r="E7" s="380"/>
      <c r="F7" s="380"/>
      <c r="G7" s="380"/>
      <c r="H7" s="380"/>
      <c r="I7" s="380"/>
      <c r="J7" s="372"/>
      <c r="K7" s="380"/>
      <c r="L7" s="380"/>
      <c r="M7" s="380"/>
      <c r="N7" s="380"/>
      <c r="O7" s="380"/>
      <c r="P7" s="380"/>
      <c r="Q7" s="380"/>
      <c r="R7" s="380"/>
      <c r="S7" s="372"/>
      <c r="AC7" s="453"/>
      <c r="AD7" s="408"/>
      <c r="AE7" s="408"/>
      <c r="AF7" s="408"/>
      <c r="AG7" s="408"/>
      <c r="AH7" s="408"/>
      <c r="AI7" s="408"/>
      <c r="AJ7" s="408"/>
      <c r="AK7" s="459"/>
      <c r="AL7" s="408"/>
      <c r="AM7" s="408"/>
      <c r="AN7" s="408"/>
      <c r="AO7" s="408"/>
      <c r="AP7" s="408"/>
      <c r="AQ7" s="408"/>
      <c r="AR7" s="408"/>
      <c r="AS7" s="408"/>
      <c r="AT7" s="408"/>
      <c r="AU7" s="453"/>
      <c r="AV7" s="408"/>
      <c r="AW7" s="408"/>
      <c r="AX7" s="408"/>
      <c r="AY7" s="408"/>
      <c r="AZ7" s="408"/>
      <c r="BA7" s="408"/>
      <c r="BB7" s="408"/>
      <c r="BC7" s="459"/>
      <c r="BM7" s="476"/>
      <c r="BN7" s="408"/>
      <c r="BO7" s="408"/>
      <c r="BP7" s="408"/>
      <c r="BQ7" s="408"/>
      <c r="BR7" s="408"/>
      <c r="BS7" s="408"/>
      <c r="BT7" s="408"/>
      <c r="BU7" s="408"/>
      <c r="BV7" s="408"/>
      <c r="BW7" s="408"/>
      <c r="BX7" s="408"/>
      <c r="BY7" s="459"/>
      <c r="BZ7" s="33"/>
    </row>
    <row r="8" spans="1:102">
      <c r="A8" s="2" t="s">
        <v>33</v>
      </c>
      <c r="B8" s="385">
        <v>72</v>
      </c>
      <c r="C8" s="385">
        <v>80</v>
      </c>
      <c r="D8" s="385">
        <v>77</v>
      </c>
      <c r="E8" s="385">
        <v>66</v>
      </c>
      <c r="F8" s="385">
        <v>63</v>
      </c>
      <c r="G8" s="385">
        <v>78</v>
      </c>
      <c r="H8" s="385">
        <v>62</v>
      </c>
      <c r="I8" s="385">
        <v>36</v>
      </c>
      <c r="J8" s="386">
        <v>30</v>
      </c>
      <c r="K8" s="385">
        <v>75</v>
      </c>
      <c r="L8" s="385">
        <v>84</v>
      </c>
      <c r="M8" s="385">
        <v>85</v>
      </c>
      <c r="N8" s="385">
        <v>69</v>
      </c>
      <c r="O8" s="385">
        <v>67</v>
      </c>
      <c r="P8" s="385">
        <v>81</v>
      </c>
      <c r="Q8" s="385">
        <v>66</v>
      </c>
      <c r="R8" s="385">
        <v>36</v>
      </c>
      <c r="S8" s="386">
        <v>54</v>
      </c>
      <c r="T8" s="354">
        <v>80</v>
      </c>
      <c r="U8" s="355">
        <v>86</v>
      </c>
      <c r="V8" s="355">
        <v>89</v>
      </c>
      <c r="W8" s="355">
        <v>74</v>
      </c>
      <c r="X8" s="355">
        <v>73.900000000000006</v>
      </c>
      <c r="Y8" s="355">
        <v>83.9</v>
      </c>
      <c r="Z8" s="355">
        <v>71.8</v>
      </c>
      <c r="AA8" s="361">
        <v>44</v>
      </c>
      <c r="AB8" s="361">
        <v>76.900000000000006</v>
      </c>
      <c r="AC8" s="454">
        <v>86.3</v>
      </c>
      <c r="AD8" s="361">
        <v>88</v>
      </c>
      <c r="AE8" s="361">
        <v>91</v>
      </c>
      <c r="AF8" s="361">
        <v>85</v>
      </c>
      <c r="AG8" s="361">
        <v>83.8</v>
      </c>
      <c r="AH8" s="361">
        <v>87.8</v>
      </c>
      <c r="AI8" s="361">
        <v>81.5</v>
      </c>
      <c r="AJ8" s="361">
        <v>67</v>
      </c>
      <c r="AK8" s="460">
        <v>64.400000000000006</v>
      </c>
      <c r="AL8" s="361">
        <v>89.3</v>
      </c>
      <c r="AM8" s="361">
        <v>90</v>
      </c>
      <c r="AN8" s="361">
        <v>93</v>
      </c>
      <c r="AO8" s="361">
        <v>90</v>
      </c>
      <c r="AP8" s="361">
        <v>87</v>
      </c>
      <c r="AQ8" s="361">
        <v>90.5</v>
      </c>
      <c r="AR8" s="361">
        <v>84.7</v>
      </c>
      <c r="AS8" s="361">
        <v>75</v>
      </c>
      <c r="AT8" s="361">
        <v>72.400000000000006</v>
      </c>
      <c r="AU8" s="454">
        <v>87.1</v>
      </c>
      <c r="AV8" s="361">
        <v>90</v>
      </c>
      <c r="AW8" s="361">
        <v>91</v>
      </c>
      <c r="AX8" s="361">
        <v>87</v>
      </c>
      <c r="AY8" s="361">
        <v>84.5</v>
      </c>
      <c r="AZ8" s="361">
        <v>88.6</v>
      </c>
      <c r="BA8" s="361">
        <v>80.900000000000006</v>
      </c>
      <c r="BB8" s="361">
        <v>64</v>
      </c>
      <c r="BC8" s="460">
        <v>54.1</v>
      </c>
      <c r="BD8" s="355">
        <v>89.3</v>
      </c>
      <c r="BE8" s="354" t="s">
        <v>47</v>
      </c>
      <c r="BF8" s="355">
        <v>95</v>
      </c>
      <c r="BG8" s="355">
        <v>88</v>
      </c>
      <c r="BH8" s="355">
        <v>86.5</v>
      </c>
      <c r="BI8" s="361">
        <v>91</v>
      </c>
      <c r="BJ8" s="355">
        <v>91</v>
      </c>
      <c r="BK8" s="8" t="s">
        <v>47</v>
      </c>
      <c r="BL8" s="8" t="s">
        <v>47</v>
      </c>
      <c r="BM8" s="51" t="s">
        <v>47</v>
      </c>
      <c r="BN8" s="33">
        <v>90</v>
      </c>
      <c r="BO8" s="33">
        <v>90</v>
      </c>
      <c r="BP8" s="33">
        <v>94</v>
      </c>
      <c r="BQ8" s="33">
        <v>87.6</v>
      </c>
      <c r="BR8" s="33">
        <v>87.7</v>
      </c>
      <c r="BS8" s="33">
        <v>91.5</v>
      </c>
      <c r="BT8" s="33">
        <v>91</v>
      </c>
      <c r="BU8" s="33">
        <v>84.4</v>
      </c>
      <c r="BV8" s="33">
        <v>64</v>
      </c>
      <c r="BW8" s="33">
        <v>68</v>
      </c>
      <c r="BX8" s="33">
        <v>78</v>
      </c>
      <c r="BY8" s="462">
        <v>77</v>
      </c>
      <c r="BZ8" s="361">
        <v>91.7</v>
      </c>
      <c r="CA8" s="361">
        <v>94</v>
      </c>
      <c r="CB8" s="361">
        <v>95</v>
      </c>
      <c r="CC8" s="361">
        <v>90.6</v>
      </c>
      <c r="CD8" s="361">
        <v>89.8</v>
      </c>
      <c r="CE8" s="361">
        <v>92.8</v>
      </c>
      <c r="CF8" s="361">
        <v>93</v>
      </c>
      <c r="CG8" s="361">
        <v>87.4</v>
      </c>
      <c r="CH8" s="361">
        <v>76</v>
      </c>
      <c r="CI8" s="361">
        <v>69.599999999999994</v>
      </c>
      <c r="CJ8" s="361">
        <v>81</v>
      </c>
      <c r="CK8" s="460">
        <v>66</v>
      </c>
      <c r="CL8" s="76">
        <v>90.6</v>
      </c>
      <c r="CM8">
        <v>92.2</v>
      </c>
      <c r="CN8">
        <v>88.2</v>
      </c>
      <c r="CO8">
        <v>88</v>
      </c>
      <c r="CP8">
        <v>95</v>
      </c>
      <c r="CQ8">
        <v>93</v>
      </c>
      <c r="CR8">
        <v>92</v>
      </c>
      <c r="CS8">
        <v>68.900000000000006</v>
      </c>
      <c r="CT8">
        <v>72</v>
      </c>
      <c r="CU8">
        <v>85.5</v>
      </c>
      <c r="CV8">
        <v>74</v>
      </c>
      <c r="CW8">
        <v>67</v>
      </c>
    </row>
    <row r="9" spans="1:102">
      <c r="A9" s="2" t="s">
        <v>34</v>
      </c>
      <c r="B9" s="385">
        <v>81</v>
      </c>
      <c r="C9" s="385">
        <v>85</v>
      </c>
      <c r="D9" s="385">
        <v>75</v>
      </c>
      <c r="E9" s="385">
        <v>77</v>
      </c>
      <c r="F9" s="385">
        <v>73</v>
      </c>
      <c r="G9" s="385">
        <v>84</v>
      </c>
      <c r="H9" s="385">
        <v>75</v>
      </c>
      <c r="I9" s="385">
        <v>76</v>
      </c>
      <c r="J9" s="386">
        <v>75</v>
      </c>
      <c r="K9" s="385">
        <v>84</v>
      </c>
      <c r="L9" s="385">
        <v>78</v>
      </c>
      <c r="M9" s="385">
        <v>84</v>
      </c>
      <c r="N9" s="385">
        <v>78</v>
      </c>
      <c r="O9" s="385">
        <v>78</v>
      </c>
      <c r="P9" s="385">
        <v>87</v>
      </c>
      <c r="Q9" s="385">
        <v>79</v>
      </c>
      <c r="R9" s="385">
        <v>77</v>
      </c>
      <c r="S9" s="386">
        <v>79</v>
      </c>
      <c r="T9" s="355">
        <v>84.9</v>
      </c>
      <c r="U9" s="355">
        <v>78</v>
      </c>
      <c r="V9" s="355">
        <v>81</v>
      </c>
      <c r="W9" s="355">
        <v>82</v>
      </c>
      <c r="X9" s="355">
        <v>78.099999999999994</v>
      </c>
      <c r="Y9" s="355">
        <v>87.8</v>
      </c>
      <c r="Z9" s="355">
        <v>80.3</v>
      </c>
      <c r="AA9" s="361">
        <v>81</v>
      </c>
      <c r="AB9" s="361">
        <v>80.400000000000006</v>
      </c>
      <c r="AC9" s="454">
        <v>86.9</v>
      </c>
      <c r="AD9" s="361">
        <v>86</v>
      </c>
      <c r="AE9" s="361">
        <v>85</v>
      </c>
      <c r="AF9" s="361">
        <v>84.5</v>
      </c>
      <c r="AG9" s="361">
        <v>81</v>
      </c>
      <c r="AH9" s="361">
        <v>89.3</v>
      </c>
      <c r="AI9" s="361">
        <v>82.7</v>
      </c>
      <c r="AJ9" s="361">
        <v>84</v>
      </c>
      <c r="AK9" s="460">
        <v>83.1</v>
      </c>
      <c r="AL9" s="361">
        <v>84.9</v>
      </c>
      <c r="AM9" s="361">
        <v>80</v>
      </c>
      <c r="AN9" s="361">
        <v>86</v>
      </c>
      <c r="AO9" s="361">
        <v>84.5</v>
      </c>
      <c r="AP9" s="361">
        <v>77.5</v>
      </c>
      <c r="AQ9" s="361">
        <v>87.4</v>
      </c>
      <c r="AR9" s="361">
        <v>81.7</v>
      </c>
      <c r="AS9" s="361">
        <v>86</v>
      </c>
      <c r="AT9" s="361">
        <v>81.900000000000006</v>
      </c>
      <c r="AU9" s="454">
        <v>87</v>
      </c>
      <c r="AV9" s="361">
        <v>87</v>
      </c>
      <c r="AW9" s="361">
        <v>87</v>
      </c>
      <c r="AX9" s="361">
        <v>85.7</v>
      </c>
      <c r="AY9" s="361">
        <v>81.5</v>
      </c>
      <c r="AZ9" s="361">
        <v>89.2</v>
      </c>
      <c r="BA9" s="361">
        <v>83.8</v>
      </c>
      <c r="BB9" s="361">
        <v>86</v>
      </c>
      <c r="BC9" s="460">
        <v>84.3</v>
      </c>
      <c r="BD9" s="355">
        <v>88</v>
      </c>
      <c r="BE9" s="355">
        <v>89</v>
      </c>
      <c r="BF9" s="355">
        <v>86</v>
      </c>
      <c r="BG9" s="355">
        <v>85.7</v>
      </c>
      <c r="BH9" s="355">
        <v>83.4</v>
      </c>
      <c r="BI9" s="361">
        <v>90</v>
      </c>
      <c r="BJ9" s="355">
        <v>86</v>
      </c>
      <c r="BK9" s="361">
        <v>84.9</v>
      </c>
      <c r="BL9" s="361">
        <v>82</v>
      </c>
      <c r="BM9" s="460">
        <v>83.8</v>
      </c>
      <c r="BN9" s="33">
        <v>89.2</v>
      </c>
      <c r="BO9" s="33">
        <v>84</v>
      </c>
      <c r="BP9" s="33">
        <v>88</v>
      </c>
      <c r="BQ9" s="33">
        <v>85.8</v>
      </c>
      <c r="BR9" s="33">
        <v>85.6</v>
      </c>
      <c r="BS9" s="33">
        <v>91.2</v>
      </c>
      <c r="BT9" s="33">
        <v>90</v>
      </c>
      <c r="BU9" s="33">
        <v>86.8</v>
      </c>
      <c r="BV9" s="33">
        <v>83</v>
      </c>
      <c r="BW9" s="33">
        <v>84.6</v>
      </c>
      <c r="BX9" s="33">
        <v>81</v>
      </c>
      <c r="BY9" s="462">
        <v>74</v>
      </c>
      <c r="BZ9" s="361">
        <v>87.6</v>
      </c>
      <c r="CA9" s="361">
        <v>79</v>
      </c>
      <c r="CB9" s="361">
        <v>89</v>
      </c>
      <c r="CC9" s="361">
        <v>84.7</v>
      </c>
      <c r="CD9" s="361">
        <v>83.4</v>
      </c>
      <c r="CE9" s="361">
        <v>89.6</v>
      </c>
      <c r="CF9" s="361">
        <v>87</v>
      </c>
      <c r="CG9" s="361">
        <v>84.8</v>
      </c>
      <c r="CH9" s="361">
        <v>82.8</v>
      </c>
      <c r="CI9" s="361">
        <v>82.6</v>
      </c>
      <c r="CJ9" s="361">
        <v>76</v>
      </c>
      <c r="CK9" s="460">
        <v>68</v>
      </c>
      <c r="CL9" s="76">
        <v>88.8</v>
      </c>
      <c r="CM9" s="76">
        <v>90.9</v>
      </c>
      <c r="CN9">
        <v>84.5</v>
      </c>
      <c r="CO9">
        <v>86.7</v>
      </c>
      <c r="CP9">
        <v>86</v>
      </c>
      <c r="CQ9">
        <v>89</v>
      </c>
      <c r="CR9">
        <v>86</v>
      </c>
      <c r="CS9">
        <v>84.1</v>
      </c>
      <c r="CT9">
        <v>84.4</v>
      </c>
      <c r="CU9">
        <v>86.2</v>
      </c>
      <c r="CV9">
        <v>78</v>
      </c>
      <c r="CW9">
        <v>65</v>
      </c>
    </row>
    <row r="10" spans="1:102">
      <c r="A10" s="2" t="s">
        <v>35</v>
      </c>
      <c r="B10" s="385">
        <v>78</v>
      </c>
      <c r="C10" s="385">
        <v>77</v>
      </c>
      <c r="D10" s="385">
        <v>90</v>
      </c>
      <c r="E10" s="385">
        <v>71</v>
      </c>
      <c r="F10" s="385">
        <v>73</v>
      </c>
      <c r="G10" s="385">
        <v>82</v>
      </c>
      <c r="H10" s="385">
        <v>71</v>
      </c>
      <c r="I10" s="385">
        <v>65</v>
      </c>
      <c r="J10" s="386">
        <v>56</v>
      </c>
      <c r="K10" s="385">
        <v>80</v>
      </c>
      <c r="L10" s="385">
        <v>71</v>
      </c>
      <c r="M10" s="385">
        <v>93</v>
      </c>
      <c r="N10" s="385">
        <v>74</v>
      </c>
      <c r="O10" s="385">
        <v>74</v>
      </c>
      <c r="P10" s="385">
        <v>83</v>
      </c>
      <c r="Q10" s="385">
        <v>72</v>
      </c>
      <c r="R10" s="385">
        <v>71</v>
      </c>
      <c r="S10" s="386">
        <v>57</v>
      </c>
      <c r="T10" s="355">
        <v>80.400000000000006</v>
      </c>
      <c r="U10" s="355">
        <v>80</v>
      </c>
      <c r="V10" s="355">
        <v>88</v>
      </c>
      <c r="W10" s="355">
        <v>78</v>
      </c>
      <c r="X10" s="355">
        <v>76.099999999999994</v>
      </c>
      <c r="Y10" s="355">
        <v>83.1</v>
      </c>
      <c r="Z10" s="355">
        <v>74.2</v>
      </c>
      <c r="AA10" s="361">
        <v>71</v>
      </c>
      <c r="AB10" s="361">
        <v>60</v>
      </c>
      <c r="AC10" s="454">
        <v>87</v>
      </c>
      <c r="AD10" s="361">
        <v>89</v>
      </c>
      <c r="AE10" s="361">
        <v>93</v>
      </c>
      <c r="AF10" s="361">
        <v>84</v>
      </c>
      <c r="AG10" s="361">
        <v>83</v>
      </c>
      <c r="AH10" s="361">
        <v>89.5</v>
      </c>
      <c r="AI10" s="361">
        <v>81</v>
      </c>
      <c r="AJ10" s="361">
        <v>77</v>
      </c>
      <c r="AK10" s="460">
        <v>68</v>
      </c>
      <c r="AL10" s="361">
        <v>85.6</v>
      </c>
      <c r="AM10" s="361">
        <v>69</v>
      </c>
      <c r="AN10" s="361">
        <v>94</v>
      </c>
      <c r="AO10" s="361">
        <v>81</v>
      </c>
      <c r="AP10" s="361">
        <v>83.2</v>
      </c>
      <c r="AQ10" s="361">
        <v>88</v>
      </c>
      <c r="AR10" s="361">
        <v>76</v>
      </c>
      <c r="AS10" s="361">
        <v>69</v>
      </c>
      <c r="AT10" s="361">
        <v>66</v>
      </c>
      <c r="AU10" s="454">
        <v>85.5</v>
      </c>
      <c r="AV10" s="361" t="s">
        <v>130</v>
      </c>
      <c r="AW10" s="361">
        <v>91</v>
      </c>
      <c r="AX10" s="361">
        <v>81</v>
      </c>
      <c r="AY10" s="361">
        <v>82.1</v>
      </c>
      <c r="AZ10" s="361">
        <v>88.4</v>
      </c>
      <c r="BA10" s="361">
        <v>76</v>
      </c>
      <c r="BB10" s="361">
        <v>73</v>
      </c>
      <c r="BC10" s="460">
        <v>67</v>
      </c>
      <c r="BD10" s="355">
        <v>86.9</v>
      </c>
      <c r="BE10" s="355">
        <v>76</v>
      </c>
      <c r="BF10" s="355">
        <v>95</v>
      </c>
      <c r="BG10" s="355">
        <v>82</v>
      </c>
      <c r="BH10" s="355">
        <v>83.2</v>
      </c>
      <c r="BI10" s="361">
        <v>89.9</v>
      </c>
      <c r="BJ10" s="355">
        <v>91</v>
      </c>
      <c r="BK10" s="361">
        <v>78</v>
      </c>
      <c r="BL10" s="361">
        <v>69</v>
      </c>
      <c r="BM10" s="460">
        <v>69</v>
      </c>
      <c r="BN10" s="33">
        <v>86.9</v>
      </c>
      <c r="BO10" s="33">
        <v>76</v>
      </c>
      <c r="BP10" s="33">
        <v>95</v>
      </c>
      <c r="BQ10" s="33">
        <v>82</v>
      </c>
      <c r="BR10" s="33">
        <v>83.2</v>
      </c>
      <c r="BS10" s="33">
        <v>89.9</v>
      </c>
      <c r="BT10" s="33">
        <v>91</v>
      </c>
      <c r="BU10" s="33">
        <v>78</v>
      </c>
      <c r="BV10" s="33">
        <v>69</v>
      </c>
      <c r="BW10" s="33">
        <v>69</v>
      </c>
      <c r="BX10" s="33">
        <v>83</v>
      </c>
      <c r="BY10" s="462">
        <v>62</v>
      </c>
      <c r="BZ10" s="361">
        <v>89</v>
      </c>
      <c r="CA10" s="361">
        <v>83</v>
      </c>
      <c r="CB10" s="361">
        <v>94</v>
      </c>
      <c r="CC10" s="361">
        <v>86</v>
      </c>
      <c r="CD10" s="361">
        <v>88</v>
      </c>
      <c r="CE10" s="361">
        <v>90.6</v>
      </c>
      <c r="CF10" s="361">
        <v>89</v>
      </c>
      <c r="CG10" s="361">
        <v>82</v>
      </c>
      <c r="CH10" s="361">
        <v>76</v>
      </c>
      <c r="CI10" s="361">
        <v>73</v>
      </c>
      <c r="CJ10" s="361">
        <v>73</v>
      </c>
      <c r="CK10" s="460">
        <v>74</v>
      </c>
      <c r="CL10" s="76">
        <v>89</v>
      </c>
      <c r="CM10" s="76">
        <v>90.5</v>
      </c>
      <c r="CN10">
        <v>87</v>
      </c>
      <c r="CO10">
        <v>86</v>
      </c>
      <c r="CP10">
        <v>95</v>
      </c>
      <c r="CQ10">
        <v>83</v>
      </c>
      <c r="CR10">
        <v>89</v>
      </c>
      <c r="CS10">
        <v>73</v>
      </c>
      <c r="CT10">
        <v>76</v>
      </c>
      <c r="CU10">
        <v>82</v>
      </c>
      <c r="CV10">
        <v>73</v>
      </c>
      <c r="CW10">
        <v>74</v>
      </c>
    </row>
    <row r="11" spans="1:102">
      <c r="A11" s="2" t="s">
        <v>36</v>
      </c>
      <c r="B11" s="385">
        <v>71</v>
      </c>
      <c r="C11" s="385">
        <v>70</v>
      </c>
      <c r="D11" s="385">
        <v>86</v>
      </c>
      <c r="E11" s="385">
        <v>70</v>
      </c>
      <c r="F11" s="385">
        <v>59</v>
      </c>
      <c r="G11" s="385">
        <v>76</v>
      </c>
      <c r="H11" s="385">
        <v>60</v>
      </c>
      <c r="I11" s="385">
        <v>53</v>
      </c>
      <c r="J11" s="386">
        <v>44</v>
      </c>
      <c r="K11" s="385">
        <v>75</v>
      </c>
      <c r="L11" s="385">
        <v>70</v>
      </c>
      <c r="M11" s="385">
        <v>89</v>
      </c>
      <c r="N11" s="385">
        <v>73</v>
      </c>
      <c r="O11" s="385">
        <v>64</v>
      </c>
      <c r="P11" s="385">
        <v>80</v>
      </c>
      <c r="Q11" s="385">
        <v>65</v>
      </c>
      <c r="R11" s="385">
        <v>57</v>
      </c>
      <c r="S11" s="386">
        <v>48</v>
      </c>
      <c r="T11" s="355">
        <v>75.599999999999994</v>
      </c>
      <c r="U11" s="355">
        <v>77</v>
      </c>
      <c r="V11" s="355">
        <v>88.4</v>
      </c>
      <c r="W11" s="355">
        <v>74.900000000000006</v>
      </c>
      <c r="X11" s="355">
        <v>64.599999999999994</v>
      </c>
      <c r="Y11" s="355">
        <v>80.5</v>
      </c>
      <c r="Z11" s="354">
        <v>67</v>
      </c>
      <c r="AA11" s="361">
        <v>57.5</v>
      </c>
      <c r="AB11" s="361">
        <v>52.3</v>
      </c>
      <c r="AC11" s="454">
        <v>76.099999999999994</v>
      </c>
      <c r="AD11" s="361">
        <v>74</v>
      </c>
      <c r="AE11" s="361">
        <v>89.2</v>
      </c>
      <c r="AF11" s="361">
        <v>75</v>
      </c>
      <c r="AG11" s="361">
        <v>64.7</v>
      </c>
      <c r="AH11" s="361">
        <v>81.7</v>
      </c>
      <c r="AI11" s="361">
        <v>67.8</v>
      </c>
      <c r="AJ11" s="361">
        <v>55.8</v>
      </c>
      <c r="AK11" s="460">
        <v>55.1</v>
      </c>
      <c r="AL11" s="361">
        <v>77.900000000000006</v>
      </c>
      <c r="AM11" s="361">
        <v>76</v>
      </c>
      <c r="AN11" s="361">
        <v>90.5</v>
      </c>
      <c r="AO11" s="361">
        <v>76.7</v>
      </c>
      <c r="AP11" s="361">
        <v>68</v>
      </c>
      <c r="AQ11" s="361">
        <v>82.7</v>
      </c>
      <c r="AR11" s="361">
        <v>70.400000000000006</v>
      </c>
      <c r="AS11" s="361">
        <v>59.5</v>
      </c>
      <c r="AT11" s="361">
        <v>56.8</v>
      </c>
      <c r="AU11" s="454">
        <v>80.7</v>
      </c>
      <c r="AV11" s="361">
        <v>77</v>
      </c>
      <c r="AW11" s="361">
        <v>91.6</v>
      </c>
      <c r="AX11" s="361">
        <v>79.5</v>
      </c>
      <c r="AY11" s="361">
        <v>72.3</v>
      </c>
      <c r="AZ11" s="361">
        <v>85.1</v>
      </c>
      <c r="BA11" s="361">
        <v>74.400000000000006</v>
      </c>
      <c r="BB11" s="361">
        <v>62</v>
      </c>
      <c r="BC11" s="460">
        <v>61.6</v>
      </c>
      <c r="BD11" s="355">
        <v>82.3</v>
      </c>
      <c r="BE11" s="355">
        <v>80</v>
      </c>
      <c r="BF11" s="355">
        <v>92.9</v>
      </c>
      <c r="BG11" s="355">
        <v>81.3</v>
      </c>
      <c r="BH11" s="355">
        <v>74.8</v>
      </c>
      <c r="BI11" s="361">
        <v>86.2</v>
      </c>
      <c r="BJ11" s="355">
        <v>83.1</v>
      </c>
      <c r="BK11" s="361">
        <v>76.8</v>
      </c>
      <c r="BL11" s="361">
        <v>67.3</v>
      </c>
      <c r="BM11" s="460">
        <v>66</v>
      </c>
      <c r="BN11" s="33">
        <v>86.3</v>
      </c>
      <c r="BO11" s="33">
        <v>80</v>
      </c>
      <c r="BP11" s="33">
        <v>95.5</v>
      </c>
      <c r="BQ11" s="33">
        <v>85.4</v>
      </c>
      <c r="BR11" s="33">
        <v>81.2</v>
      </c>
      <c r="BS11" s="33">
        <v>89.3</v>
      </c>
      <c r="BT11" s="33">
        <v>87.3</v>
      </c>
      <c r="BU11" s="33">
        <v>82.3</v>
      </c>
      <c r="BV11" s="33">
        <v>75.2</v>
      </c>
      <c r="BW11" s="33">
        <v>77.400000000000006</v>
      </c>
      <c r="BX11" s="33">
        <v>73.900000000000006</v>
      </c>
      <c r="BY11" s="462">
        <v>50</v>
      </c>
      <c r="BZ11" s="361">
        <v>87.2</v>
      </c>
      <c r="CA11" s="361">
        <v>78</v>
      </c>
      <c r="CB11" s="361">
        <v>95.2</v>
      </c>
      <c r="CC11" s="361">
        <v>86.1</v>
      </c>
      <c r="CD11" s="361">
        <v>81.900000000000006</v>
      </c>
      <c r="CE11" s="361">
        <v>90.4</v>
      </c>
      <c r="CF11" s="361">
        <v>88.4</v>
      </c>
      <c r="CG11" s="361">
        <v>83.2</v>
      </c>
      <c r="CH11" s="361">
        <v>75.2</v>
      </c>
      <c r="CI11" s="361">
        <v>81</v>
      </c>
      <c r="CJ11" s="361">
        <v>74.3</v>
      </c>
      <c r="CK11" s="460">
        <v>51</v>
      </c>
      <c r="CL11" s="76">
        <v>90.2</v>
      </c>
      <c r="CM11" s="76">
        <v>91.9</v>
      </c>
      <c r="CN11">
        <v>86.9</v>
      </c>
      <c r="CO11">
        <v>89.7</v>
      </c>
      <c r="CP11">
        <v>97.7</v>
      </c>
      <c r="CQ11">
        <v>84</v>
      </c>
      <c r="CR11">
        <v>90.7</v>
      </c>
      <c r="CS11">
        <v>82.9</v>
      </c>
      <c r="CT11">
        <v>85.8</v>
      </c>
      <c r="CU11">
        <v>87.1</v>
      </c>
      <c r="CV11">
        <v>80</v>
      </c>
      <c r="CW11">
        <v>57</v>
      </c>
    </row>
    <row r="12" spans="1:102">
      <c r="A12" s="2" t="s">
        <v>37</v>
      </c>
      <c r="B12" s="385">
        <v>67</v>
      </c>
      <c r="C12" s="385">
        <v>68</v>
      </c>
      <c r="D12" s="385">
        <v>79</v>
      </c>
      <c r="E12" s="385">
        <v>58</v>
      </c>
      <c r="F12" s="385">
        <v>60</v>
      </c>
      <c r="G12" s="385">
        <v>76</v>
      </c>
      <c r="H12" s="385">
        <v>59</v>
      </c>
      <c r="I12" s="385">
        <v>32</v>
      </c>
      <c r="J12" s="386">
        <v>30</v>
      </c>
      <c r="K12" s="385">
        <v>70</v>
      </c>
      <c r="L12" s="385">
        <v>67</v>
      </c>
      <c r="M12" s="385">
        <v>82</v>
      </c>
      <c r="N12" s="385">
        <v>60</v>
      </c>
      <c r="O12" s="385">
        <v>62</v>
      </c>
      <c r="P12" s="385">
        <v>78</v>
      </c>
      <c r="Q12" s="385">
        <v>61</v>
      </c>
      <c r="R12" s="385">
        <v>44</v>
      </c>
      <c r="S12" s="386">
        <v>35</v>
      </c>
      <c r="T12" s="355">
        <v>71.7</v>
      </c>
      <c r="U12" s="355">
        <v>64</v>
      </c>
      <c r="V12" s="355">
        <v>81.8</v>
      </c>
      <c r="W12" s="355">
        <v>62.6</v>
      </c>
      <c r="X12" s="355">
        <v>64.400000000000006</v>
      </c>
      <c r="Y12" s="355">
        <v>79.2</v>
      </c>
      <c r="Z12" s="355">
        <v>63.8</v>
      </c>
      <c r="AA12" s="361">
        <v>43.8</v>
      </c>
      <c r="AB12" s="361">
        <v>35.1</v>
      </c>
      <c r="AC12" s="454">
        <v>72.5</v>
      </c>
      <c r="AD12" s="361">
        <v>67</v>
      </c>
      <c r="AE12" s="361">
        <v>82.8</v>
      </c>
      <c r="AF12" s="361">
        <v>64</v>
      </c>
      <c r="AG12" s="361">
        <v>65.2</v>
      </c>
      <c r="AH12" s="361">
        <v>79.7</v>
      </c>
      <c r="AI12" s="361">
        <v>62.5</v>
      </c>
      <c r="AJ12" s="361">
        <v>43.9</v>
      </c>
      <c r="AK12" s="460">
        <v>36.5</v>
      </c>
      <c r="AL12" s="361">
        <v>78.8</v>
      </c>
      <c r="AM12" s="361">
        <v>76</v>
      </c>
      <c r="AN12" s="361">
        <v>87.9</v>
      </c>
      <c r="AO12" s="361">
        <v>72</v>
      </c>
      <c r="AP12" s="361">
        <v>75.2</v>
      </c>
      <c r="AQ12" s="361">
        <v>82.8</v>
      </c>
      <c r="AR12" s="361">
        <v>74.5</v>
      </c>
      <c r="AS12" s="361">
        <v>56.4</v>
      </c>
      <c r="AT12" s="361">
        <v>54.3</v>
      </c>
      <c r="AU12" s="454">
        <v>79.400000000000006</v>
      </c>
      <c r="AV12" s="361">
        <v>69</v>
      </c>
      <c r="AW12" s="361">
        <v>87.8</v>
      </c>
      <c r="AX12" s="361">
        <v>73.400000000000006</v>
      </c>
      <c r="AY12" s="361">
        <v>76.2</v>
      </c>
      <c r="AZ12" s="361">
        <v>83.1</v>
      </c>
      <c r="BA12" s="361">
        <v>75.3</v>
      </c>
      <c r="BB12" s="361">
        <v>56.5</v>
      </c>
      <c r="BC12" s="460">
        <v>56.6</v>
      </c>
      <c r="BD12" s="355">
        <v>80.599999999999994</v>
      </c>
      <c r="BE12" s="355">
        <v>79</v>
      </c>
      <c r="BF12" s="355">
        <v>91.2</v>
      </c>
      <c r="BG12" s="355">
        <v>73.599999999999994</v>
      </c>
      <c r="BH12" s="355">
        <v>77.8</v>
      </c>
      <c r="BI12" s="361">
        <v>84</v>
      </c>
      <c r="BJ12" s="355">
        <v>81.5</v>
      </c>
      <c r="BK12" s="361">
        <v>76.400000000000006</v>
      </c>
      <c r="BL12" s="361">
        <v>59</v>
      </c>
      <c r="BM12" s="460">
        <v>58.9</v>
      </c>
      <c r="BN12" s="33">
        <v>81.599999999999994</v>
      </c>
      <c r="BO12" s="33">
        <v>77</v>
      </c>
      <c r="BP12" s="33">
        <v>90.3</v>
      </c>
      <c r="BQ12" s="33">
        <v>74.599999999999994</v>
      </c>
      <c r="BR12" s="33">
        <v>79.400000000000006</v>
      </c>
      <c r="BS12" s="33">
        <v>84.9</v>
      </c>
      <c r="BT12" s="33">
        <v>82</v>
      </c>
      <c r="BU12" s="33">
        <v>77.099999999999994</v>
      </c>
      <c r="BV12" s="33">
        <v>57.9</v>
      </c>
      <c r="BW12" s="33">
        <v>61.1</v>
      </c>
      <c r="BX12" s="33">
        <v>61</v>
      </c>
      <c r="BY12" s="462">
        <v>37</v>
      </c>
      <c r="BZ12" s="361">
        <v>82</v>
      </c>
      <c r="CA12" s="361">
        <v>76</v>
      </c>
      <c r="CB12" s="361">
        <v>90.8</v>
      </c>
      <c r="CC12" s="361">
        <v>75.900000000000006</v>
      </c>
      <c r="CD12" s="361">
        <v>79.599999999999994</v>
      </c>
      <c r="CE12" s="361">
        <v>85.6</v>
      </c>
      <c r="CF12" s="361">
        <v>82.3</v>
      </c>
      <c r="CG12" s="361">
        <v>77.2</v>
      </c>
      <c r="CH12" s="361">
        <v>59.3</v>
      </c>
      <c r="CI12" s="361">
        <v>62.9</v>
      </c>
      <c r="CJ12" s="361">
        <v>63.9</v>
      </c>
      <c r="CK12" s="460">
        <v>39</v>
      </c>
      <c r="CL12" s="76">
        <v>83.8</v>
      </c>
      <c r="CM12" s="76">
        <v>87.3</v>
      </c>
      <c r="CN12">
        <v>81.400000000000006</v>
      </c>
      <c r="CO12">
        <v>77.8</v>
      </c>
      <c r="CP12">
        <v>92.5</v>
      </c>
      <c r="CQ12">
        <v>76</v>
      </c>
      <c r="CR12">
        <v>85.7</v>
      </c>
      <c r="CS12">
        <v>70.2</v>
      </c>
      <c r="CT12">
        <v>62</v>
      </c>
      <c r="CU12">
        <v>79.7</v>
      </c>
      <c r="CV12">
        <v>65.8</v>
      </c>
      <c r="CW12" t="s">
        <v>131</v>
      </c>
    </row>
    <row r="13" spans="1:102">
      <c r="A13" s="2" t="s">
        <v>38</v>
      </c>
      <c r="B13" s="385" t="s">
        <v>47</v>
      </c>
      <c r="C13" s="385" t="s">
        <v>47</v>
      </c>
      <c r="D13" s="385" t="s">
        <v>47</v>
      </c>
      <c r="E13" s="385" t="s">
        <v>47</v>
      </c>
      <c r="F13" s="385" t="s">
        <v>47</v>
      </c>
      <c r="G13" s="385" t="s">
        <v>47</v>
      </c>
      <c r="H13" s="385" t="s">
        <v>47</v>
      </c>
      <c r="I13" s="385" t="s">
        <v>47</v>
      </c>
      <c r="J13" s="386" t="s">
        <v>47</v>
      </c>
      <c r="K13" s="385" t="s">
        <v>47</v>
      </c>
      <c r="L13" s="385" t="s">
        <v>47</v>
      </c>
      <c r="M13" s="385" t="s">
        <v>47</v>
      </c>
      <c r="N13" s="385" t="s">
        <v>47</v>
      </c>
      <c r="O13" s="385" t="s">
        <v>47</v>
      </c>
      <c r="P13" s="385" t="s">
        <v>47</v>
      </c>
      <c r="Q13" s="385" t="s">
        <v>47</v>
      </c>
      <c r="R13" s="385" t="s">
        <v>47</v>
      </c>
      <c r="S13" s="386" t="s">
        <v>47</v>
      </c>
      <c r="T13" s="354">
        <v>86.1</v>
      </c>
      <c r="U13" s="356">
        <v>79</v>
      </c>
      <c r="V13" s="356">
        <v>87</v>
      </c>
      <c r="W13" s="356">
        <v>80</v>
      </c>
      <c r="X13" s="354">
        <v>78.400000000000006</v>
      </c>
      <c r="Y13" s="354">
        <v>87.6</v>
      </c>
      <c r="Z13" s="354">
        <v>85.4</v>
      </c>
      <c r="AA13" s="356">
        <v>64</v>
      </c>
      <c r="AB13" s="356">
        <v>52</v>
      </c>
      <c r="AC13" s="454">
        <v>87.5</v>
      </c>
      <c r="AD13" s="361">
        <v>84</v>
      </c>
      <c r="AE13" s="361">
        <v>89</v>
      </c>
      <c r="AF13" s="361">
        <v>84</v>
      </c>
      <c r="AG13" s="361">
        <v>79.400000000000006</v>
      </c>
      <c r="AH13" s="361">
        <v>88.7</v>
      </c>
      <c r="AI13" s="361">
        <v>84</v>
      </c>
      <c r="AJ13" s="361">
        <v>66</v>
      </c>
      <c r="AK13" s="460">
        <v>70.8</v>
      </c>
      <c r="AL13" s="361">
        <v>88</v>
      </c>
      <c r="AM13" s="361">
        <v>81</v>
      </c>
      <c r="AN13" s="361">
        <v>91</v>
      </c>
      <c r="AO13" s="361">
        <v>83</v>
      </c>
      <c r="AP13" s="361">
        <v>80.400000000000006</v>
      </c>
      <c r="AQ13" s="361">
        <v>89.3</v>
      </c>
      <c r="AR13" s="361">
        <v>84.8</v>
      </c>
      <c r="AS13" s="361">
        <v>67</v>
      </c>
      <c r="AT13" s="361">
        <v>66</v>
      </c>
      <c r="AU13" s="454">
        <v>88.6</v>
      </c>
      <c r="AV13" s="361">
        <v>83</v>
      </c>
      <c r="AW13" s="361">
        <v>93</v>
      </c>
      <c r="AX13" s="361">
        <v>82</v>
      </c>
      <c r="AY13" s="361">
        <v>80.900000000000006</v>
      </c>
      <c r="AZ13" s="361">
        <v>90</v>
      </c>
      <c r="BA13" s="361">
        <v>85.6</v>
      </c>
      <c r="BB13" s="361">
        <v>68</v>
      </c>
      <c r="BC13" s="460">
        <v>71.900000000000006</v>
      </c>
      <c r="BD13" s="355">
        <v>89.7</v>
      </c>
      <c r="BE13" s="355">
        <v>77</v>
      </c>
      <c r="BF13" s="355">
        <v>92</v>
      </c>
      <c r="BG13" s="355">
        <v>84</v>
      </c>
      <c r="BH13" s="355">
        <v>81.599999999999994</v>
      </c>
      <c r="BI13" s="361">
        <v>91.2</v>
      </c>
      <c r="BJ13" s="355">
        <v>87</v>
      </c>
      <c r="BK13" s="361">
        <v>87</v>
      </c>
      <c r="BL13" s="361">
        <v>67</v>
      </c>
      <c r="BM13" s="460">
        <v>74.400000000000006</v>
      </c>
      <c r="BN13" s="33">
        <v>90.3</v>
      </c>
      <c r="BO13" s="33">
        <v>89</v>
      </c>
      <c r="BP13" s="33">
        <v>95</v>
      </c>
      <c r="BQ13" s="33">
        <v>83</v>
      </c>
      <c r="BR13" s="33">
        <v>82</v>
      </c>
      <c r="BS13" s="33">
        <v>91.9</v>
      </c>
      <c r="BT13" s="33">
        <v>88</v>
      </c>
      <c r="BU13" s="33">
        <v>87.8</v>
      </c>
      <c r="BV13" s="33">
        <v>70</v>
      </c>
      <c r="BW13" s="33">
        <v>74.8</v>
      </c>
      <c r="BX13" s="33">
        <v>84</v>
      </c>
      <c r="BY13" s="462" t="s">
        <v>47</v>
      </c>
      <c r="BZ13" s="361">
        <v>90.6</v>
      </c>
      <c r="CA13" s="8" t="s">
        <v>132</v>
      </c>
      <c r="CB13" s="361">
        <v>94</v>
      </c>
      <c r="CC13" s="361">
        <v>84</v>
      </c>
      <c r="CD13" s="361">
        <v>83.2</v>
      </c>
      <c r="CE13" s="361">
        <v>92.1</v>
      </c>
      <c r="CF13" s="361">
        <v>89</v>
      </c>
      <c r="CG13" s="361">
        <v>87.8</v>
      </c>
      <c r="CH13" s="361">
        <v>74</v>
      </c>
      <c r="CI13" s="361">
        <v>75.5</v>
      </c>
      <c r="CJ13" s="361">
        <v>16</v>
      </c>
      <c r="CK13" s="460" t="s">
        <v>47</v>
      </c>
      <c r="CL13" s="76">
        <v>91.1</v>
      </c>
      <c r="CM13" s="33">
        <v>92.8</v>
      </c>
      <c r="CN13">
        <v>83.3</v>
      </c>
      <c r="CO13">
        <v>84.4</v>
      </c>
      <c r="CP13">
        <v>94</v>
      </c>
      <c r="CQ13">
        <v>90</v>
      </c>
      <c r="CR13">
        <v>89</v>
      </c>
      <c r="CS13">
        <v>78</v>
      </c>
      <c r="CT13">
        <v>74</v>
      </c>
      <c r="CU13">
        <v>88.1</v>
      </c>
      <c r="CV13">
        <v>85</v>
      </c>
      <c r="CW13" s="361" t="s">
        <v>47</v>
      </c>
    </row>
    <row r="14" spans="1:102">
      <c r="A14" s="2" t="s">
        <v>39</v>
      </c>
      <c r="B14" s="385">
        <v>71</v>
      </c>
      <c r="C14" s="385">
        <v>71</v>
      </c>
      <c r="D14" s="385">
        <v>83</v>
      </c>
      <c r="E14" s="385">
        <v>70</v>
      </c>
      <c r="F14" s="385">
        <v>64</v>
      </c>
      <c r="G14" s="385">
        <v>77</v>
      </c>
      <c r="H14" s="385">
        <v>64</v>
      </c>
      <c r="I14" s="385">
        <v>43</v>
      </c>
      <c r="J14" s="386">
        <v>29</v>
      </c>
      <c r="K14" s="385">
        <v>72</v>
      </c>
      <c r="L14" s="385">
        <v>73</v>
      </c>
      <c r="M14" s="385">
        <v>85</v>
      </c>
      <c r="N14" s="385">
        <v>70</v>
      </c>
      <c r="O14" s="385">
        <v>65</v>
      </c>
      <c r="P14" s="385">
        <v>78</v>
      </c>
      <c r="Q14" s="385">
        <v>66</v>
      </c>
      <c r="R14" s="385">
        <v>49</v>
      </c>
      <c r="S14" s="386">
        <v>33</v>
      </c>
      <c r="T14" s="355">
        <v>73.5</v>
      </c>
      <c r="U14" s="355">
        <v>75</v>
      </c>
      <c r="V14" s="355">
        <v>85</v>
      </c>
      <c r="W14" s="355">
        <v>73</v>
      </c>
      <c r="X14" s="355">
        <v>65.900000000000006</v>
      </c>
      <c r="Y14" s="355">
        <v>80.2</v>
      </c>
      <c r="Z14" s="355">
        <v>67.7</v>
      </c>
      <c r="AA14" s="361">
        <v>48</v>
      </c>
      <c r="AB14" s="361">
        <v>36.700000000000003</v>
      </c>
      <c r="AC14" s="454">
        <v>74.599999999999994</v>
      </c>
      <c r="AD14" s="361">
        <v>80</v>
      </c>
      <c r="AE14" s="361">
        <v>89</v>
      </c>
      <c r="AF14" s="361">
        <v>73</v>
      </c>
      <c r="AG14" s="361">
        <v>67.900000000000006</v>
      </c>
      <c r="AH14" s="361">
        <v>80.3</v>
      </c>
      <c r="AI14" s="361">
        <v>68.8</v>
      </c>
      <c r="AJ14" s="361">
        <v>50</v>
      </c>
      <c r="AK14" s="460">
        <v>42.8</v>
      </c>
      <c r="AL14" s="361">
        <v>77.5</v>
      </c>
      <c r="AM14" s="361">
        <v>76</v>
      </c>
      <c r="AN14" s="361">
        <v>90</v>
      </c>
      <c r="AO14" s="361">
        <v>75</v>
      </c>
      <c r="AP14" s="361">
        <v>71.400000000000006</v>
      </c>
      <c r="AQ14" s="361">
        <v>82.7</v>
      </c>
      <c r="AR14" s="361">
        <v>70.8</v>
      </c>
      <c r="AS14" s="361">
        <v>50</v>
      </c>
      <c r="AT14" s="361">
        <v>44.3</v>
      </c>
      <c r="AU14" s="454">
        <v>78.599999999999994</v>
      </c>
      <c r="AV14" s="361">
        <v>83</v>
      </c>
      <c r="AW14" s="361">
        <v>89</v>
      </c>
      <c r="AX14" s="361">
        <v>73</v>
      </c>
      <c r="AY14" s="361">
        <v>73.400000000000006</v>
      </c>
      <c r="AZ14" s="361">
        <v>83.2</v>
      </c>
      <c r="BA14" s="361">
        <v>72.900000000000006</v>
      </c>
      <c r="BB14" s="361">
        <v>43</v>
      </c>
      <c r="BC14" s="460">
        <v>46.6</v>
      </c>
      <c r="BD14" s="355">
        <v>78.099999999999994</v>
      </c>
      <c r="BE14" s="355">
        <v>81</v>
      </c>
      <c r="BF14" s="355">
        <v>90</v>
      </c>
      <c r="BG14" s="355">
        <v>67</v>
      </c>
      <c r="BH14" s="355">
        <v>72.8</v>
      </c>
      <c r="BI14" s="361">
        <v>83.7</v>
      </c>
      <c r="BJ14" s="355">
        <v>82</v>
      </c>
      <c r="BK14" s="361">
        <v>72.599999999999994</v>
      </c>
      <c r="BL14" s="361">
        <v>36</v>
      </c>
      <c r="BM14" s="460">
        <v>52.5</v>
      </c>
      <c r="BN14" s="33">
        <v>81.400000000000006</v>
      </c>
      <c r="BO14" s="33">
        <v>89</v>
      </c>
      <c r="BP14" s="33">
        <v>92</v>
      </c>
      <c r="BQ14" s="33">
        <v>68</v>
      </c>
      <c r="BR14" s="33">
        <v>78.099999999999994</v>
      </c>
      <c r="BS14" s="33">
        <v>85.5</v>
      </c>
      <c r="BT14" s="33">
        <v>81</v>
      </c>
      <c r="BU14" s="33">
        <v>75.5</v>
      </c>
      <c r="BV14" s="33">
        <v>36</v>
      </c>
      <c r="BW14" s="33">
        <v>59.3</v>
      </c>
      <c r="BX14" s="33">
        <v>60</v>
      </c>
      <c r="BY14" s="462">
        <v>35</v>
      </c>
      <c r="BZ14" s="361">
        <v>80.099999999999994</v>
      </c>
      <c r="CA14" s="361">
        <v>88</v>
      </c>
      <c r="CB14" s="361">
        <v>89</v>
      </c>
      <c r="CC14" s="361">
        <v>67.099999999999994</v>
      </c>
      <c r="CD14" s="361">
        <v>75.599999999999994</v>
      </c>
      <c r="CE14" s="361">
        <v>85.9</v>
      </c>
      <c r="CF14" s="361">
        <v>84</v>
      </c>
      <c r="CG14" s="361">
        <v>74.400000000000006</v>
      </c>
      <c r="CH14" s="361">
        <v>41</v>
      </c>
      <c r="CI14" s="361">
        <v>64.7</v>
      </c>
      <c r="CJ14" s="361">
        <v>66</v>
      </c>
      <c r="CK14" s="460">
        <v>53</v>
      </c>
      <c r="CL14" s="76">
        <v>82.9</v>
      </c>
      <c r="CM14" s="76">
        <v>87.8</v>
      </c>
      <c r="CN14">
        <v>78.900000000000006</v>
      </c>
      <c r="CO14">
        <v>72.7</v>
      </c>
      <c r="CP14">
        <v>94</v>
      </c>
      <c r="CQ14">
        <v>78</v>
      </c>
      <c r="CR14">
        <v>83</v>
      </c>
      <c r="CS14">
        <v>68.599999999999994</v>
      </c>
      <c r="CT14">
        <v>50</v>
      </c>
      <c r="CU14">
        <v>78.400000000000006</v>
      </c>
      <c r="CV14">
        <v>67</v>
      </c>
      <c r="CW14">
        <v>54</v>
      </c>
    </row>
    <row r="15" spans="1:102">
      <c r="A15" s="2" t="s">
        <v>40</v>
      </c>
      <c r="B15" s="385">
        <v>83</v>
      </c>
      <c r="C15" s="385">
        <v>74</v>
      </c>
      <c r="D15" s="385">
        <v>93</v>
      </c>
      <c r="E15" s="385">
        <v>72</v>
      </c>
      <c r="F15" s="385">
        <v>76</v>
      </c>
      <c r="G15" s="385">
        <v>89</v>
      </c>
      <c r="H15" s="385">
        <v>74</v>
      </c>
      <c r="I15" s="385">
        <v>54</v>
      </c>
      <c r="J15" s="386">
        <v>57</v>
      </c>
      <c r="K15" s="385">
        <v>84</v>
      </c>
      <c r="L15" s="385">
        <v>79</v>
      </c>
      <c r="M15" s="385">
        <v>93</v>
      </c>
      <c r="N15" s="385">
        <v>73</v>
      </c>
      <c r="O15" s="385">
        <v>77</v>
      </c>
      <c r="P15" s="385">
        <v>90</v>
      </c>
      <c r="Q15" s="385">
        <v>75</v>
      </c>
      <c r="R15" s="385">
        <v>55</v>
      </c>
      <c r="S15" s="386">
        <v>57</v>
      </c>
      <c r="T15" s="354">
        <v>85</v>
      </c>
      <c r="U15" s="355">
        <v>83</v>
      </c>
      <c r="V15" s="355">
        <v>94.8</v>
      </c>
      <c r="W15" s="355">
        <v>75.099999999999994</v>
      </c>
      <c r="X15" s="355">
        <v>78.3</v>
      </c>
      <c r="Y15" s="355">
        <v>91.1</v>
      </c>
      <c r="Z15" s="355">
        <v>75.8</v>
      </c>
      <c r="AA15" s="361">
        <v>57</v>
      </c>
      <c r="AB15" s="33">
        <v>60</v>
      </c>
      <c r="AC15" s="454">
        <v>86.4</v>
      </c>
      <c r="AD15" s="361">
        <v>87</v>
      </c>
      <c r="AE15" s="361">
        <v>94.9</v>
      </c>
      <c r="AF15" s="361">
        <v>77.5</v>
      </c>
      <c r="AG15" s="361">
        <v>80.5</v>
      </c>
      <c r="AH15" s="361">
        <v>91.9</v>
      </c>
      <c r="AI15" s="361">
        <v>77.8</v>
      </c>
      <c r="AJ15" s="361">
        <v>54</v>
      </c>
      <c r="AK15" s="460">
        <v>63.5</v>
      </c>
      <c r="AL15" s="361">
        <v>87</v>
      </c>
      <c r="AM15" s="361">
        <v>79</v>
      </c>
      <c r="AN15" s="361">
        <v>95.9</v>
      </c>
      <c r="AO15" s="361">
        <v>76.900000000000006</v>
      </c>
      <c r="AP15" s="361">
        <v>82.3</v>
      </c>
      <c r="AQ15" s="361">
        <v>92</v>
      </c>
      <c r="AR15" s="361">
        <v>78.599999999999994</v>
      </c>
      <c r="AS15" s="361">
        <v>49</v>
      </c>
      <c r="AT15" s="361">
        <v>63.9</v>
      </c>
      <c r="AU15" s="454">
        <v>87.6</v>
      </c>
      <c r="AV15" s="361">
        <v>82</v>
      </c>
      <c r="AW15" s="361">
        <v>95.1</v>
      </c>
      <c r="AX15" s="361">
        <v>76.5</v>
      </c>
      <c r="AY15" s="361">
        <v>84.1</v>
      </c>
      <c r="AZ15" s="361">
        <v>92.4</v>
      </c>
      <c r="BA15" s="361">
        <v>79.2</v>
      </c>
      <c r="BB15" s="361">
        <v>48</v>
      </c>
      <c r="BC15" s="460">
        <v>66.900000000000006</v>
      </c>
      <c r="BD15" s="355">
        <v>87.7</v>
      </c>
      <c r="BE15" s="355">
        <v>86</v>
      </c>
      <c r="BF15" s="355">
        <v>96.2</v>
      </c>
      <c r="BG15" s="355">
        <v>74</v>
      </c>
      <c r="BH15" s="355">
        <v>85.4</v>
      </c>
      <c r="BI15" s="361">
        <v>92.7</v>
      </c>
      <c r="BJ15" s="355">
        <v>91</v>
      </c>
      <c r="BK15" s="361">
        <v>79.3</v>
      </c>
      <c r="BL15" s="361">
        <v>45</v>
      </c>
      <c r="BM15" s="460">
        <v>67.5</v>
      </c>
      <c r="BN15" s="33">
        <v>87.1</v>
      </c>
      <c r="BO15" s="33">
        <v>90</v>
      </c>
      <c r="BP15" s="33">
        <v>96.2</v>
      </c>
      <c r="BQ15" s="33">
        <v>72.2</v>
      </c>
      <c r="BR15" s="33">
        <v>84.8</v>
      </c>
      <c r="BS15" s="33">
        <v>93.2</v>
      </c>
      <c r="BT15" s="33">
        <v>90</v>
      </c>
      <c r="BU15" s="33">
        <v>78.8</v>
      </c>
      <c r="BV15" s="33">
        <v>51</v>
      </c>
      <c r="BW15" s="33">
        <v>66.8</v>
      </c>
      <c r="BX15" s="33">
        <v>67</v>
      </c>
      <c r="BY15" s="462">
        <v>59</v>
      </c>
      <c r="BZ15" s="361">
        <v>86.9</v>
      </c>
      <c r="CA15" s="361">
        <v>81</v>
      </c>
      <c r="CB15" s="361">
        <v>96.3</v>
      </c>
      <c r="CC15" s="361">
        <v>72.400000000000006</v>
      </c>
      <c r="CD15" s="361">
        <v>84.3</v>
      </c>
      <c r="CE15" s="361">
        <v>93.4</v>
      </c>
      <c r="CF15" s="361">
        <v>91</v>
      </c>
      <c r="CG15" s="361">
        <v>77.7</v>
      </c>
      <c r="CH15" s="361">
        <v>53.7</v>
      </c>
      <c r="CI15" s="361">
        <v>63.5</v>
      </c>
      <c r="CJ15" s="361">
        <v>65</v>
      </c>
      <c r="CK15" s="460">
        <v>48</v>
      </c>
      <c r="CL15" s="76">
        <v>86.8</v>
      </c>
      <c r="CM15" s="76">
        <v>94.1</v>
      </c>
      <c r="CN15">
        <v>84.7</v>
      </c>
      <c r="CO15">
        <v>71.599999999999994</v>
      </c>
      <c r="CP15">
        <v>95.9</v>
      </c>
      <c r="CQ15">
        <v>87</v>
      </c>
      <c r="CR15">
        <v>92</v>
      </c>
      <c r="CS15">
        <v>68.5</v>
      </c>
      <c r="CT15">
        <v>55.6</v>
      </c>
      <c r="CU15">
        <v>79.3</v>
      </c>
      <c r="CV15">
        <v>66</v>
      </c>
      <c r="CW15">
        <v>50</v>
      </c>
    </row>
    <row r="16" spans="1:102">
      <c r="A16" s="2" t="s">
        <v>41</v>
      </c>
      <c r="B16" s="385">
        <v>75</v>
      </c>
      <c r="C16" s="385">
        <v>71</v>
      </c>
      <c r="D16" s="385">
        <v>90</v>
      </c>
      <c r="E16" s="385">
        <v>79</v>
      </c>
      <c r="F16" s="385">
        <v>69</v>
      </c>
      <c r="G16" s="385">
        <v>82</v>
      </c>
      <c r="H16" s="385">
        <v>70</v>
      </c>
      <c r="I16" s="385">
        <v>54</v>
      </c>
      <c r="J16" s="386">
        <v>32</v>
      </c>
      <c r="K16" s="385">
        <v>75</v>
      </c>
      <c r="L16" s="385">
        <v>71</v>
      </c>
      <c r="M16" s="385">
        <v>90</v>
      </c>
      <c r="N16" s="385">
        <v>79</v>
      </c>
      <c r="O16" s="385">
        <v>69</v>
      </c>
      <c r="P16" s="385">
        <v>82</v>
      </c>
      <c r="Q16" s="385">
        <v>70</v>
      </c>
      <c r="R16" s="385">
        <v>54</v>
      </c>
      <c r="S16" s="386">
        <v>32</v>
      </c>
      <c r="T16" s="355">
        <v>75.5</v>
      </c>
      <c r="U16" s="355">
        <v>69</v>
      </c>
      <c r="V16" s="355">
        <v>92</v>
      </c>
      <c r="W16" s="355">
        <v>79</v>
      </c>
      <c r="X16" s="355">
        <v>69.5</v>
      </c>
      <c r="Y16" s="355">
        <v>82.1</v>
      </c>
      <c r="Z16" s="355">
        <v>70.2</v>
      </c>
      <c r="AA16" s="361">
        <v>57</v>
      </c>
      <c r="AB16" s="361">
        <v>22.5</v>
      </c>
      <c r="AC16" s="454">
        <v>77.599999999999994</v>
      </c>
      <c r="AD16" s="361">
        <v>66</v>
      </c>
      <c r="AE16" s="361">
        <v>89</v>
      </c>
      <c r="AF16" s="361">
        <v>80</v>
      </c>
      <c r="AG16" s="361">
        <v>71.5</v>
      </c>
      <c r="AH16" s="361">
        <v>84</v>
      </c>
      <c r="AI16" s="361">
        <v>70.900000000000006</v>
      </c>
      <c r="AJ16" s="361">
        <v>67</v>
      </c>
      <c r="AK16" s="460">
        <v>28.1</v>
      </c>
      <c r="AL16" s="361">
        <v>75.400000000000006</v>
      </c>
      <c r="AM16" s="361">
        <v>70</v>
      </c>
      <c r="AN16" s="361">
        <v>85</v>
      </c>
      <c r="AO16" s="361">
        <v>68</v>
      </c>
      <c r="AP16" s="361">
        <v>72</v>
      </c>
      <c r="AQ16" s="361">
        <v>79.400000000000006</v>
      </c>
      <c r="AR16" s="361">
        <v>70.5</v>
      </c>
      <c r="AS16" s="361">
        <v>53</v>
      </c>
      <c r="AT16" s="361">
        <v>30.7</v>
      </c>
      <c r="AU16" s="454">
        <v>82.3</v>
      </c>
      <c r="AV16" s="361">
        <v>88</v>
      </c>
      <c r="AW16" s="361">
        <v>92</v>
      </c>
      <c r="AX16" s="361">
        <v>82</v>
      </c>
      <c r="AY16" s="361">
        <v>78.900000000000006</v>
      </c>
      <c r="AZ16" s="361">
        <v>85.9</v>
      </c>
      <c r="BA16" s="361">
        <v>78.8</v>
      </c>
      <c r="BB16" s="361">
        <v>65</v>
      </c>
      <c r="BC16" s="460">
        <v>34.700000000000003</v>
      </c>
      <c r="BD16" s="355">
        <v>83</v>
      </c>
      <c r="BE16" s="355">
        <v>80</v>
      </c>
      <c r="BF16" s="355">
        <v>91</v>
      </c>
      <c r="BG16" s="361">
        <v>81</v>
      </c>
      <c r="BH16" s="355">
        <v>79.3</v>
      </c>
      <c r="BI16" s="361">
        <v>87.1</v>
      </c>
      <c r="BJ16" s="355">
        <v>79</v>
      </c>
      <c r="BK16" s="361">
        <v>79.900000000000006</v>
      </c>
      <c r="BL16" s="361">
        <v>67</v>
      </c>
      <c r="BM16" s="460">
        <v>36.4</v>
      </c>
      <c r="BN16" s="33">
        <v>84</v>
      </c>
      <c r="BO16" s="33">
        <v>86</v>
      </c>
      <c r="BP16" s="33">
        <v>93</v>
      </c>
      <c r="BQ16" s="33">
        <v>79</v>
      </c>
      <c r="BR16" s="33">
        <v>80.7</v>
      </c>
      <c r="BS16" s="33">
        <v>87.7</v>
      </c>
      <c r="BT16" s="33">
        <v>82</v>
      </c>
      <c r="BU16" s="33">
        <v>80.8</v>
      </c>
      <c r="BV16" s="33">
        <v>55</v>
      </c>
      <c r="BW16" s="33">
        <v>38.4</v>
      </c>
      <c r="BX16" s="33">
        <v>71</v>
      </c>
      <c r="BY16" s="462">
        <v>80</v>
      </c>
      <c r="BZ16" s="361">
        <v>85</v>
      </c>
      <c r="CA16" s="361">
        <v>82</v>
      </c>
      <c r="CB16" s="361">
        <v>92</v>
      </c>
      <c r="CC16" s="361">
        <v>83</v>
      </c>
      <c r="CD16" s="361">
        <v>81.900000000000006</v>
      </c>
      <c r="CE16" s="361">
        <v>88.4</v>
      </c>
      <c r="CF16" s="361">
        <v>86</v>
      </c>
      <c r="CG16" s="361">
        <v>82.2</v>
      </c>
      <c r="CH16" s="361">
        <v>66</v>
      </c>
      <c r="CI16" s="361">
        <v>42.2</v>
      </c>
      <c r="CJ16" s="361">
        <v>70</v>
      </c>
      <c r="CK16" s="460">
        <v>60</v>
      </c>
      <c r="CL16" s="76">
        <v>87.7</v>
      </c>
      <c r="CM16" s="76">
        <v>89.9</v>
      </c>
      <c r="CN16">
        <v>86.1</v>
      </c>
      <c r="CO16">
        <v>84</v>
      </c>
      <c r="CP16">
        <v>92</v>
      </c>
      <c r="CQ16">
        <v>81</v>
      </c>
      <c r="CR16">
        <v>86</v>
      </c>
      <c r="CS16">
        <v>55.4</v>
      </c>
      <c r="CT16">
        <v>62</v>
      </c>
      <c r="CU16">
        <v>85.9</v>
      </c>
      <c r="CV16">
        <v>75</v>
      </c>
      <c r="CW16">
        <v>65</v>
      </c>
    </row>
    <row r="17" spans="1:101">
      <c r="A17" s="2" t="s">
        <v>42</v>
      </c>
      <c r="B17" s="385">
        <v>78</v>
      </c>
      <c r="C17" s="385">
        <v>70</v>
      </c>
      <c r="D17" s="385">
        <v>87</v>
      </c>
      <c r="E17" s="385">
        <v>69</v>
      </c>
      <c r="F17" s="385">
        <v>71</v>
      </c>
      <c r="G17" s="385">
        <v>83</v>
      </c>
      <c r="H17" s="385">
        <v>71</v>
      </c>
      <c r="I17" s="385">
        <v>48</v>
      </c>
      <c r="J17" s="386">
        <v>57</v>
      </c>
      <c r="K17" s="385">
        <v>80</v>
      </c>
      <c r="L17" s="385">
        <v>74</v>
      </c>
      <c r="M17" s="385">
        <v>87</v>
      </c>
      <c r="N17" s="385">
        <v>73</v>
      </c>
      <c r="O17" s="385">
        <v>75</v>
      </c>
      <c r="P17" s="385">
        <v>85</v>
      </c>
      <c r="Q17" s="385">
        <v>75</v>
      </c>
      <c r="R17" s="385">
        <v>50</v>
      </c>
      <c r="S17" s="386">
        <v>60</v>
      </c>
      <c r="T17" s="355">
        <v>82.5</v>
      </c>
      <c r="U17" s="355">
        <v>77</v>
      </c>
      <c r="V17" s="355">
        <v>90</v>
      </c>
      <c r="W17" s="355">
        <v>75.2</v>
      </c>
      <c r="X17" s="355">
        <v>77.5</v>
      </c>
      <c r="Y17" s="355">
        <v>86.2</v>
      </c>
      <c r="Z17" s="355">
        <v>76.099999999999994</v>
      </c>
      <c r="AA17" s="361">
        <v>49</v>
      </c>
      <c r="AB17" s="361">
        <v>62.3</v>
      </c>
      <c r="AC17" s="454">
        <v>83.9</v>
      </c>
      <c r="AD17" s="361">
        <v>79</v>
      </c>
      <c r="AE17" s="361">
        <v>91</v>
      </c>
      <c r="AF17" s="361">
        <v>77.400000000000006</v>
      </c>
      <c r="AG17" s="361">
        <v>79.900000000000006</v>
      </c>
      <c r="AH17" s="361">
        <v>87.1</v>
      </c>
      <c r="AI17" s="361">
        <v>78</v>
      </c>
      <c r="AJ17" s="361">
        <v>52</v>
      </c>
      <c r="AK17" s="460">
        <v>64.400000000000006</v>
      </c>
      <c r="AL17" s="361">
        <v>85.6</v>
      </c>
      <c r="AM17" s="361">
        <v>82</v>
      </c>
      <c r="AN17" s="361">
        <v>92</v>
      </c>
      <c r="AO17" s="361">
        <v>80</v>
      </c>
      <c r="AP17" s="361">
        <v>82.2</v>
      </c>
      <c r="AQ17" s="361">
        <v>88.3</v>
      </c>
      <c r="AR17" s="361">
        <v>79.599999999999994</v>
      </c>
      <c r="AS17" s="361">
        <v>58</v>
      </c>
      <c r="AT17" s="361">
        <v>67.3</v>
      </c>
      <c r="AU17" s="454">
        <v>85.9</v>
      </c>
      <c r="AV17" s="361">
        <v>82</v>
      </c>
      <c r="AW17" s="361">
        <v>93.4</v>
      </c>
      <c r="AX17" s="361">
        <v>80.099999999999994</v>
      </c>
      <c r="AY17" s="361">
        <v>82.9</v>
      </c>
      <c r="AZ17" s="361">
        <v>88.6</v>
      </c>
      <c r="BA17" s="361">
        <v>80.599999999999994</v>
      </c>
      <c r="BB17" s="361">
        <v>57</v>
      </c>
      <c r="BC17" s="460">
        <v>68.900000000000006</v>
      </c>
      <c r="BD17" s="355">
        <v>86.6</v>
      </c>
      <c r="BE17" s="355">
        <v>84</v>
      </c>
      <c r="BF17" s="355">
        <v>93.8</v>
      </c>
      <c r="BG17" s="355">
        <v>80.599999999999994</v>
      </c>
      <c r="BH17" s="355">
        <v>83.9</v>
      </c>
      <c r="BI17" s="361">
        <v>89.3</v>
      </c>
      <c r="BJ17" s="355">
        <v>84.3</v>
      </c>
      <c r="BK17" s="361">
        <v>81.8</v>
      </c>
      <c r="BL17" s="361">
        <v>58</v>
      </c>
      <c r="BM17" s="460">
        <v>70.3</v>
      </c>
      <c r="BN17" s="33">
        <v>86.3</v>
      </c>
      <c r="BO17" s="33">
        <v>84</v>
      </c>
      <c r="BP17" s="33">
        <v>93.4</v>
      </c>
      <c r="BQ17" s="33">
        <v>80</v>
      </c>
      <c r="BR17" s="33">
        <v>83.2</v>
      </c>
      <c r="BS17" s="33">
        <v>89.6</v>
      </c>
      <c r="BT17" s="33">
        <v>84.1</v>
      </c>
      <c r="BU17" s="33">
        <v>80.400000000000006</v>
      </c>
      <c r="BV17" s="33">
        <v>68.400000000000006</v>
      </c>
      <c r="BW17" s="33">
        <v>69.099999999999994</v>
      </c>
      <c r="BX17" s="33">
        <v>67.2</v>
      </c>
      <c r="BY17" s="462">
        <v>73</v>
      </c>
      <c r="BZ17" s="361">
        <v>86.5</v>
      </c>
      <c r="CA17" s="361">
        <v>81</v>
      </c>
      <c r="CB17" s="361">
        <v>94.5</v>
      </c>
      <c r="CC17" s="361">
        <v>81.099999999999994</v>
      </c>
      <c r="CD17" s="361">
        <v>83.7</v>
      </c>
      <c r="CE17" s="361">
        <v>89.6</v>
      </c>
      <c r="CF17" s="361">
        <v>83.9</v>
      </c>
      <c r="CG17" s="361">
        <v>81.8</v>
      </c>
      <c r="CH17" s="361">
        <v>71.400000000000006</v>
      </c>
      <c r="CI17" s="361">
        <v>69.8</v>
      </c>
      <c r="CJ17" s="361">
        <v>69.5</v>
      </c>
      <c r="CK17" s="460">
        <v>59</v>
      </c>
      <c r="CL17" s="76">
        <v>87.6</v>
      </c>
      <c r="CM17" s="76">
        <v>90.8</v>
      </c>
      <c r="CN17">
        <v>85.2</v>
      </c>
      <c r="CO17">
        <v>81.7</v>
      </c>
      <c r="CP17">
        <v>94.4</v>
      </c>
      <c r="CQ17">
        <v>85</v>
      </c>
      <c r="CR17">
        <v>85.3</v>
      </c>
      <c r="CS17">
        <v>72.099999999999994</v>
      </c>
      <c r="CT17">
        <v>71.400000000000006</v>
      </c>
      <c r="CU17">
        <v>82.3</v>
      </c>
      <c r="CV17">
        <v>72.3</v>
      </c>
      <c r="CW17">
        <v>57</v>
      </c>
    </row>
    <row r="18" spans="1:101">
      <c r="A18" s="2" t="s">
        <v>43</v>
      </c>
      <c r="B18" s="385" t="s">
        <v>47</v>
      </c>
      <c r="C18" s="385" t="s">
        <v>47</v>
      </c>
      <c r="D18" s="385" t="s">
        <v>47</v>
      </c>
      <c r="E18" s="385" t="s">
        <v>47</v>
      </c>
      <c r="F18" s="385" t="s">
        <v>47</v>
      </c>
      <c r="G18" s="385" t="s">
        <v>47</v>
      </c>
      <c r="H18" s="385" t="s">
        <v>47</v>
      </c>
      <c r="I18" s="385" t="s">
        <v>47</v>
      </c>
      <c r="J18" s="386" t="s">
        <v>47</v>
      </c>
      <c r="K18" s="385" t="s">
        <v>47</v>
      </c>
      <c r="L18" s="385" t="s">
        <v>47</v>
      </c>
      <c r="M18" s="385" t="s">
        <v>47</v>
      </c>
      <c r="N18" s="385" t="s">
        <v>47</v>
      </c>
      <c r="O18" s="385" t="s">
        <v>47</v>
      </c>
      <c r="P18" s="385" t="s">
        <v>47</v>
      </c>
      <c r="Q18" s="385" t="s">
        <v>47</v>
      </c>
      <c r="R18" s="385" t="s">
        <v>47</v>
      </c>
      <c r="S18" s="386" t="s">
        <v>47</v>
      </c>
      <c r="T18" s="354">
        <v>84.8</v>
      </c>
      <c r="U18" s="354">
        <v>84.4</v>
      </c>
      <c r="V18" s="356" t="s">
        <v>133</v>
      </c>
      <c r="W18" s="355">
        <v>78.599999999999994</v>
      </c>
      <c r="X18" s="354">
        <v>77</v>
      </c>
      <c r="Y18" s="354">
        <v>87.2</v>
      </c>
      <c r="Z18" s="354">
        <v>79.7</v>
      </c>
      <c r="AA18" s="356">
        <v>64</v>
      </c>
      <c r="AB18" s="354">
        <v>78.5</v>
      </c>
      <c r="AC18" s="454">
        <v>82.7</v>
      </c>
      <c r="AD18" s="361">
        <v>82.4</v>
      </c>
      <c r="AE18" s="361">
        <v>88</v>
      </c>
      <c r="AF18" s="361">
        <v>77.599999999999994</v>
      </c>
      <c r="AG18" s="361">
        <v>75.7</v>
      </c>
      <c r="AH18" s="361">
        <v>84.8</v>
      </c>
      <c r="AI18" s="361">
        <v>78.2</v>
      </c>
      <c r="AJ18" s="361">
        <v>59</v>
      </c>
      <c r="AK18" s="460">
        <v>77.2</v>
      </c>
      <c r="AL18" s="361">
        <v>82.5</v>
      </c>
      <c r="AM18" s="361">
        <v>82.2</v>
      </c>
      <c r="AN18" s="361">
        <v>89</v>
      </c>
      <c r="AO18" s="361">
        <v>78.8</v>
      </c>
      <c r="AP18" s="361">
        <v>77.400000000000006</v>
      </c>
      <c r="AQ18" s="361">
        <v>84.2</v>
      </c>
      <c r="AR18" s="361">
        <v>77.5</v>
      </c>
      <c r="AS18" s="361">
        <v>60</v>
      </c>
      <c r="AT18" s="361">
        <v>75.599999999999994</v>
      </c>
      <c r="AU18" s="454">
        <v>81.599999999999994</v>
      </c>
      <c r="AV18" s="361">
        <v>81.400000000000006</v>
      </c>
      <c r="AW18" s="361">
        <v>86</v>
      </c>
      <c r="AX18" s="361">
        <v>77.8</v>
      </c>
      <c r="AY18" s="361">
        <v>77.099999999999994</v>
      </c>
      <c r="AZ18" s="361">
        <v>83.2</v>
      </c>
      <c r="BA18" s="361">
        <v>75.900000000000006</v>
      </c>
      <c r="BB18" s="361">
        <v>58</v>
      </c>
      <c r="BC18" s="460">
        <v>74.400000000000006</v>
      </c>
      <c r="BD18" s="355">
        <v>82.6</v>
      </c>
      <c r="BE18" s="355">
        <v>82.7</v>
      </c>
      <c r="BF18" s="355">
        <v>86</v>
      </c>
      <c r="BG18" s="355">
        <v>79.3</v>
      </c>
      <c r="BH18" s="355">
        <v>80.3</v>
      </c>
      <c r="BI18" s="361">
        <v>83.7</v>
      </c>
      <c r="BJ18" s="355">
        <v>82.5</v>
      </c>
      <c r="BK18" s="361">
        <v>76.8</v>
      </c>
      <c r="BL18" s="361">
        <v>57</v>
      </c>
      <c r="BM18" s="460">
        <v>77</v>
      </c>
      <c r="BN18" s="33">
        <v>81.8</v>
      </c>
      <c r="BO18" s="33">
        <v>81.099999999999994</v>
      </c>
      <c r="BP18" s="33">
        <v>86</v>
      </c>
      <c r="BQ18" s="33">
        <v>78.900000000000006</v>
      </c>
      <c r="BR18" s="33">
        <v>77.2</v>
      </c>
      <c r="BS18" s="33">
        <v>83.3</v>
      </c>
      <c r="BT18" s="33">
        <v>83.9</v>
      </c>
      <c r="BU18" s="33">
        <v>74.900000000000006</v>
      </c>
      <c r="BV18" s="33">
        <v>61</v>
      </c>
      <c r="BW18" s="33">
        <v>58.3</v>
      </c>
      <c r="BX18" s="33">
        <v>67</v>
      </c>
      <c r="BY18" s="462">
        <v>61</v>
      </c>
      <c r="BZ18" s="361">
        <v>84.9</v>
      </c>
      <c r="CA18" s="361">
        <v>84.8</v>
      </c>
      <c r="CB18" s="361">
        <v>87</v>
      </c>
      <c r="CC18" s="361">
        <v>81.8</v>
      </c>
      <c r="CD18" s="361">
        <v>80.099999999999994</v>
      </c>
      <c r="CE18" s="361">
        <v>86.3</v>
      </c>
      <c r="CF18" s="361">
        <v>86.6</v>
      </c>
      <c r="CG18" s="361">
        <v>78.8</v>
      </c>
      <c r="CH18" s="361">
        <v>69</v>
      </c>
      <c r="CI18" s="361">
        <v>79.099999999999994</v>
      </c>
      <c r="CJ18" s="361">
        <v>72</v>
      </c>
      <c r="CK18" s="460">
        <v>70</v>
      </c>
      <c r="CL18" s="76">
        <v>80.8</v>
      </c>
      <c r="CM18" s="76">
        <v>82.8</v>
      </c>
      <c r="CN18">
        <v>75</v>
      </c>
      <c r="CO18">
        <v>76.5</v>
      </c>
      <c r="CP18">
        <v>83</v>
      </c>
      <c r="CQ18">
        <v>80.3</v>
      </c>
      <c r="CR18">
        <v>84.1</v>
      </c>
      <c r="CS18">
        <v>88.1</v>
      </c>
      <c r="CT18">
        <v>84</v>
      </c>
      <c r="CU18">
        <v>87.2</v>
      </c>
      <c r="CV18">
        <v>66</v>
      </c>
      <c r="CW18">
        <v>58</v>
      </c>
    </row>
    <row r="19" spans="1:101">
      <c r="A19" s="2" t="s">
        <v>44</v>
      </c>
      <c r="B19" s="385">
        <v>74</v>
      </c>
      <c r="C19" s="385">
        <v>67</v>
      </c>
      <c r="D19" s="385">
        <v>84</v>
      </c>
      <c r="E19" s="385">
        <v>69</v>
      </c>
      <c r="F19" s="385">
        <v>70</v>
      </c>
      <c r="G19" s="385">
        <v>77</v>
      </c>
      <c r="H19" s="385">
        <v>67</v>
      </c>
      <c r="I19" s="385">
        <v>62</v>
      </c>
      <c r="J19" s="386">
        <v>39</v>
      </c>
      <c r="K19" s="385">
        <v>75</v>
      </c>
      <c r="L19" s="385">
        <v>71</v>
      </c>
      <c r="M19" s="385">
        <v>85</v>
      </c>
      <c r="N19" s="385">
        <v>69</v>
      </c>
      <c r="O19" s="385">
        <v>71</v>
      </c>
      <c r="P19" s="385">
        <v>78</v>
      </c>
      <c r="Q19" s="385">
        <v>68</v>
      </c>
      <c r="R19" s="385">
        <v>64</v>
      </c>
      <c r="S19" s="386">
        <v>40</v>
      </c>
      <c r="T19" s="355">
        <v>77.599999999999994</v>
      </c>
      <c r="U19" s="355">
        <v>67</v>
      </c>
      <c r="V19" s="355">
        <v>88</v>
      </c>
      <c r="W19" s="355">
        <v>73</v>
      </c>
      <c r="X19" s="355">
        <v>74.599999999999994</v>
      </c>
      <c r="Y19" s="355">
        <v>79.900000000000006</v>
      </c>
      <c r="Z19" s="355">
        <v>70.5</v>
      </c>
      <c r="AA19" s="361">
        <v>69</v>
      </c>
      <c r="AB19" s="361">
        <v>43.2</v>
      </c>
      <c r="AC19" s="454">
        <v>80.099999999999994</v>
      </c>
      <c r="AD19" s="361">
        <v>74</v>
      </c>
      <c r="AE19" s="361">
        <v>88</v>
      </c>
      <c r="AF19" s="361">
        <v>77</v>
      </c>
      <c r="AG19" s="361">
        <v>76</v>
      </c>
      <c r="AH19" s="361">
        <v>82.8</v>
      </c>
      <c r="AI19" s="361">
        <v>72.5</v>
      </c>
      <c r="AJ19" s="361">
        <v>73</v>
      </c>
      <c r="AK19" s="460">
        <v>43.2</v>
      </c>
      <c r="AL19" s="361">
        <v>80.3</v>
      </c>
      <c r="AM19" s="361">
        <v>80</v>
      </c>
      <c r="AN19" s="361">
        <v>91</v>
      </c>
      <c r="AO19" s="361">
        <v>77</v>
      </c>
      <c r="AP19" s="361">
        <v>76.7</v>
      </c>
      <c r="AQ19" s="361">
        <v>82.7</v>
      </c>
      <c r="AR19" s="361">
        <v>73.7</v>
      </c>
      <c r="AS19" s="361">
        <v>76</v>
      </c>
      <c r="AT19" s="361">
        <v>49</v>
      </c>
      <c r="AU19" s="454">
        <v>82.6</v>
      </c>
      <c r="AV19" s="361">
        <v>74</v>
      </c>
      <c r="AW19" s="361">
        <v>94</v>
      </c>
      <c r="AX19" s="361">
        <v>79.900000000000006</v>
      </c>
      <c r="AY19" s="361">
        <v>80.3</v>
      </c>
      <c r="AZ19" s="361">
        <v>84.1</v>
      </c>
      <c r="BA19" s="361">
        <v>87.7</v>
      </c>
      <c r="BB19" s="361">
        <v>76</v>
      </c>
      <c r="BC19" s="460">
        <v>52.1</v>
      </c>
      <c r="BD19" s="355">
        <v>83.6</v>
      </c>
      <c r="BE19" s="355">
        <v>76</v>
      </c>
      <c r="BF19" s="355">
        <v>93</v>
      </c>
      <c r="BG19" s="361">
        <v>80.5</v>
      </c>
      <c r="BH19" s="361">
        <v>81.3</v>
      </c>
      <c r="BI19" s="361">
        <v>85.2</v>
      </c>
      <c r="BJ19" s="355" t="s">
        <v>47</v>
      </c>
      <c r="BK19" s="361">
        <v>85.1</v>
      </c>
      <c r="BL19" s="361">
        <v>77</v>
      </c>
      <c r="BM19" s="460">
        <v>53.5</v>
      </c>
      <c r="BN19" s="33">
        <v>81</v>
      </c>
      <c r="BO19" s="33">
        <v>73</v>
      </c>
      <c r="BP19" s="33">
        <v>93</v>
      </c>
      <c r="BQ19" s="33">
        <v>80.5</v>
      </c>
      <c r="BR19" s="33">
        <v>76.900000000000006</v>
      </c>
      <c r="BS19" s="33">
        <v>83.6</v>
      </c>
      <c r="BT19" s="33" t="s">
        <v>47</v>
      </c>
      <c r="BU19" s="33">
        <v>83.2</v>
      </c>
      <c r="BV19" s="33">
        <v>80.3</v>
      </c>
      <c r="BW19" s="33">
        <v>52.1</v>
      </c>
      <c r="BX19" s="33">
        <v>64</v>
      </c>
      <c r="BY19" s="462">
        <v>48</v>
      </c>
      <c r="BZ19" s="361">
        <v>81.099999999999994</v>
      </c>
      <c r="CA19" s="361">
        <v>71</v>
      </c>
      <c r="CB19" s="361">
        <v>93</v>
      </c>
      <c r="CC19" s="361">
        <v>79.5</v>
      </c>
      <c r="CD19" s="361">
        <v>76.400000000000006</v>
      </c>
      <c r="CE19" s="361">
        <v>84.2</v>
      </c>
      <c r="CF19" s="361" t="s">
        <v>47</v>
      </c>
      <c r="CG19" s="361">
        <v>84.3</v>
      </c>
      <c r="CH19" s="361">
        <v>79.3</v>
      </c>
      <c r="CI19" s="361">
        <v>54.4</v>
      </c>
      <c r="CJ19" s="361">
        <v>67</v>
      </c>
      <c r="CK19" s="460">
        <v>52</v>
      </c>
      <c r="CL19" s="76">
        <v>82.2</v>
      </c>
      <c r="CM19" s="76">
        <v>85.3</v>
      </c>
      <c r="CN19">
        <v>77.5</v>
      </c>
      <c r="CO19">
        <v>80.099999999999994</v>
      </c>
      <c r="CP19">
        <v>93</v>
      </c>
      <c r="CQ19">
        <v>81</v>
      </c>
      <c r="CR19" s="361" t="s">
        <v>47</v>
      </c>
      <c r="CS19">
        <v>55.8</v>
      </c>
      <c r="CT19">
        <v>81.099999999999994</v>
      </c>
      <c r="CU19">
        <v>76.2</v>
      </c>
      <c r="CV19">
        <v>64</v>
      </c>
      <c r="CW19">
        <v>44</v>
      </c>
    </row>
    <row r="20" spans="1:101">
      <c r="A20" s="2" t="s">
        <v>45</v>
      </c>
      <c r="B20" s="385">
        <v>86</v>
      </c>
      <c r="C20" s="385">
        <v>88</v>
      </c>
      <c r="D20" s="385">
        <v>91</v>
      </c>
      <c r="E20" s="385">
        <v>79</v>
      </c>
      <c r="F20" s="385">
        <v>78</v>
      </c>
      <c r="G20" s="385">
        <v>89</v>
      </c>
      <c r="H20" s="385">
        <v>80</v>
      </c>
      <c r="I20" s="385">
        <v>71</v>
      </c>
      <c r="J20" s="386">
        <v>67</v>
      </c>
      <c r="K20" s="385">
        <v>87</v>
      </c>
      <c r="L20" s="385">
        <v>88</v>
      </c>
      <c r="M20" s="385">
        <v>91</v>
      </c>
      <c r="N20" s="385">
        <v>80</v>
      </c>
      <c r="O20" s="385">
        <v>79</v>
      </c>
      <c r="P20" s="385">
        <v>91</v>
      </c>
      <c r="Q20" s="385">
        <v>82</v>
      </c>
      <c r="R20" s="385">
        <v>72</v>
      </c>
      <c r="S20" s="386">
        <v>73</v>
      </c>
      <c r="T20" s="355">
        <v>86.3</v>
      </c>
      <c r="U20" s="355">
        <v>84</v>
      </c>
      <c r="V20" s="355">
        <v>90</v>
      </c>
      <c r="W20" s="355">
        <v>81.3</v>
      </c>
      <c r="X20" s="355">
        <v>77.8</v>
      </c>
      <c r="Y20" s="354">
        <v>89.8</v>
      </c>
      <c r="Z20" s="355">
        <v>80.7</v>
      </c>
      <c r="AA20" s="361">
        <v>73</v>
      </c>
      <c r="AB20" s="361">
        <v>67.3</v>
      </c>
      <c r="AC20" s="454">
        <v>87.2</v>
      </c>
      <c r="AD20" s="361">
        <v>81</v>
      </c>
      <c r="AE20" s="361">
        <v>93</v>
      </c>
      <c r="AF20" s="361">
        <v>81.400000000000006</v>
      </c>
      <c r="AG20" s="361">
        <v>78.599999999999994</v>
      </c>
      <c r="AH20" s="361">
        <v>90.9</v>
      </c>
      <c r="AI20" s="361">
        <v>82.2</v>
      </c>
      <c r="AJ20" s="361">
        <v>73</v>
      </c>
      <c r="AK20" s="460">
        <v>69</v>
      </c>
      <c r="AL20" s="361">
        <v>87.9</v>
      </c>
      <c r="AM20" s="361">
        <v>85</v>
      </c>
      <c r="AN20" s="361">
        <v>93</v>
      </c>
      <c r="AO20" s="361">
        <v>83.5</v>
      </c>
      <c r="AP20" s="361">
        <v>80.599999999999994</v>
      </c>
      <c r="AQ20" s="361">
        <v>90.9</v>
      </c>
      <c r="AR20" s="361">
        <v>83.5</v>
      </c>
      <c r="AS20" s="361">
        <v>75</v>
      </c>
      <c r="AT20" s="361">
        <v>70</v>
      </c>
      <c r="AU20" s="454">
        <v>88.5</v>
      </c>
      <c r="AV20" s="361">
        <v>86</v>
      </c>
      <c r="AW20" s="361">
        <v>93</v>
      </c>
      <c r="AX20" s="361">
        <v>83.7</v>
      </c>
      <c r="AY20" s="361">
        <v>82.3</v>
      </c>
      <c r="AZ20" s="361">
        <v>91.3</v>
      </c>
      <c r="BA20" s="361">
        <v>85.5</v>
      </c>
      <c r="BB20" s="361">
        <v>76</v>
      </c>
      <c r="BC20" s="460">
        <v>71.8</v>
      </c>
      <c r="BD20" s="355">
        <v>89.8</v>
      </c>
      <c r="BE20" s="355">
        <v>89</v>
      </c>
      <c r="BF20" s="355">
        <v>94</v>
      </c>
      <c r="BG20" s="361">
        <v>83.8</v>
      </c>
      <c r="BH20" s="361">
        <v>84</v>
      </c>
      <c r="BI20" s="361">
        <v>92.6</v>
      </c>
      <c r="BJ20" s="354" t="s">
        <v>47</v>
      </c>
      <c r="BK20" s="361">
        <v>84.5</v>
      </c>
      <c r="BL20" s="361">
        <v>74</v>
      </c>
      <c r="BM20" s="460">
        <v>72.7</v>
      </c>
      <c r="BN20" s="33">
        <v>90</v>
      </c>
      <c r="BO20" s="33">
        <v>90</v>
      </c>
      <c r="BP20" s="33">
        <v>95</v>
      </c>
      <c r="BQ20" s="33">
        <v>83.1</v>
      </c>
      <c r="BR20" s="33">
        <v>83.7</v>
      </c>
      <c r="BS20" s="33">
        <v>93</v>
      </c>
      <c r="BT20" s="33" t="s">
        <v>47</v>
      </c>
      <c r="BU20" s="33">
        <v>83.5</v>
      </c>
      <c r="BV20" s="33">
        <v>71</v>
      </c>
      <c r="BW20" s="33">
        <v>73</v>
      </c>
      <c r="BX20" s="33">
        <v>75</v>
      </c>
      <c r="BY20" s="462">
        <v>67</v>
      </c>
      <c r="BZ20" s="361">
        <v>90.5</v>
      </c>
      <c r="CA20" s="361">
        <v>90</v>
      </c>
      <c r="CB20" s="361">
        <v>95</v>
      </c>
      <c r="CC20" s="361">
        <v>84.4</v>
      </c>
      <c r="CD20" s="361">
        <v>84.6</v>
      </c>
      <c r="CE20" s="361">
        <v>93.4</v>
      </c>
      <c r="CF20" s="361" t="s">
        <v>47</v>
      </c>
      <c r="CG20" s="361">
        <v>84.4</v>
      </c>
      <c r="CH20" s="361">
        <v>72</v>
      </c>
      <c r="CI20" s="361">
        <v>73.900000000000006</v>
      </c>
      <c r="CJ20" s="361">
        <v>78</v>
      </c>
      <c r="CK20" s="460">
        <v>61</v>
      </c>
      <c r="CL20" s="76">
        <v>90.4</v>
      </c>
      <c r="CM20" s="76">
        <v>93.9</v>
      </c>
      <c r="CN20">
        <v>84.2</v>
      </c>
      <c r="CO20">
        <v>82.6</v>
      </c>
      <c r="CP20">
        <v>95</v>
      </c>
      <c r="CQ20">
        <v>91</v>
      </c>
      <c r="CR20" s="361" t="s">
        <v>47</v>
      </c>
      <c r="CS20">
        <v>74.5</v>
      </c>
      <c r="CT20">
        <v>68.8</v>
      </c>
      <c r="CU20">
        <v>84.3</v>
      </c>
      <c r="CV20">
        <v>78</v>
      </c>
      <c r="CW20">
        <v>60</v>
      </c>
    </row>
    <row r="21" spans="1:101">
      <c r="A21" s="2" t="s">
        <v>46</v>
      </c>
      <c r="B21" s="385">
        <v>86</v>
      </c>
      <c r="C21" s="385">
        <v>87</v>
      </c>
      <c r="D21" s="385">
        <v>95</v>
      </c>
      <c r="E21" s="385">
        <v>82</v>
      </c>
      <c r="F21" s="385">
        <v>81</v>
      </c>
      <c r="G21" s="385">
        <v>92</v>
      </c>
      <c r="H21" s="385">
        <v>84</v>
      </c>
      <c r="I21" s="385">
        <v>58</v>
      </c>
      <c r="J21" s="386">
        <v>77</v>
      </c>
      <c r="K21" s="385">
        <v>88</v>
      </c>
      <c r="L21" s="385">
        <v>87</v>
      </c>
      <c r="M21" s="385">
        <v>94</v>
      </c>
      <c r="N21" s="385">
        <v>84</v>
      </c>
      <c r="O21" s="385">
        <v>84</v>
      </c>
      <c r="P21" s="385">
        <v>93</v>
      </c>
      <c r="Q21" s="385">
        <v>85</v>
      </c>
      <c r="R21" s="385">
        <v>59</v>
      </c>
      <c r="S21" s="386">
        <v>77</v>
      </c>
      <c r="T21" s="354">
        <v>88</v>
      </c>
      <c r="U21" s="355">
        <v>86</v>
      </c>
      <c r="V21" s="355">
        <v>93.7</v>
      </c>
      <c r="W21" s="355">
        <v>85.1</v>
      </c>
      <c r="X21" s="355">
        <v>84.1</v>
      </c>
      <c r="Y21" s="354">
        <v>93</v>
      </c>
      <c r="Z21" s="355">
        <v>85.2</v>
      </c>
      <c r="AA21" s="361">
        <v>71.3</v>
      </c>
      <c r="AB21" s="361">
        <v>77.8</v>
      </c>
      <c r="AC21" s="454">
        <v>88.3</v>
      </c>
      <c r="AD21" s="361">
        <v>87</v>
      </c>
      <c r="AE21" s="361">
        <v>94.6</v>
      </c>
      <c r="AF21" s="361">
        <v>85.5</v>
      </c>
      <c r="AG21" s="361">
        <v>84.2</v>
      </c>
      <c r="AH21" s="361">
        <v>93</v>
      </c>
      <c r="AI21" s="361">
        <v>85.2</v>
      </c>
      <c r="AJ21" s="361">
        <v>71.5</v>
      </c>
      <c r="AK21" s="460">
        <v>77.5</v>
      </c>
      <c r="AL21" s="361">
        <v>89</v>
      </c>
      <c r="AM21" s="361">
        <v>86</v>
      </c>
      <c r="AN21" s="361">
        <v>95.1</v>
      </c>
      <c r="AO21" s="361">
        <v>86.5</v>
      </c>
      <c r="AP21" s="361">
        <v>85.2</v>
      </c>
      <c r="AQ21" s="361">
        <v>93.4</v>
      </c>
      <c r="AR21" s="361">
        <v>85.6</v>
      </c>
      <c r="AS21" s="361">
        <v>73.3</v>
      </c>
      <c r="AT21" s="361">
        <v>78.2</v>
      </c>
      <c r="AU21" s="454">
        <v>89.1</v>
      </c>
      <c r="AV21" s="361">
        <v>87</v>
      </c>
      <c r="AW21" s="361">
        <v>95.4</v>
      </c>
      <c r="AX21" s="361">
        <v>86.9</v>
      </c>
      <c r="AY21" s="361">
        <v>85.4</v>
      </c>
      <c r="AZ21" s="361">
        <v>93.4</v>
      </c>
      <c r="BA21" s="361">
        <v>86</v>
      </c>
      <c r="BB21" s="361">
        <v>73.7</v>
      </c>
      <c r="BC21" s="460">
        <v>77.900000000000006</v>
      </c>
      <c r="BD21" s="355">
        <v>89.7</v>
      </c>
      <c r="BE21" s="355">
        <v>86</v>
      </c>
      <c r="BF21" s="355">
        <v>95.8</v>
      </c>
      <c r="BG21" s="355">
        <v>87.7</v>
      </c>
      <c r="BH21" s="355">
        <v>86.1</v>
      </c>
      <c r="BI21" s="361">
        <v>93.6</v>
      </c>
      <c r="BJ21" s="355">
        <v>91.7</v>
      </c>
      <c r="BK21" s="361">
        <v>86.9</v>
      </c>
      <c r="BL21" s="361">
        <v>75.5</v>
      </c>
      <c r="BM21" s="460">
        <v>77.400000000000006</v>
      </c>
      <c r="BN21" s="33">
        <v>90</v>
      </c>
      <c r="BO21" s="33">
        <v>85</v>
      </c>
      <c r="BP21" s="33">
        <v>96.1</v>
      </c>
      <c r="BQ21" s="33">
        <v>88.2</v>
      </c>
      <c r="BR21" s="33">
        <v>86.5</v>
      </c>
      <c r="BS21" s="33">
        <v>93.6</v>
      </c>
      <c r="BT21" s="33">
        <v>91.4</v>
      </c>
      <c r="BU21" s="33">
        <v>87.3</v>
      </c>
      <c r="BV21" s="33">
        <v>77.2</v>
      </c>
      <c r="BW21" s="33">
        <v>77.900000000000006</v>
      </c>
      <c r="BX21" s="33">
        <v>80</v>
      </c>
      <c r="BY21" s="462">
        <v>63</v>
      </c>
      <c r="BZ21" s="361">
        <v>90</v>
      </c>
      <c r="CA21" s="361">
        <v>87</v>
      </c>
      <c r="CB21" s="361">
        <v>96.1</v>
      </c>
      <c r="CC21" s="361">
        <v>88.2</v>
      </c>
      <c r="CD21" s="361">
        <v>86.2</v>
      </c>
      <c r="CE21" s="361">
        <v>93.7</v>
      </c>
      <c r="CF21" s="361">
        <v>91.4</v>
      </c>
      <c r="CG21" s="361">
        <v>87.2</v>
      </c>
      <c r="CH21" s="361">
        <v>78</v>
      </c>
      <c r="CI21" s="361">
        <v>77.900000000000006</v>
      </c>
      <c r="CJ21" s="361">
        <v>79.8</v>
      </c>
      <c r="CK21" s="460">
        <v>63</v>
      </c>
      <c r="CL21" s="361" t="s">
        <v>47</v>
      </c>
      <c r="CM21" s="361" t="s">
        <v>47</v>
      </c>
      <c r="CN21" s="361" t="s">
        <v>47</v>
      </c>
      <c r="CO21" s="361" t="s">
        <v>47</v>
      </c>
      <c r="CP21" s="361" t="s">
        <v>47</v>
      </c>
      <c r="CQ21" t="s">
        <v>47</v>
      </c>
      <c r="CR21" s="361" t="s">
        <v>47</v>
      </c>
      <c r="CS21" s="361" t="s">
        <v>47</v>
      </c>
      <c r="CT21" s="361" t="s">
        <v>47</v>
      </c>
      <c r="CU21" s="361" t="s">
        <v>47</v>
      </c>
      <c r="CV21" s="361" t="s">
        <v>47</v>
      </c>
      <c r="CW21" t="s">
        <v>127</v>
      </c>
    </row>
    <row r="22" spans="1:101">
      <c r="A22" s="2" t="s">
        <v>48</v>
      </c>
      <c r="B22" s="385">
        <v>82</v>
      </c>
      <c r="C22" s="385">
        <v>82</v>
      </c>
      <c r="D22" s="385">
        <v>96</v>
      </c>
      <c r="E22" s="385">
        <v>71</v>
      </c>
      <c r="F22" s="385">
        <v>73</v>
      </c>
      <c r="G22" s="385">
        <v>86</v>
      </c>
      <c r="H22" s="385">
        <v>70</v>
      </c>
      <c r="I22" s="385">
        <v>55</v>
      </c>
      <c r="J22" s="386">
        <v>47</v>
      </c>
      <c r="K22" s="385">
        <v>83</v>
      </c>
      <c r="L22" s="385">
        <v>81</v>
      </c>
      <c r="M22" s="385">
        <v>90</v>
      </c>
      <c r="N22" s="385">
        <v>73</v>
      </c>
      <c r="O22" s="385">
        <v>75</v>
      </c>
      <c r="P22" s="385">
        <v>88</v>
      </c>
      <c r="Q22" s="385">
        <v>72</v>
      </c>
      <c r="R22" s="385">
        <v>55</v>
      </c>
      <c r="S22" s="386">
        <v>49</v>
      </c>
      <c r="T22" s="355">
        <v>84.5</v>
      </c>
      <c r="U22" s="356" t="s">
        <v>47</v>
      </c>
      <c r="V22" s="355">
        <v>90.2</v>
      </c>
      <c r="W22" s="355">
        <v>76.099999999999994</v>
      </c>
      <c r="X22" s="355">
        <v>76.8</v>
      </c>
      <c r="Y22" s="354">
        <v>88.6</v>
      </c>
      <c r="Z22" s="354">
        <v>74</v>
      </c>
      <c r="AA22" s="361">
        <v>51.8</v>
      </c>
      <c r="AB22" s="361">
        <v>51.5</v>
      </c>
      <c r="AC22" s="454">
        <v>85.3</v>
      </c>
      <c r="AD22" s="33" t="s">
        <v>47</v>
      </c>
      <c r="AE22" s="361">
        <v>90.5</v>
      </c>
      <c r="AF22" s="361">
        <v>75.900000000000006</v>
      </c>
      <c r="AG22" s="361">
        <v>78.5</v>
      </c>
      <c r="AH22" s="361">
        <v>89.2</v>
      </c>
      <c r="AI22" s="361">
        <v>75.099999999999994</v>
      </c>
      <c r="AJ22" s="361">
        <v>48.2</v>
      </c>
      <c r="AK22" s="460">
        <v>53.2</v>
      </c>
      <c r="AL22" s="361">
        <v>85.7</v>
      </c>
      <c r="AM22" s="8" t="s">
        <v>47</v>
      </c>
      <c r="AN22" s="361">
        <v>91.9</v>
      </c>
      <c r="AO22" s="361">
        <v>76</v>
      </c>
      <c r="AP22" s="361">
        <v>78.8</v>
      </c>
      <c r="AQ22" s="361">
        <v>89.6</v>
      </c>
      <c r="AR22" s="361">
        <v>75.400000000000006</v>
      </c>
      <c r="AS22" s="361">
        <v>44.6</v>
      </c>
      <c r="AT22" s="361">
        <v>52.6</v>
      </c>
      <c r="AU22" s="454">
        <v>86.7</v>
      </c>
      <c r="AV22" s="8" t="s">
        <v>127</v>
      </c>
      <c r="AW22" s="361">
        <v>93.1</v>
      </c>
      <c r="AX22" s="361">
        <v>74.8</v>
      </c>
      <c r="AY22" s="361">
        <v>81.3</v>
      </c>
      <c r="AZ22" s="361">
        <v>90.7</v>
      </c>
      <c r="BA22" s="361">
        <v>78.099999999999994</v>
      </c>
      <c r="BB22" s="361">
        <v>45.4</v>
      </c>
      <c r="BC22" s="460">
        <v>53.9</v>
      </c>
      <c r="BD22" s="355">
        <v>86.9</v>
      </c>
      <c r="BE22" s="355">
        <v>83</v>
      </c>
      <c r="BF22" s="355">
        <v>93.4</v>
      </c>
      <c r="BG22" s="361">
        <v>73</v>
      </c>
      <c r="BH22" s="361">
        <v>82.8</v>
      </c>
      <c r="BI22" s="361">
        <v>91.3</v>
      </c>
      <c r="BJ22" s="355">
        <v>90</v>
      </c>
      <c r="BK22" s="361">
        <v>77.8</v>
      </c>
      <c r="BL22" s="361">
        <v>57.3</v>
      </c>
      <c r="BM22" s="460">
        <v>59.8</v>
      </c>
      <c r="BN22" s="33">
        <v>87.5</v>
      </c>
      <c r="BO22" s="33">
        <v>84</v>
      </c>
      <c r="BP22" s="33">
        <v>94.6</v>
      </c>
      <c r="BQ22" s="33">
        <v>73.5</v>
      </c>
      <c r="BR22" s="33">
        <v>83.8</v>
      </c>
      <c r="BS22" s="33">
        <v>91.8</v>
      </c>
      <c r="BT22" s="33">
        <v>90.8</v>
      </c>
      <c r="BU22" s="33">
        <v>79.599999999999994</v>
      </c>
      <c r="BV22" s="33">
        <v>57.2</v>
      </c>
      <c r="BW22" s="33">
        <v>61.2</v>
      </c>
      <c r="BX22" s="33">
        <v>60</v>
      </c>
      <c r="BY22" s="462">
        <v>63</v>
      </c>
      <c r="BZ22" s="361">
        <v>87.5</v>
      </c>
      <c r="CA22" s="361">
        <v>87</v>
      </c>
      <c r="CB22" s="361">
        <v>93.8</v>
      </c>
      <c r="CC22" s="361">
        <v>72.900000000000006</v>
      </c>
      <c r="CD22" s="361">
        <v>84.1</v>
      </c>
      <c r="CE22" s="361">
        <v>92.1</v>
      </c>
      <c r="CF22" s="361">
        <v>91.3</v>
      </c>
      <c r="CG22" s="361">
        <v>79.599999999999994</v>
      </c>
      <c r="CH22" s="361">
        <v>56</v>
      </c>
      <c r="CI22" s="361">
        <v>62.9</v>
      </c>
      <c r="CJ22" s="361">
        <v>61</v>
      </c>
      <c r="CK22" s="460">
        <v>50</v>
      </c>
      <c r="CL22" s="76">
        <v>88.8</v>
      </c>
      <c r="CM22" s="76">
        <v>93</v>
      </c>
      <c r="CN22">
        <v>86.4</v>
      </c>
      <c r="CO22">
        <v>75.400000000000006</v>
      </c>
      <c r="CP22">
        <v>95.4</v>
      </c>
      <c r="CQ22">
        <v>88</v>
      </c>
      <c r="CR22">
        <v>91.9</v>
      </c>
      <c r="CS22">
        <v>67.5</v>
      </c>
      <c r="CT22">
        <v>63.4</v>
      </c>
      <c r="CU22">
        <v>82.5</v>
      </c>
      <c r="CV22">
        <v>62</v>
      </c>
      <c r="CW22">
        <v>54</v>
      </c>
    </row>
    <row r="23" spans="1:101">
      <c r="A23" s="6" t="s">
        <v>49</v>
      </c>
      <c r="B23" s="387">
        <v>78</v>
      </c>
      <c r="C23" s="387" t="s">
        <v>134</v>
      </c>
      <c r="D23" s="387">
        <v>88</v>
      </c>
      <c r="E23" s="387">
        <v>81</v>
      </c>
      <c r="F23" s="387">
        <v>73</v>
      </c>
      <c r="G23" s="387">
        <v>78</v>
      </c>
      <c r="H23" s="387">
        <v>69</v>
      </c>
      <c r="I23" s="387">
        <v>84</v>
      </c>
      <c r="J23" s="388">
        <v>60</v>
      </c>
      <c r="K23" s="387">
        <v>79</v>
      </c>
      <c r="L23" s="387">
        <v>67</v>
      </c>
      <c r="M23" s="387">
        <v>94</v>
      </c>
      <c r="N23" s="387">
        <v>79</v>
      </c>
      <c r="O23" s="387">
        <v>74</v>
      </c>
      <c r="P23" s="387">
        <v>80</v>
      </c>
      <c r="Q23" s="387">
        <v>72</v>
      </c>
      <c r="R23" s="387">
        <v>83</v>
      </c>
      <c r="S23" s="388">
        <v>60</v>
      </c>
      <c r="T23" s="357">
        <v>81.400000000000006</v>
      </c>
      <c r="U23" s="357">
        <v>70</v>
      </c>
      <c r="V23" s="357">
        <v>92</v>
      </c>
      <c r="W23" s="357">
        <v>82</v>
      </c>
      <c r="X23" s="357">
        <v>75</v>
      </c>
      <c r="Y23" s="362">
        <v>81.900000000000006</v>
      </c>
      <c r="Z23" s="357">
        <v>73.7</v>
      </c>
      <c r="AA23" s="363">
        <v>83</v>
      </c>
      <c r="AB23" s="363">
        <v>62.1</v>
      </c>
      <c r="AC23" s="455">
        <v>84.5</v>
      </c>
      <c r="AD23" s="363">
        <v>59</v>
      </c>
      <c r="AE23" s="363">
        <v>95</v>
      </c>
      <c r="AF23" s="363">
        <v>89</v>
      </c>
      <c r="AG23" s="363">
        <v>79</v>
      </c>
      <c r="AH23" s="363">
        <v>84.7</v>
      </c>
      <c r="AI23" s="363">
        <v>80.099999999999994</v>
      </c>
      <c r="AJ23" s="363">
        <v>89</v>
      </c>
      <c r="AK23" s="422">
        <v>70.3</v>
      </c>
      <c r="AL23" s="361">
        <v>86.5</v>
      </c>
      <c r="AM23" s="361">
        <v>71</v>
      </c>
      <c r="AN23" s="8" t="s">
        <v>135</v>
      </c>
      <c r="AO23" s="361">
        <v>83</v>
      </c>
      <c r="AP23" s="361">
        <v>83</v>
      </c>
      <c r="AQ23" s="361">
        <v>86.7</v>
      </c>
      <c r="AR23" s="361">
        <v>82.9</v>
      </c>
      <c r="AS23" s="361">
        <v>86</v>
      </c>
      <c r="AT23" s="363">
        <v>69</v>
      </c>
      <c r="AU23" s="454">
        <v>89.8</v>
      </c>
      <c r="AV23" s="361" t="s">
        <v>131</v>
      </c>
      <c r="AW23" s="8" t="s">
        <v>136</v>
      </c>
      <c r="AX23" s="361">
        <v>89</v>
      </c>
      <c r="AY23" s="361">
        <v>88</v>
      </c>
      <c r="AZ23" s="361">
        <v>89.9</v>
      </c>
      <c r="BA23" s="361">
        <v>85.5</v>
      </c>
      <c r="BB23" s="361">
        <v>93</v>
      </c>
      <c r="BC23" s="422">
        <v>77</v>
      </c>
      <c r="BD23" s="473">
        <v>89.4</v>
      </c>
      <c r="BE23" s="357" t="s">
        <v>137</v>
      </c>
      <c r="BF23" s="357">
        <v>95</v>
      </c>
      <c r="BG23" s="363">
        <v>92</v>
      </c>
      <c r="BH23" s="363">
        <v>87</v>
      </c>
      <c r="BI23" s="363">
        <v>89.5</v>
      </c>
      <c r="BJ23" s="357">
        <v>83</v>
      </c>
      <c r="BK23" s="363">
        <v>87.3</v>
      </c>
      <c r="BL23" s="24" t="s">
        <v>134</v>
      </c>
      <c r="BM23" s="422">
        <v>76</v>
      </c>
      <c r="BN23" s="492">
        <v>90.2</v>
      </c>
      <c r="BO23" s="30">
        <v>87</v>
      </c>
      <c r="BP23" s="30" t="s">
        <v>138</v>
      </c>
      <c r="BQ23" s="30">
        <v>92</v>
      </c>
      <c r="BR23" s="30">
        <v>86</v>
      </c>
      <c r="BS23" s="30">
        <v>90.4</v>
      </c>
      <c r="BT23" s="30">
        <v>86</v>
      </c>
      <c r="BU23" s="30">
        <v>88</v>
      </c>
      <c r="BV23" s="30">
        <v>93</v>
      </c>
      <c r="BW23" s="30">
        <v>77</v>
      </c>
      <c r="BX23" s="30">
        <v>87</v>
      </c>
      <c r="BY23" s="509">
        <v>72</v>
      </c>
      <c r="BZ23" s="361">
        <v>91.3</v>
      </c>
      <c r="CA23" s="361">
        <v>75</v>
      </c>
      <c r="CB23" s="8" t="s">
        <v>138</v>
      </c>
      <c r="CC23" s="361">
        <v>91</v>
      </c>
      <c r="CD23" s="361">
        <v>88</v>
      </c>
      <c r="CE23" s="361">
        <v>91.5</v>
      </c>
      <c r="CF23" s="361">
        <v>86</v>
      </c>
      <c r="CG23" s="361">
        <v>80</v>
      </c>
      <c r="CH23" s="361">
        <v>92</v>
      </c>
      <c r="CI23" s="361">
        <v>78.7</v>
      </c>
      <c r="CJ23" s="361">
        <v>78</v>
      </c>
      <c r="CK23" s="522" t="s">
        <v>47</v>
      </c>
      <c r="CL23" s="76">
        <v>92.1</v>
      </c>
      <c r="CM23" s="33">
        <v>92.4</v>
      </c>
      <c r="CN23">
        <v>86</v>
      </c>
      <c r="CO23">
        <v>93</v>
      </c>
      <c r="CP23" t="s">
        <v>139</v>
      </c>
      <c r="CQ23" t="s">
        <v>137</v>
      </c>
      <c r="CR23">
        <v>88</v>
      </c>
      <c r="CS23">
        <v>84</v>
      </c>
      <c r="CT23" t="s">
        <v>139</v>
      </c>
      <c r="CU23">
        <v>87.1</v>
      </c>
      <c r="CV23">
        <v>82</v>
      </c>
      <c r="CW23" t="s">
        <v>127</v>
      </c>
    </row>
    <row r="24" spans="1:101">
      <c r="A24" s="3" t="s">
        <v>140</v>
      </c>
      <c r="B24" s="354">
        <f>MEDIAN(B26:B38)</f>
        <v>76</v>
      </c>
      <c r="C24" s="354">
        <f t="shared" ref="C24:J24" si="4">MEDIAN(C26:C38)</f>
        <v>56.5</v>
      </c>
      <c r="D24" s="354">
        <f t="shared" si="4"/>
        <v>81</v>
      </c>
      <c r="E24" s="354">
        <f t="shared" si="4"/>
        <v>62.5</v>
      </c>
      <c r="F24" s="354">
        <f t="shared" si="4"/>
        <v>63</v>
      </c>
      <c r="G24" s="354">
        <f t="shared" si="4"/>
        <v>79.5</v>
      </c>
      <c r="H24" s="354">
        <f t="shared" si="4"/>
        <v>65.5</v>
      </c>
      <c r="I24" s="354">
        <f t="shared" si="4"/>
        <v>52.5</v>
      </c>
      <c r="J24" s="354">
        <f t="shared" si="4"/>
        <v>56.5</v>
      </c>
      <c r="K24" s="354">
        <f>MEDIAN(K26:K38)</f>
        <v>76.5</v>
      </c>
      <c r="L24" s="354">
        <f t="shared" ref="L24:S24" si="5">MEDIAN(L26:L38)</f>
        <v>61</v>
      </c>
      <c r="M24" s="354">
        <f t="shared" si="5"/>
        <v>83</v>
      </c>
      <c r="N24" s="354">
        <f t="shared" si="5"/>
        <v>67.5</v>
      </c>
      <c r="O24" s="354">
        <f t="shared" si="5"/>
        <v>66</v>
      </c>
      <c r="P24" s="354">
        <f t="shared" si="5"/>
        <v>81</v>
      </c>
      <c r="Q24" s="354">
        <f t="shared" si="5"/>
        <v>65.5</v>
      </c>
      <c r="R24" s="354">
        <f t="shared" si="5"/>
        <v>53</v>
      </c>
      <c r="S24" s="354">
        <f t="shared" si="5"/>
        <v>58.5</v>
      </c>
      <c r="T24" s="354">
        <f>MEDIAN(T26:T38)</f>
        <v>76.650000000000006</v>
      </c>
      <c r="U24" s="354">
        <f t="shared" ref="U24:CF24" si="6">MEDIAN(U26:U38)</f>
        <v>61.05</v>
      </c>
      <c r="V24" s="354">
        <f t="shared" si="6"/>
        <v>83.9</v>
      </c>
      <c r="W24" s="354">
        <f t="shared" si="6"/>
        <v>69.650000000000006</v>
      </c>
      <c r="X24" s="354">
        <f t="shared" si="6"/>
        <v>68.55</v>
      </c>
      <c r="Y24" s="354">
        <f t="shared" si="6"/>
        <v>79.849999999999994</v>
      </c>
      <c r="Z24" s="354">
        <f t="shared" si="6"/>
        <v>64.849999999999994</v>
      </c>
      <c r="AA24" s="354">
        <f t="shared" si="6"/>
        <v>57</v>
      </c>
      <c r="AB24" s="354">
        <f t="shared" si="6"/>
        <v>59.55</v>
      </c>
      <c r="AC24" s="456">
        <f t="shared" si="6"/>
        <v>77.3</v>
      </c>
      <c r="AD24" s="354">
        <f t="shared" si="6"/>
        <v>61</v>
      </c>
      <c r="AE24" s="354">
        <f t="shared" si="6"/>
        <v>84</v>
      </c>
      <c r="AF24" s="354">
        <f t="shared" si="6"/>
        <v>70.3</v>
      </c>
      <c r="AG24" s="354">
        <f t="shared" si="6"/>
        <v>69</v>
      </c>
      <c r="AH24" s="354">
        <f t="shared" si="6"/>
        <v>80.900000000000006</v>
      </c>
      <c r="AI24" s="354">
        <f t="shared" si="6"/>
        <v>66.8</v>
      </c>
      <c r="AJ24" s="354">
        <f t="shared" si="6"/>
        <v>58.7</v>
      </c>
      <c r="AK24" s="461">
        <f t="shared" si="6"/>
        <v>59</v>
      </c>
      <c r="AL24" s="414">
        <f t="shared" si="6"/>
        <v>78.2</v>
      </c>
      <c r="AM24" s="414">
        <f t="shared" si="6"/>
        <v>64</v>
      </c>
      <c r="AN24" s="414">
        <f t="shared" si="6"/>
        <v>85.5</v>
      </c>
      <c r="AO24" s="414">
        <f t="shared" si="6"/>
        <v>72</v>
      </c>
      <c r="AP24" s="414">
        <f t="shared" si="6"/>
        <v>70</v>
      </c>
      <c r="AQ24" s="414">
        <f t="shared" si="6"/>
        <v>80.900000000000006</v>
      </c>
      <c r="AR24" s="414">
        <f t="shared" si="6"/>
        <v>68.099999999999994</v>
      </c>
      <c r="AS24" s="414">
        <f t="shared" si="6"/>
        <v>61.1</v>
      </c>
      <c r="AT24" s="354">
        <f t="shared" si="6"/>
        <v>59</v>
      </c>
      <c r="AU24" s="414">
        <f t="shared" si="6"/>
        <v>79.7</v>
      </c>
      <c r="AV24" s="414">
        <f t="shared" si="6"/>
        <v>64</v>
      </c>
      <c r="AW24" s="414">
        <f t="shared" si="6"/>
        <v>86</v>
      </c>
      <c r="AX24" s="414">
        <f t="shared" si="6"/>
        <v>74</v>
      </c>
      <c r="AY24" s="414">
        <f t="shared" si="6"/>
        <v>74</v>
      </c>
      <c r="AZ24" s="414">
        <f t="shared" si="6"/>
        <v>82</v>
      </c>
      <c r="BA24" s="414">
        <f t="shared" si="6"/>
        <v>70.2</v>
      </c>
      <c r="BB24" s="414">
        <f t="shared" si="6"/>
        <v>61.4</v>
      </c>
      <c r="BC24" s="478">
        <f t="shared" si="6"/>
        <v>60</v>
      </c>
      <c r="BD24" s="354">
        <f t="shared" si="6"/>
        <v>79.7</v>
      </c>
      <c r="BE24" s="354">
        <f t="shared" si="6"/>
        <v>66.8</v>
      </c>
      <c r="BF24" s="354">
        <f t="shared" si="6"/>
        <v>86</v>
      </c>
      <c r="BG24" s="354">
        <f t="shared" si="6"/>
        <v>77</v>
      </c>
      <c r="BH24" s="354">
        <f t="shared" si="6"/>
        <v>73</v>
      </c>
      <c r="BI24" s="8">
        <f t="shared" si="6"/>
        <v>82.8</v>
      </c>
      <c r="BJ24" s="354">
        <f t="shared" si="6"/>
        <v>79</v>
      </c>
      <c r="BK24" s="8">
        <f t="shared" si="6"/>
        <v>72.099999999999994</v>
      </c>
      <c r="BL24" s="8">
        <f t="shared" si="6"/>
        <v>67</v>
      </c>
      <c r="BM24" s="8">
        <f t="shared" si="6"/>
        <v>64.7</v>
      </c>
      <c r="BN24" s="92">
        <f t="shared" si="6"/>
        <v>81.7</v>
      </c>
      <c r="BO24" s="92">
        <f t="shared" si="6"/>
        <v>68</v>
      </c>
      <c r="BP24" s="92">
        <f t="shared" si="6"/>
        <v>89</v>
      </c>
      <c r="BQ24" s="92">
        <f t="shared" si="6"/>
        <v>76</v>
      </c>
      <c r="BR24" s="92">
        <f t="shared" si="6"/>
        <v>73.7</v>
      </c>
      <c r="BS24" s="92">
        <f t="shared" si="6"/>
        <v>85.3</v>
      </c>
      <c r="BT24" s="92">
        <f t="shared" si="6"/>
        <v>78</v>
      </c>
      <c r="BU24" s="92">
        <f t="shared" si="6"/>
        <v>73</v>
      </c>
      <c r="BV24" s="92">
        <f t="shared" si="6"/>
        <v>67.900000000000006</v>
      </c>
      <c r="BW24" s="92">
        <f t="shared" si="6"/>
        <v>65.599999999999994</v>
      </c>
      <c r="BX24" s="92">
        <f t="shared" si="6"/>
        <v>60</v>
      </c>
      <c r="BY24" s="343">
        <f t="shared" si="6"/>
        <v>50.05</v>
      </c>
      <c r="BZ24" s="92">
        <f t="shared" si="6"/>
        <v>81.099999999999994</v>
      </c>
      <c r="CA24" s="92">
        <f t="shared" si="6"/>
        <v>68</v>
      </c>
      <c r="CB24" s="92">
        <f t="shared" si="6"/>
        <v>88.6</v>
      </c>
      <c r="CC24" s="92">
        <f t="shared" si="6"/>
        <v>77</v>
      </c>
      <c r="CD24" s="92">
        <f t="shared" si="6"/>
        <v>74.400000000000006</v>
      </c>
      <c r="CE24" s="92">
        <f t="shared" si="6"/>
        <v>84</v>
      </c>
      <c r="CF24" s="92">
        <f t="shared" si="6"/>
        <v>81</v>
      </c>
      <c r="CG24" s="92">
        <f t="shared" ref="CG24:CW24" si="7">MEDIAN(CG26:CG38)</f>
        <v>74.400000000000006</v>
      </c>
      <c r="CH24" s="92">
        <f t="shared" si="7"/>
        <v>68.7</v>
      </c>
      <c r="CI24" s="92">
        <f t="shared" si="7"/>
        <v>63.4</v>
      </c>
      <c r="CJ24" s="92">
        <f t="shared" si="7"/>
        <v>57</v>
      </c>
      <c r="CK24" s="343">
        <f t="shared" si="7"/>
        <v>44.5</v>
      </c>
      <c r="CL24" s="92">
        <f t="shared" si="7"/>
        <v>82.6</v>
      </c>
      <c r="CM24" s="92">
        <f t="shared" si="7"/>
        <v>84.8</v>
      </c>
      <c r="CN24" s="92">
        <f t="shared" si="7"/>
        <v>76</v>
      </c>
      <c r="CO24" s="92">
        <f t="shared" si="7"/>
        <v>78</v>
      </c>
      <c r="CP24" s="92">
        <f t="shared" si="7"/>
        <v>89.4</v>
      </c>
      <c r="CQ24" s="92">
        <f t="shared" si="7"/>
        <v>68</v>
      </c>
      <c r="CR24" s="92">
        <f t="shared" si="7"/>
        <v>80</v>
      </c>
      <c r="CS24" s="92">
        <f t="shared" si="7"/>
        <v>66</v>
      </c>
      <c r="CT24" s="92">
        <f t="shared" si="7"/>
        <v>69.099999999999994</v>
      </c>
      <c r="CU24" s="92">
        <f t="shared" si="7"/>
        <v>75</v>
      </c>
      <c r="CV24" s="92">
        <f t="shared" si="7"/>
        <v>62.5</v>
      </c>
      <c r="CW24" s="92">
        <f t="shared" si="7"/>
        <v>50</v>
      </c>
    </row>
    <row r="25" spans="1:101" ht="14.45">
      <c r="A25" s="3" t="s">
        <v>129</v>
      </c>
      <c r="B25" s="380"/>
      <c r="C25" s="380"/>
      <c r="D25" s="380"/>
      <c r="E25" s="380"/>
      <c r="F25" s="380"/>
      <c r="G25" s="380"/>
      <c r="H25" s="380"/>
      <c r="I25" s="380"/>
      <c r="J25" s="372"/>
      <c r="K25" s="380"/>
      <c r="L25" s="380"/>
      <c r="M25" s="380"/>
      <c r="N25" s="380"/>
      <c r="O25" s="380"/>
      <c r="P25" s="380"/>
      <c r="Q25" s="380"/>
      <c r="R25" s="380"/>
      <c r="S25" s="372"/>
      <c r="T25" s="355"/>
      <c r="U25" s="356"/>
      <c r="V25" s="355"/>
      <c r="W25" s="355"/>
      <c r="X25" s="355"/>
      <c r="Y25" s="354"/>
      <c r="Z25" s="354"/>
      <c r="AA25" s="361"/>
      <c r="AB25" s="361"/>
      <c r="AC25" s="457"/>
      <c r="AD25" s="33"/>
      <c r="AE25" s="33"/>
      <c r="AF25" s="33"/>
      <c r="AG25" s="33"/>
      <c r="AH25" s="33"/>
      <c r="AI25" s="33"/>
      <c r="AJ25" s="33"/>
      <c r="AK25" s="462"/>
      <c r="AL25" s="33"/>
      <c r="AM25" s="33"/>
      <c r="AN25" s="33"/>
      <c r="AO25" s="33"/>
      <c r="AP25" s="33"/>
      <c r="AQ25" s="33"/>
      <c r="AR25" s="33"/>
      <c r="AS25" s="33"/>
      <c r="AT25" s="33"/>
      <c r="AU25" s="457"/>
      <c r="AV25" s="33"/>
      <c r="AW25" s="33"/>
      <c r="AX25" s="33"/>
      <c r="AY25" s="33"/>
      <c r="AZ25" s="33"/>
      <c r="BA25" s="33"/>
      <c r="BB25" s="33"/>
      <c r="BC25" s="462"/>
      <c r="BD25" s="354"/>
      <c r="BE25" s="354"/>
      <c r="BF25" s="354"/>
      <c r="BG25" s="354"/>
      <c r="BH25" s="354"/>
      <c r="BI25" s="8"/>
      <c r="BJ25" s="354"/>
      <c r="BK25" s="8"/>
      <c r="BL25" s="8"/>
      <c r="BM25" s="51"/>
      <c r="BN25" s="33"/>
      <c r="BO25" s="33"/>
      <c r="BP25" s="33"/>
      <c r="BQ25" s="33"/>
      <c r="BR25" s="33"/>
      <c r="BS25" s="33"/>
      <c r="BT25" s="33"/>
      <c r="BU25" s="33"/>
      <c r="BV25" s="33"/>
      <c r="BW25" s="33"/>
      <c r="BX25" s="33"/>
      <c r="BY25" s="462"/>
      <c r="BZ25" s="33"/>
    </row>
    <row r="26" spans="1:101">
      <c r="A26" s="2" t="s">
        <v>51</v>
      </c>
      <c r="B26" s="385">
        <v>68</v>
      </c>
      <c r="C26" s="385">
        <v>51</v>
      </c>
      <c r="D26" s="385">
        <v>74</v>
      </c>
      <c r="E26" s="385">
        <v>62</v>
      </c>
      <c r="F26" s="385">
        <v>63</v>
      </c>
      <c r="G26" s="385">
        <v>75</v>
      </c>
      <c r="H26" s="385">
        <v>56</v>
      </c>
      <c r="I26" s="385">
        <v>41</v>
      </c>
      <c r="J26" s="386">
        <v>40</v>
      </c>
      <c r="K26" s="385">
        <v>70</v>
      </c>
      <c r="L26" s="385">
        <v>54</v>
      </c>
      <c r="M26" s="385">
        <v>76</v>
      </c>
      <c r="N26" s="385">
        <v>70</v>
      </c>
      <c r="O26" s="385">
        <v>61</v>
      </c>
      <c r="P26" s="385">
        <v>76</v>
      </c>
      <c r="Q26" s="385">
        <v>59</v>
      </c>
      <c r="R26" s="385">
        <v>47</v>
      </c>
      <c r="S26" s="386">
        <v>46</v>
      </c>
      <c r="T26" s="355">
        <v>71.8</v>
      </c>
      <c r="U26" s="355">
        <v>57</v>
      </c>
      <c r="V26" s="355">
        <v>77</v>
      </c>
      <c r="W26" s="355">
        <v>73</v>
      </c>
      <c r="X26" s="355">
        <v>65</v>
      </c>
      <c r="Y26" s="355">
        <v>77.900000000000006</v>
      </c>
      <c r="Z26" s="355">
        <v>59.5</v>
      </c>
      <c r="AA26" s="361">
        <v>40</v>
      </c>
      <c r="AB26" s="361">
        <v>43</v>
      </c>
      <c r="AC26" s="454">
        <v>71.099999999999994</v>
      </c>
      <c r="AD26" s="361">
        <v>55</v>
      </c>
      <c r="AE26" s="361">
        <v>74</v>
      </c>
      <c r="AF26" s="361">
        <v>70</v>
      </c>
      <c r="AG26" s="361">
        <v>66</v>
      </c>
      <c r="AH26" s="361">
        <v>78.5</v>
      </c>
      <c r="AI26" s="361">
        <v>59.6</v>
      </c>
      <c r="AJ26" s="361">
        <v>32</v>
      </c>
      <c r="AK26" s="460">
        <v>42</v>
      </c>
      <c r="AL26" s="361">
        <v>75.599999999999994</v>
      </c>
      <c r="AM26" s="361">
        <v>64</v>
      </c>
      <c r="AN26" s="361">
        <v>83</v>
      </c>
      <c r="AO26" s="361">
        <v>72</v>
      </c>
      <c r="AP26" s="361">
        <v>71</v>
      </c>
      <c r="AQ26" s="361">
        <v>80</v>
      </c>
      <c r="AR26" s="361">
        <v>66.599999999999994</v>
      </c>
      <c r="AS26" s="361">
        <v>56</v>
      </c>
      <c r="AT26" s="361">
        <v>57</v>
      </c>
      <c r="AU26" s="454">
        <v>76.099999999999994</v>
      </c>
      <c r="AV26" s="361">
        <v>64</v>
      </c>
      <c r="AW26" s="361">
        <v>81</v>
      </c>
      <c r="AX26" s="361">
        <v>76</v>
      </c>
      <c r="AY26" s="361">
        <v>74</v>
      </c>
      <c r="AZ26" s="361">
        <v>80.8</v>
      </c>
      <c r="BA26" s="361">
        <v>68.400000000000006</v>
      </c>
      <c r="BB26" s="361">
        <v>55</v>
      </c>
      <c r="BC26" s="460">
        <v>54</v>
      </c>
      <c r="BD26" s="355">
        <v>78.2</v>
      </c>
      <c r="BE26" s="355">
        <v>69</v>
      </c>
      <c r="BF26" s="355">
        <v>84</v>
      </c>
      <c r="BG26" s="355">
        <v>77</v>
      </c>
      <c r="BH26" s="355">
        <v>74</v>
      </c>
      <c r="BI26" s="361">
        <v>82.2</v>
      </c>
      <c r="BJ26" s="355">
        <v>75</v>
      </c>
      <c r="BK26" s="361">
        <v>72.099999999999994</v>
      </c>
      <c r="BL26" s="361">
        <v>58</v>
      </c>
      <c r="BM26" s="460">
        <v>59</v>
      </c>
      <c r="BN26" s="33">
        <v>78.5</v>
      </c>
      <c r="BO26" s="33">
        <v>69</v>
      </c>
      <c r="BP26" s="33">
        <v>84</v>
      </c>
      <c r="BQ26" s="33">
        <v>76</v>
      </c>
      <c r="BR26" s="33">
        <v>73</v>
      </c>
      <c r="BS26" s="33">
        <v>83.7</v>
      </c>
      <c r="BT26" s="33">
        <v>74</v>
      </c>
      <c r="BU26" s="33">
        <v>71.900000000000006</v>
      </c>
      <c r="BV26" s="33">
        <v>61</v>
      </c>
      <c r="BW26" s="33">
        <v>57</v>
      </c>
      <c r="BX26" s="33">
        <v>57</v>
      </c>
      <c r="BY26" s="462">
        <v>55</v>
      </c>
      <c r="BZ26" s="361">
        <v>80.400000000000006</v>
      </c>
      <c r="CA26" s="361">
        <v>68</v>
      </c>
      <c r="CB26" s="361">
        <v>87</v>
      </c>
      <c r="CC26" s="361">
        <v>80</v>
      </c>
      <c r="CD26" s="361">
        <v>79</v>
      </c>
      <c r="CE26" s="361">
        <v>85.7</v>
      </c>
      <c r="CF26" s="361">
        <v>76</v>
      </c>
      <c r="CG26" s="361">
        <v>74.7</v>
      </c>
      <c r="CH26" s="361">
        <v>72</v>
      </c>
      <c r="CI26" s="361">
        <v>60</v>
      </c>
      <c r="CJ26" s="361">
        <v>56</v>
      </c>
      <c r="CK26" s="460">
        <v>49</v>
      </c>
      <c r="CL26">
        <v>79.099999999999994</v>
      </c>
      <c r="CM26">
        <v>84.4</v>
      </c>
      <c r="CN26">
        <v>74</v>
      </c>
      <c r="CO26">
        <v>77</v>
      </c>
      <c r="CP26">
        <v>87</v>
      </c>
      <c r="CQ26">
        <v>68</v>
      </c>
      <c r="CR26">
        <v>75</v>
      </c>
      <c r="CS26">
        <v>59</v>
      </c>
      <c r="CT26">
        <v>68</v>
      </c>
      <c r="CU26">
        <v>72.3</v>
      </c>
      <c r="CV26">
        <v>58</v>
      </c>
      <c r="CW26">
        <v>54</v>
      </c>
    </row>
    <row r="27" spans="1:101">
      <c r="A27" s="2" t="s">
        <v>52</v>
      </c>
      <c r="B27" s="385">
        <v>78</v>
      </c>
      <c r="C27" s="385">
        <v>62</v>
      </c>
      <c r="D27" s="385">
        <v>87</v>
      </c>
      <c r="E27" s="385">
        <v>72</v>
      </c>
      <c r="F27" s="385">
        <v>74</v>
      </c>
      <c r="G27" s="385">
        <v>85</v>
      </c>
      <c r="H27" s="385">
        <v>73</v>
      </c>
      <c r="I27" s="385">
        <v>25</v>
      </c>
      <c r="J27" s="386">
        <v>67</v>
      </c>
      <c r="K27" s="385">
        <v>76</v>
      </c>
      <c r="L27" s="385">
        <v>63</v>
      </c>
      <c r="M27" s="385">
        <v>84</v>
      </c>
      <c r="N27" s="385">
        <v>70</v>
      </c>
      <c r="O27" s="385">
        <v>71</v>
      </c>
      <c r="P27" s="385">
        <v>84</v>
      </c>
      <c r="Q27" s="385">
        <v>71</v>
      </c>
      <c r="R27" s="385">
        <v>24</v>
      </c>
      <c r="S27" s="386">
        <v>65</v>
      </c>
      <c r="T27" s="355">
        <v>75.099999999999994</v>
      </c>
      <c r="U27" s="355">
        <v>61.1</v>
      </c>
      <c r="V27" s="355">
        <v>84</v>
      </c>
      <c r="W27" s="355">
        <v>68.900000000000006</v>
      </c>
      <c r="X27" s="355">
        <v>69.599999999999994</v>
      </c>
      <c r="Y27" s="355">
        <v>82.6</v>
      </c>
      <c r="Z27" s="355">
        <v>69.400000000000006</v>
      </c>
      <c r="AA27" s="361">
        <v>20</v>
      </c>
      <c r="AB27" s="361">
        <v>63.3</v>
      </c>
      <c r="AC27" s="454">
        <v>75.7</v>
      </c>
      <c r="AD27" s="361">
        <v>62.7</v>
      </c>
      <c r="AE27" s="361">
        <v>83</v>
      </c>
      <c r="AF27" s="361">
        <v>70.3</v>
      </c>
      <c r="AG27" s="361">
        <v>71</v>
      </c>
      <c r="AH27" s="361">
        <v>82.3</v>
      </c>
      <c r="AI27" s="361">
        <v>69.900000000000006</v>
      </c>
      <c r="AJ27" s="361">
        <v>18</v>
      </c>
      <c r="AK27" s="460">
        <v>63.3</v>
      </c>
      <c r="AL27" s="361">
        <v>77.400000000000006</v>
      </c>
      <c r="AM27" s="361">
        <v>66.8</v>
      </c>
      <c r="AN27" s="361">
        <v>87</v>
      </c>
      <c r="AO27" s="361">
        <v>72.7</v>
      </c>
      <c r="AP27" s="361">
        <v>72.599999999999994</v>
      </c>
      <c r="AQ27" s="361">
        <v>83.2</v>
      </c>
      <c r="AR27" s="361">
        <v>73.099999999999994</v>
      </c>
      <c r="AS27" s="361">
        <v>34</v>
      </c>
      <c r="AT27" s="361">
        <v>64.400000000000006</v>
      </c>
      <c r="AU27" s="454">
        <v>79.5</v>
      </c>
      <c r="AV27" s="361">
        <v>67.7</v>
      </c>
      <c r="AW27" s="361">
        <v>89</v>
      </c>
      <c r="AX27" s="361">
        <v>76.400000000000006</v>
      </c>
      <c r="AY27" s="361">
        <v>75.5</v>
      </c>
      <c r="AZ27" s="361">
        <v>84</v>
      </c>
      <c r="BA27" s="361">
        <v>76.7</v>
      </c>
      <c r="BB27" s="361">
        <v>32</v>
      </c>
      <c r="BC27" s="460">
        <v>69</v>
      </c>
      <c r="BD27" s="355">
        <v>78</v>
      </c>
      <c r="BE27" s="355">
        <v>66.8</v>
      </c>
      <c r="BF27" s="355">
        <v>89</v>
      </c>
      <c r="BG27" s="355">
        <v>74.5</v>
      </c>
      <c r="BH27" s="355">
        <v>73.8</v>
      </c>
      <c r="BI27" s="361">
        <v>82.8</v>
      </c>
      <c r="BJ27" s="354" t="s">
        <v>47</v>
      </c>
      <c r="BK27" s="361">
        <v>72.400000000000006</v>
      </c>
      <c r="BL27" s="361">
        <v>30</v>
      </c>
      <c r="BM27" s="460">
        <v>66.400000000000006</v>
      </c>
      <c r="BN27" s="33">
        <v>78.7</v>
      </c>
      <c r="BO27" s="33">
        <v>67.8</v>
      </c>
      <c r="BP27" s="33">
        <v>89</v>
      </c>
      <c r="BQ27" s="33">
        <v>75.7</v>
      </c>
      <c r="BR27" s="33">
        <v>73.7</v>
      </c>
      <c r="BS27" s="33">
        <v>83.4</v>
      </c>
      <c r="BT27" s="33">
        <v>75</v>
      </c>
      <c r="BU27" s="33">
        <v>73</v>
      </c>
      <c r="BV27" s="33">
        <v>47</v>
      </c>
      <c r="BW27" s="33">
        <v>67.7</v>
      </c>
      <c r="BX27" s="33">
        <v>52</v>
      </c>
      <c r="BY27" s="462">
        <v>45</v>
      </c>
      <c r="BZ27" s="361">
        <v>77.8</v>
      </c>
      <c r="CA27" s="361">
        <v>67.099999999999994</v>
      </c>
      <c r="CB27" s="361">
        <v>90</v>
      </c>
      <c r="CC27" s="361">
        <v>74.400000000000006</v>
      </c>
      <c r="CD27" s="361">
        <v>73.3</v>
      </c>
      <c r="CE27" s="361">
        <v>82.7</v>
      </c>
      <c r="CF27" s="361">
        <v>75</v>
      </c>
      <c r="CG27" s="361">
        <v>73.5</v>
      </c>
      <c r="CH27" s="361">
        <v>50</v>
      </c>
      <c r="CI27" s="361">
        <v>69</v>
      </c>
      <c r="CJ27" s="361">
        <v>57</v>
      </c>
      <c r="CK27" s="460">
        <v>45</v>
      </c>
      <c r="CL27">
        <v>77.3</v>
      </c>
      <c r="CM27">
        <v>83</v>
      </c>
      <c r="CN27">
        <v>71.7</v>
      </c>
      <c r="CO27">
        <v>74</v>
      </c>
      <c r="CP27">
        <v>91</v>
      </c>
      <c r="CQ27">
        <v>63.9</v>
      </c>
      <c r="CR27">
        <v>72.8</v>
      </c>
      <c r="CS27">
        <v>66.2</v>
      </c>
      <c r="CT27">
        <v>55.2</v>
      </c>
      <c r="CU27">
        <v>73.599999999999994</v>
      </c>
      <c r="CV27">
        <v>48.6</v>
      </c>
      <c r="CW27">
        <v>45</v>
      </c>
    </row>
    <row r="28" spans="1:101">
      <c r="A28" s="2" t="s">
        <v>53</v>
      </c>
      <c r="B28" s="385">
        <v>76</v>
      </c>
      <c r="C28" s="385">
        <v>68</v>
      </c>
      <c r="D28" s="385">
        <v>89</v>
      </c>
      <c r="E28" s="385">
        <v>70</v>
      </c>
      <c r="F28" s="385">
        <v>63</v>
      </c>
      <c r="G28" s="385">
        <v>85</v>
      </c>
      <c r="H28" s="385">
        <v>70</v>
      </c>
      <c r="I28" s="385">
        <v>60</v>
      </c>
      <c r="J28" s="386">
        <v>59</v>
      </c>
      <c r="K28" s="385">
        <v>78</v>
      </c>
      <c r="L28" s="385">
        <v>72</v>
      </c>
      <c r="M28" s="385">
        <v>90</v>
      </c>
      <c r="N28" s="385">
        <v>73</v>
      </c>
      <c r="O28" s="385">
        <v>66</v>
      </c>
      <c r="P28" s="385">
        <v>86</v>
      </c>
      <c r="Q28" s="385">
        <v>73</v>
      </c>
      <c r="R28" s="385">
        <v>62</v>
      </c>
      <c r="S28" s="386">
        <v>61</v>
      </c>
      <c r="T28" s="355">
        <v>80.400000000000006</v>
      </c>
      <c r="U28" s="355">
        <v>72.8</v>
      </c>
      <c r="V28" s="355">
        <v>90.9</v>
      </c>
      <c r="W28" s="355">
        <v>75.7</v>
      </c>
      <c r="X28" s="355">
        <v>68.099999999999994</v>
      </c>
      <c r="Y28" s="355">
        <v>87.7</v>
      </c>
      <c r="Z28" s="355">
        <v>74.8</v>
      </c>
      <c r="AA28" s="361">
        <v>63.1</v>
      </c>
      <c r="AB28" s="361">
        <v>61.9</v>
      </c>
      <c r="AC28" s="454">
        <v>81</v>
      </c>
      <c r="AD28" s="361">
        <v>71</v>
      </c>
      <c r="AE28" s="361">
        <v>91.8</v>
      </c>
      <c r="AF28" s="361">
        <v>77</v>
      </c>
      <c r="AG28" s="361">
        <v>68</v>
      </c>
      <c r="AH28" s="361">
        <v>88</v>
      </c>
      <c r="AI28" s="361">
        <v>76</v>
      </c>
      <c r="AJ28" s="361">
        <v>65</v>
      </c>
      <c r="AK28" s="460">
        <v>62</v>
      </c>
      <c r="AL28" s="361">
        <v>82</v>
      </c>
      <c r="AM28" s="361">
        <v>73</v>
      </c>
      <c r="AN28" s="361">
        <v>92.2</v>
      </c>
      <c r="AO28" s="361">
        <v>79</v>
      </c>
      <c r="AP28" s="361">
        <v>71</v>
      </c>
      <c r="AQ28" s="361">
        <v>88</v>
      </c>
      <c r="AR28" s="361">
        <v>78</v>
      </c>
      <c r="AS28" s="361">
        <v>69</v>
      </c>
      <c r="AT28" s="361">
        <v>65</v>
      </c>
      <c r="AU28" s="454">
        <v>83</v>
      </c>
      <c r="AV28" s="361">
        <v>74</v>
      </c>
      <c r="AW28" s="361">
        <v>92.9</v>
      </c>
      <c r="AX28" s="361">
        <v>80</v>
      </c>
      <c r="AY28" s="361">
        <v>73</v>
      </c>
      <c r="AZ28" s="361">
        <v>88</v>
      </c>
      <c r="BA28" s="361">
        <v>79</v>
      </c>
      <c r="BB28" s="361">
        <v>72</v>
      </c>
      <c r="BC28" s="460">
        <v>66</v>
      </c>
      <c r="BD28" s="355">
        <v>82.7</v>
      </c>
      <c r="BE28" s="355">
        <v>68.2</v>
      </c>
      <c r="BF28" s="355">
        <v>92.6</v>
      </c>
      <c r="BG28" s="355">
        <v>80.3</v>
      </c>
      <c r="BH28" s="355">
        <v>73.099999999999994</v>
      </c>
      <c r="BI28" s="361">
        <v>87.3</v>
      </c>
      <c r="BJ28" s="355">
        <v>70.400000000000006</v>
      </c>
      <c r="BK28" s="361">
        <v>78.8</v>
      </c>
      <c r="BL28" s="361">
        <v>67.2</v>
      </c>
      <c r="BM28" s="460">
        <v>65</v>
      </c>
      <c r="BN28" s="33">
        <v>83</v>
      </c>
      <c r="BO28" s="33">
        <v>70.5</v>
      </c>
      <c r="BP28" s="33">
        <v>93</v>
      </c>
      <c r="BQ28" s="33">
        <v>80.599999999999994</v>
      </c>
      <c r="BR28" s="33">
        <v>73.3</v>
      </c>
      <c r="BS28" s="33">
        <v>87</v>
      </c>
      <c r="BT28" s="33">
        <v>73.2</v>
      </c>
      <c r="BU28" s="33">
        <v>79.599999999999994</v>
      </c>
      <c r="BV28" s="33">
        <v>67.900000000000006</v>
      </c>
      <c r="BW28" s="33">
        <v>66.3</v>
      </c>
      <c r="BX28" s="33">
        <v>68.900000000000006</v>
      </c>
      <c r="BY28" s="462">
        <v>53.1</v>
      </c>
      <c r="BZ28" s="361">
        <v>84.5</v>
      </c>
      <c r="CA28" s="361">
        <v>75</v>
      </c>
      <c r="CB28" s="361">
        <v>93.7</v>
      </c>
      <c r="CC28" s="361">
        <v>82.1</v>
      </c>
      <c r="CD28" s="361">
        <v>76.8</v>
      </c>
      <c r="CE28" s="361">
        <v>88.4</v>
      </c>
      <c r="CF28" s="361">
        <v>76.8</v>
      </c>
      <c r="CG28" s="361">
        <v>81.099999999999994</v>
      </c>
      <c r="CH28" s="361">
        <v>68.7</v>
      </c>
      <c r="CI28" s="361">
        <v>67.7</v>
      </c>
      <c r="CJ28" s="361">
        <v>70</v>
      </c>
      <c r="CK28" s="460">
        <v>56</v>
      </c>
      <c r="CL28">
        <v>84.3</v>
      </c>
      <c r="CM28">
        <v>87.9</v>
      </c>
      <c r="CN28">
        <v>76.900000000000006</v>
      </c>
      <c r="CO28">
        <v>82.2</v>
      </c>
      <c r="CP28">
        <v>92.2</v>
      </c>
      <c r="CQ28">
        <v>76</v>
      </c>
      <c r="CR28">
        <v>78.599999999999994</v>
      </c>
      <c r="CS28">
        <v>68.400000000000006</v>
      </c>
      <c r="CT28">
        <v>69.099999999999994</v>
      </c>
      <c r="CU28">
        <v>81.2</v>
      </c>
      <c r="CV28">
        <v>69.7</v>
      </c>
      <c r="CW28">
        <v>58.2</v>
      </c>
    </row>
    <row r="29" spans="1:101">
      <c r="A29" s="2" t="s">
        <v>54</v>
      </c>
      <c r="B29" s="385">
        <v>74</v>
      </c>
      <c r="C29" s="385">
        <v>52</v>
      </c>
      <c r="D29" s="385">
        <v>81</v>
      </c>
      <c r="E29" s="385">
        <v>60</v>
      </c>
      <c r="F29" s="385">
        <v>65</v>
      </c>
      <c r="G29" s="385">
        <v>81</v>
      </c>
      <c r="H29" s="385">
        <v>62</v>
      </c>
      <c r="I29" s="385">
        <v>53</v>
      </c>
      <c r="J29" s="386">
        <v>53</v>
      </c>
      <c r="K29" s="385">
        <v>75</v>
      </c>
      <c r="L29" s="385">
        <v>58</v>
      </c>
      <c r="M29" s="385">
        <v>82</v>
      </c>
      <c r="N29" s="385">
        <v>62</v>
      </c>
      <c r="O29" s="385">
        <v>66</v>
      </c>
      <c r="P29" s="385">
        <v>82</v>
      </c>
      <c r="Q29" s="385">
        <v>61</v>
      </c>
      <c r="R29" s="385">
        <v>53</v>
      </c>
      <c r="S29" s="386">
        <v>54</v>
      </c>
      <c r="T29" s="355">
        <v>76.900000000000006</v>
      </c>
      <c r="U29" s="355">
        <v>61</v>
      </c>
      <c r="V29" s="355">
        <v>85</v>
      </c>
      <c r="W29" s="355">
        <v>65.400000000000006</v>
      </c>
      <c r="X29" s="355">
        <v>69.5</v>
      </c>
      <c r="Y29" s="355">
        <v>82.8</v>
      </c>
      <c r="Z29" s="355">
        <v>63.7</v>
      </c>
      <c r="AA29" s="361">
        <v>58.5</v>
      </c>
      <c r="AB29" s="361">
        <v>53.8</v>
      </c>
      <c r="AC29" s="454">
        <v>77.3</v>
      </c>
      <c r="AD29" s="361">
        <v>61</v>
      </c>
      <c r="AE29" s="361">
        <v>84</v>
      </c>
      <c r="AF29" s="361">
        <v>66.7</v>
      </c>
      <c r="AG29" s="361">
        <v>69</v>
      </c>
      <c r="AH29" s="361">
        <v>83.2</v>
      </c>
      <c r="AI29" s="361">
        <v>64.2</v>
      </c>
      <c r="AJ29" s="361">
        <v>58.7</v>
      </c>
      <c r="AK29" s="460">
        <v>54.6</v>
      </c>
      <c r="AL29" s="361">
        <v>77.3</v>
      </c>
      <c r="AM29" s="361">
        <v>64</v>
      </c>
      <c r="AN29" s="361">
        <v>87</v>
      </c>
      <c r="AO29" s="361">
        <v>67.599999999999994</v>
      </c>
      <c r="AP29" s="361">
        <v>69.900000000000006</v>
      </c>
      <c r="AQ29" s="361">
        <v>82.6</v>
      </c>
      <c r="AR29" s="361">
        <v>65.5</v>
      </c>
      <c r="AS29" s="361">
        <v>61.1</v>
      </c>
      <c r="AT29" s="361">
        <v>53.8</v>
      </c>
      <c r="AU29" s="454">
        <v>78.900000000000006</v>
      </c>
      <c r="AV29" s="361">
        <v>62</v>
      </c>
      <c r="AW29" s="361">
        <v>85</v>
      </c>
      <c r="AX29" s="361">
        <v>69.900000000000006</v>
      </c>
      <c r="AY29" s="361">
        <v>71.8</v>
      </c>
      <c r="AZ29" s="361">
        <v>84.4</v>
      </c>
      <c r="BA29" s="361">
        <v>67.8</v>
      </c>
      <c r="BB29" s="361">
        <v>61.4</v>
      </c>
      <c r="BC29" s="460">
        <v>57.2</v>
      </c>
      <c r="BD29" s="355">
        <v>79.099999999999994</v>
      </c>
      <c r="BE29" s="355">
        <v>64</v>
      </c>
      <c r="BF29" s="355">
        <v>89</v>
      </c>
      <c r="BG29" s="355">
        <v>71.099999999999994</v>
      </c>
      <c r="BH29" s="355">
        <v>71.900000000000006</v>
      </c>
      <c r="BI29" s="361">
        <v>83.9</v>
      </c>
      <c r="BJ29" s="355">
        <v>80</v>
      </c>
      <c r="BK29" s="361">
        <v>68.5</v>
      </c>
      <c r="BL29" s="361">
        <v>64.599999999999994</v>
      </c>
      <c r="BM29" s="460">
        <v>56.8</v>
      </c>
      <c r="BN29" s="33">
        <v>80.8</v>
      </c>
      <c r="BO29" s="33">
        <v>68</v>
      </c>
      <c r="BP29" s="33">
        <v>89</v>
      </c>
      <c r="BQ29" s="33">
        <v>73.400000000000006</v>
      </c>
      <c r="BR29" s="33">
        <v>74.400000000000006</v>
      </c>
      <c r="BS29" s="33">
        <v>85.3</v>
      </c>
      <c r="BT29" s="33">
        <v>83</v>
      </c>
      <c r="BU29" s="33">
        <v>70.7</v>
      </c>
      <c r="BV29" s="33">
        <v>67</v>
      </c>
      <c r="BW29" s="33">
        <v>58.6</v>
      </c>
      <c r="BX29" s="33">
        <v>55.4</v>
      </c>
      <c r="BY29" s="462">
        <v>25</v>
      </c>
      <c r="BZ29" s="361">
        <v>81.099999999999994</v>
      </c>
      <c r="CA29" s="361">
        <v>65</v>
      </c>
      <c r="CB29" s="361">
        <v>89</v>
      </c>
      <c r="CC29" s="361">
        <v>74</v>
      </c>
      <c r="CD29" s="361">
        <v>74.400000000000006</v>
      </c>
      <c r="CE29" s="361">
        <v>85.9</v>
      </c>
      <c r="CF29" s="361">
        <v>81</v>
      </c>
      <c r="CG29" s="361">
        <v>70.900000000000006</v>
      </c>
      <c r="CH29" s="361">
        <v>68.599999999999994</v>
      </c>
      <c r="CI29" s="361">
        <v>59.2</v>
      </c>
      <c r="CJ29" s="361">
        <v>55.6</v>
      </c>
      <c r="CK29" s="460">
        <v>27</v>
      </c>
      <c r="CL29">
        <v>81.900000000000006</v>
      </c>
      <c r="CM29">
        <v>86.1</v>
      </c>
      <c r="CN29">
        <v>76.599999999999994</v>
      </c>
      <c r="CO29">
        <v>75.400000000000006</v>
      </c>
      <c r="CP29">
        <v>90</v>
      </c>
      <c r="CQ29">
        <v>67</v>
      </c>
      <c r="CR29">
        <v>82</v>
      </c>
      <c r="CS29">
        <v>61.8</v>
      </c>
      <c r="CT29">
        <v>70.2</v>
      </c>
      <c r="CU29">
        <v>72.3</v>
      </c>
      <c r="CV29">
        <v>56.7</v>
      </c>
      <c r="CW29">
        <v>31</v>
      </c>
    </row>
    <row r="30" spans="1:101">
      <c r="A30" s="2" t="s">
        <v>55</v>
      </c>
      <c r="B30" s="385">
        <v>80</v>
      </c>
      <c r="C30" s="385">
        <v>60</v>
      </c>
      <c r="D30" s="385">
        <v>81</v>
      </c>
      <c r="E30" s="385">
        <v>79</v>
      </c>
      <c r="F30" s="385">
        <v>77</v>
      </c>
      <c r="G30" s="385">
        <v>78</v>
      </c>
      <c r="H30" s="385">
        <v>75</v>
      </c>
      <c r="I30" s="385">
        <v>60</v>
      </c>
      <c r="J30" s="386">
        <v>59</v>
      </c>
      <c r="K30" s="385">
        <v>82</v>
      </c>
      <c r="L30" s="385">
        <v>65</v>
      </c>
      <c r="M30" s="385">
        <v>84</v>
      </c>
      <c r="N30" s="385">
        <v>76</v>
      </c>
      <c r="O30" s="385">
        <v>76</v>
      </c>
      <c r="P30" s="385">
        <v>79</v>
      </c>
      <c r="Q30" s="385">
        <v>80</v>
      </c>
      <c r="R30" s="385">
        <v>56</v>
      </c>
      <c r="S30" s="386">
        <v>74</v>
      </c>
      <c r="T30" s="355">
        <v>82.4</v>
      </c>
      <c r="U30" s="355">
        <v>62</v>
      </c>
      <c r="V30" s="355">
        <v>83.8</v>
      </c>
      <c r="W30" s="355">
        <v>77</v>
      </c>
      <c r="X30" s="355">
        <v>75</v>
      </c>
      <c r="Y30" s="355">
        <v>79</v>
      </c>
      <c r="Z30" s="355">
        <v>78.2</v>
      </c>
      <c r="AA30" s="361">
        <v>57</v>
      </c>
      <c r="AB30" s="361">
        <v>61</v>
      </c>
      <c r="AC30" s="454">
        <v>81.8</v>
      </c>
      <c r="AD30" s="361">
        <v>72</v>
      </c>
      <c r="AE30" s="361">
        <v>82.8</v>
      </c>
      <c r="AF30" s="361">
        <v>76</v>
      </c>
      <c r="AG30" s="361">
        <v>76</v>
      </c>
      <c r="AH30" s="361">
        <v>80</v>
      </c>
      <c r="AI30" s="361">
        <v>77.599999999999994</v>
      </c>
      <c r="AJ30" s="361">
        <v>53</v>
      </c>
      <c r="AK30" s="460">
        <v>59</v>
      </c>
      <c r="AL30" s="361">
        <v>81.599999999999994</v>
      </c>
      <c r="AM30" s="361">
        <v>61</v>
      </c>
      <c r="AN30" s="361">
        <v>82.8</v>
      </c>
      <c r="AO30" s="361">
        <v>75</v>
      </c>
      <c r="AP30" s="361">
        <v>74</v>
      </c>
      <c r="AQ30" s="361">
        <v>79</v>
      </c>
      <c r="AR30" s="361">
        <v>75.900000000000006</v>
      </c>
      <c r="AS30" s="361">
        <v>46</v>
      </c>
      <c r="AT30" s="361">
        <v>60</v>
      </c>
      <c r="AU30" s="454">
        <v>82.7</v>
      </c>
      <c r="AV30" s="361">
        <v>72</v>
      </c>
      <c r="AW30" s="361">
        <v>83.6</v>
      </c>
      <c r="AX30" s="361">
        <v>75</v>
      </c>
      <c r="AY30" s="361">
        <v>78</v>
      </c>
      <c r="AZ30" s="361">
        <v>82</v>
      </c>
      <c r="BA30" s="361">
        <v>77.900000000000006</v>
      </c>
      <c r="BB30" s="361">
        <v>69</v>
      </c>
      <c r="BC30" s="460">
        <v>59</v>
      </c>
      <c r="BD30" s="355">
        <v>82.7</v>
      </c>
      <c r="BE30" s="355">
        <v>79</v>
      </c>
      <c r="BF30" s="355">
        <v>83.5</v>
      </c>
      <c r="BG30" s="355">
        <v>80</v>
      </c>
      <c r="BH30" s="355">
        <v>79</v>
      </c>
      <c r="BI30" s="361">
        <v>80</v>
      </c>
      <c r="BJ30" s="354" t="s">
        <v>47</v>
      </c>
      <c r="BK30" s="361">
        <v>77.900000000000006</v>
      </c>
      <c r="BL30" s="361">
        <v>69</v>
      </c>
      <c r="BM30" s="460">
        <v>65</v>
      </c>
      <c r="BN30" s="33">
        <v>84.5</v>
      </c>
      <c r="BO30" s="33" t="s">
        <v>47</v>
      </c>
      <c r="BP30" s="33">
        <v>84.6</v>
      </c>
      <c r="BQ30" s="33">
        <v>80</v>
      </c>
      <c r="BR30" s="33">
        <v>82</v>
      </c>
      <c r="BS30" s="33">
        <v>86</v>
      </c>
      <c r="BT30" s="33" t="s">
        <v>47</v>
      </c>
      <c r="BU30" s="33">
        <v>79.5</v>
      </c>
      <c r="BV30" s="33">
        <v>68</v>
      </c>
      <c r="BW30" s="33">
        <v>64</v>
      </c>
      <c r="BX30" s="33">
        <v>66</v>
      </c>
      <c r="BY30" s="462">
        <v>57</v>
      </c>
      <c r="BZ30" s="361">
        <v>85.2</v>
      </c>
      <c r="CA30" s="8" t="s">
        <v>141</v>
      </c>
      <c r="CB30" s="361">
        <v>85.6</v>
      </c>
      <c r="CC30" s="361">
        <v>85</v>
      </c>
      <c r="CD30" s="361">
        <v>83</v>
      </c>
      <c r="CE30" s="361">
        <v>84</v>
      </c>
      <c r="CF30" s="516" t="s">
        <v>47</v>
      </c>
      <c r="CG30" s="361">
        <v>80.7</v>
      </c>
      <c r="CH30" s="361">
        <v>70</v>
      </c>
      <c r="CI30" s="361">
        <v>63</v>
      </c>
      <c r="CJ30" s="361">
        <v>63</v>
      </c>
      <c r="CK30" s="460">
        <v>44</v>
      </c>
      <c r="CL30">
        <v>86.3</v>
      </c>
      <c r="CM30">
        <v>86</v>
      </c>
      <c r="CN30">
        <v>84</v>
      </c>
      <c r="CO30">
        <v>81</v>
      </c>
      <c r="CP30">
        <v>86.6</v>
      </c>
      <c r="CQ30" t="s">
        <v>141</v>
      </c>
      <c r="CR30" t="s">
        <v>141</v>
      </c>
      <c r="CS30">
        <v>65</v>
      </c>
      <c r="CT30">
        <v>71</v>
      </c>
      <c r="CU30">
        <v>81.599999999999994</v>
      </c>
      <c r="CV30">
        <v>69</v>
      </c>
      <c r="CW30">
        <v>69</v>
      </c>
    </row>
    <row r="31" spans="1:101">
      <c r="A31" s="2" t="s">
        <v>56</v>
      </c>
      <c r="B31" s="385" t="s">
        <v>47</v>
      </c>
      <c r="C31" s="385" t="s">
        <v>47</v>
      </c>
      <c r="D31" s="385" t="s">
        <v>47</v>
      </c>
      <c r="E31" s="385" t="s">
        <v>47</v>
      </c>
      <c r="F31" s="385" t="s">
        <v>47</v>
      </c>
      <c r="G31" s="385" t="s">
        <v>47</v>
      </c>
      <c r="H31" s="385" t="s">
        <v>47</v>
      </c>
      <c r="I31" s="385" t="s">
        <v>47</v>
      </c>
      <c r="J31" s="386" t="s">
        <v>47</v>
      </c>
      <c r="K31" s="385" t="s">
        <v>47</v>
      </c>
      <c r="L31" s="385" t="s">
        <v>47</v>
      </c>
      <c r="M31" s="385" t="s">
        <v>47</v>
      </c>
      <c r="N31" s="385" t="s">
        <v>47</v>
      </c>
      <c r="O31" s="385" t="s">
        <v>47</v>
      </c>
      <c r="P31" s="385" t="s">
        <v>47</v>
      </c>
      <c r="Q31" s="385" t="s">
        <v>47</v>
      </c>
      <c r="R31" s="385" t="s">
        <v>47</v>
      </c>
      <c r="S31" s="386" t="s">
        <v>47</v>
      </c>
      <c r="T31" s="356" t="s">
        <v>47</v>
      </c>
      <c r="U31" s="356" t="s">
        <v>47</v>
      </c>
      <c r="V31" s="356" t="s">
        <v>47</v>
      </c>
      <c r="W31" s="356" t="s">
        <v>47</v>
      </c>
      <c r="X31" s="356" t="s">
        <v>47</v>
      </c>
      <c r="Y31" s="356" t="s">
        <v>47</v>
      </c>
      <c r="Z31" s="356" t="s">
        <v>47</v>
      </c>
      <c r="AA31" s="356" t="s">
        <v>47</v>
      </c>
      <c r="AB31" s="356" t="s">
        <v>47</v>
      </c>
      <c r="AC31" s="454">
        <v>77.3</v>
      </c>
      <c r="AD31" s="361">
        <v>56</v>
      </c>
      <c r="AE31" s="361">
        <v>79</v>
      </c>
      <c r="AF31" s="361">
        <v>70.3</v>
      </c>
      <c r="AG31" s="361">
        <v>75</v>
      </c>
      <c r="AH31" s="361">
        <v>79.2</v>
      </c>
      <c r="AI31" s="361">
        <v>71.3</v>
      </c>
      <c r="AJ31" s="361">
        <v>75</v>
      </c>
      <c r="AK31" s="460">
        <v>59</v>
      </c>
      <c r="AL31" s="361">
        <v>78.900000000000006</v>
      </c>
      <c r="AM31" s="361">
        <v>66</v>
      </c>
      <c r="AN31" s="361">
        <v>84</v>
      </c>
      <c r="AO31" s="361">
        <v>71.2</v>
      </c>
      <c r="AP31" s="361">
        <v>75</v>
      </c>
      <c r="AQ31" s="361">
        <v>80.8</v>
      </c>
      <c r="AR31" s="361">
        <v>72</v>
      </c>
      <c r="AS31" s="361">
        <v>72</v>
      </c>
      <c r="AT31" s="361">
        <v>58</v>
      </c>
      <c r="AU31" s="454">
        <v>79.7</v>
      </c>
      <c r="AV31" s="361">
        <v>58</v>
      </c>
      <c r="AW31" s="361">
        <v>80</v>
      </c>
      <c r="AX31" s="361">
        <v>73.7</v>
      </c>
      <c r="AY31" s="361">
        <v>78</v>
      </c>
      <c r="AZ31" s="361">
        <v>81.400000000000006</v>
      </c>
      <c r="BA31" s="361">
        <v>71.900000000000006</v>
      </c>
      <c r="BB31" s="361">
        <v>73</v>
      </c>
      <c r="BC31" s="460">
        <v>60</v>
      </c>
      <c r="BD31" s="355">
        <v>79.7</v>
      </c>
      <c r="BE31" s="355">
        <v>66</v>
      </c>
      <c r="BF31" s="355">
        <v>85</v>
      </c>
      <c r="BG31" s="355">
        <v>74.8</v>
      </c>
      <c r="BH31" s="355">
        <v>70</v>
      </c>
      <c r="BI31" s="361">
        <v>81.099999999999994</v>
      </c>
      <c r="BJ31" s="355">
        <v>76</v>
      </c>
      <c r="BK31" s="361">
        <v>71.599999999999994</v>
      </c>
      <c r="BL31" s="361">
        <v>75</v>
      </c>
      <c r="BM31" s="460">
        <v>61</v>
      </c>
      <c r="BN31" s="33">
        <v>80.7</v>
      </c>
      <c r="BO31" s="33">
        <v>61</v>
      </c>
      <c r="BP31" s="33">
        <v>83</v>
      </c>
      <c r="BQ31" s="33">
        <v>75.900000000000006</v>
      </c>
      <c r="BR31" s="33">
        <v>71</v>
      </c>
      <c r="BS31" s="33">
        <v>82.3</v>
      </c>
      <c r="BT31" s="33">
        <v>74</v>
      </c>
      <c r="BU31" s="33">
        <v>72.3</v>
      </c>
      <c r="BV31" s="33">
        <v>76</v>
      </c>
      <c r="BW31" s="33">
        <v>59</v>
      </c>
      <c r="BX31" s="33">
        <v>58</v>
      </c>
      <c r="BY31" s="462">
        <v>47</v>
      </c>
      <c r="BZ31" s="361">
        <v>80.8</v>
      </c>
      <c r="CA31" s="361">
        <v>68</v>
      </c>
      <c r="CB31" s="361">
        <v>86</v>
      </c>
      <c r="CC31" s="361">
        <v>73.900000000000006</v>
      </c>
      <c r="CD31" s="361">
        <v>74</v>
      </c>
      <c r="CE31" s="361">
        <v>82.6</v>
      </c>
      <c r="CF31" s="361">
        <v>79</v>
      </c>
      <c r="CG31" s="361">
        <v>72.5</v>
      </c>
      <c r="CH31" s="361">
        <v>74</v>
      </c>
      <c r="CI31" s="361">
        <v>56</v>
      </c>
      <c r="CJ31" s="361">
        <v>57</v>
      </c>
      <c r="CK31" s="460">
        <v>39</v>
      </c>
      <c r="CL31">
        <v>82.2</v>
      </c>
      <c r="CM31">
        <v>84.2</v>
      </c>
      <c r="CN31">
        <v>69</v>
      </c>
      <c r="CO31">
        <v>75.7</v>
      </c>
      <c r="CP31">
        <v>87</v>
      </c>
      <c r="CQ31">
        <v>65</v>
      </c>
      <c r="CR31">
        <v>79</v>
      </c>
      <c r="CS31">
        <v>59</v>
      </c>
      <c r="CT31">
        <v>65</v>
      </c>
      <c r="CU31">
        <v>73.8</v>
      </c>
      <c r="CV31">
        <v>61</v>
      </c>
      <c r="CW31">
        <v>40</v>
      </c>
    </row>
    <row r="32" spans="1:101">
      <c r="A32" s="2" t="s">
        <v>57</v>
      </c>
      <c r="B32" s="385">
        <v>82</v>
      </c>
      <c r="C32" s="385">
        <v>63</v>
      </c>
      <c r="D32" s="385">
        <v>88</v>
      </c>
      <c r="E32" s="385">
        <v>78</v>
      </c>
      <c r="F32" s="385">
        <v>81</v>
      </c>
      <c r="G32" s="385">
        <v>85</v>
      </c>
      <c r="H32" s="385">
        <v>71</v>
      </c>
      <c r="I32" s="385">
        <v>57</v>
      </c>
      <c r="J32" s="386">
        <v>69</v>
      </c>
      <c r="K32" s="385">
        <v>84</v>
      </c>
      <c r="L32" s="385">
        <v>63</v>
      </c>
      <c r="M32" s="385">
        <v>92</v>
      </c>
      <c r="N32" s="385">
        <v>79</v>
      </c>
      <c r="O32" s="385">
        <v>79</v>
      </c>
      <c r="P32" s="385">
        <v>87</v>
      </c>
      <c r="Q32" s="385">
        <v>73</v>
      </c>
      <c r="R32" s="385">
        <v>53</v>
      </c>
      <c r="S32" s="386">
        <v>81</v>
      </c>
      <c r="T32" s="355">
        <v>84.4</v>
      </c>
      <c r="U32" s="355">
        <v>65</v>
      </c>
      <c r="V32" s="355">
        <v>94</v>
      </c>
      <c r="W32" s="355">
        <v>79</v>
      </c>
      <c r="X32" s="355">
        <v>77</v>
      </c>
      <c r="Y32" s="354">
        <v>87</v>
      </c>
      <c r="Z32" s="355">
        <v>74.5</v>
      </c>
      <c r="AA32" s="361">
        <v>57</v>
      </c>
      <c r="AB32" s="361">
        <v>76</v>
      </c>
      <c r="AC32" s="454">
        <v>85.4</v>
      </c>
      <c r="AD32" s="361">
        <v>65</v>
      </c>
      <c r="AE32" s="361">
        <v>85</v>
      </c>
      <c r="AF32" s="361">
        <v>81</v>
      </c>
      <c r="AG32" s="361">
        <v>89</v>
      </c>
      <c r="AH32" s="361">
        <v>88.3</v>
      </c>
      <c r="AI32" s="361">
        <v>75.400000000000006</v>
      </c>
      <c r="AJ32" s="361">
        <v>59</v>
      </c>
      <c r="AK32" s="460">
        <v>76</v>
      </c>
      <c r="AL32" s="361">
        <v>86</v>
      </c>
      <c r="AM32" s="361">
        <v>67</v>
      </c>
      <c r="AN32" s="361">
        <v>95</v>
      </c>
      <c r="AO32" s="361">
        <v>83</v>
      </c>
      <c r="AP32" s="361">
        <v>82</v>
      </c>
      <c r="AQ32" s="361">
        <v>88.7</v>
      </c>
      <c r="AR32" s="361">
        <v>76.900000000000006</v>
      </c>
      <c r="AS32" s="361">
        <v>62</v>
      </c>
      <c r="AT32" s="361">
        <v>75</v>
      </c>
      <c r="AU32" s="454">
        <v>85.6</v>
      </c>
      <c r="AV32" s="361">
        <v>66</v>
      </c>
      <c r="AW32" s="361">
        <v>93</v>
      </c>
      <c r="AX32" s="361">
        <v>80</v>
      </c>
      <c r="AY32" s="361">
        <v>81</v>
      </c>
      <c r="AZ32" s="361">
        <v>88.7</v>
      </c>
      <c r="BA32" s="361">
        <v>76.400000000000006</v>
      </c>
      <c r="BB32" s="361">
        <v>59</v>
      </c>
      <c r="BC32" s="460">
        <v>78</v>
      </c>
      <c r="BD32" s="355">
        <v>85.8</v>
      </c>
      <c r="BE32" s="355">
        <v>69</v>
      </c>
      <c r="BF32" s="355">
        <v>91</v>
      </c>
      <c r="BG32" s="355">
        <v>80</v>
      </c>
      <c r="BH32" s="355">
        <v>81</v>
      </c>
      <c r="BI32" s="361">
        <v>88.7</v>
      </c>
      <c r="BJ32" s="354" t="s">
        <v>47</v>
      </c>
      <c r="BK32" s="361">
        <v>76.599999999999994</v>
      </c>
      <c r="BL32" s="361">
        <v>63</v>
      </c>
      <c r="BM32" s="460">
        <v>77</v>
      </c>
      <c r="BN32" s="33">
        <v>86.4</v>
      </c>
      <c r="BO32" s="33">
        <v>68</v>
      </c>
      <c r="BP32" s="33">
        <v>90</v>
      </c>
      <c r="BQ32" s="33">
        <v>79</v>
      </c>
      <c r="BR32" s="33">
        <v>80</v>
      </c>
      <c r="BS32" s="33">
        <v>89.4</v>
      </c>
      <c r="BT32" s="33">
        <v>82</v>
      </c>
      <c r="BU32" s="33">
        <v>78</v>
      </c>
      <c r="BV32" s="33">
        <v>63</v>
      </c>
      <c r="BW32" s="33">
        <v>77</v>
      </c>
      <c r="BX32" s="33">
        <v>66</v>
      </c>
      <c r="BY32" s="462">
        <v>75</v>
      </c>
      <c r="BZ32" s="361">
        <v>86.6</v>
      </c>
      <c r="CA32" s="361">
        <v>67</v>
      </c>
      <c r="CB32" s="361">
        <v>92</v>
      </c>
      <c r="CC32" s="361">
        <v>83</v>
      </c>
      <c r="CD32" s="361">
        <v>78</v>
      </c>
      <c r="CE32" s="361">
        <v>89.6</v>
      </c>
      <c r="CF32" s="361">
        <v>83</v>
      </c>
      <c r="CG32" s="361">
        <v>77.599999999999994</v>
      </c>
      <c r="CH32" s="361">
        <v>65</v>
      </c>
      <c r="CI32" s="361">
        <v>78</v>
      </c>
      <c r="CJ32" s="361">
        <v>71</v>
      </c>
      <c r="CK32" s="460">
        <v>87</v>
      </c>
      <c r="CL32">
        <v>85.9</v>
      </c>
      <c r="CM32">
        <v>88.7</v>
      </c>
      <c r="CN32">
        <v>77</v>
      </c>
      <c r="CO32">
        <v>82</v>
      </c>
      <c r="CP32">
        <v>92</v>
      </c>
      <c r="CQ32">
        <v>68</v>
      </c>
      <c r="CR32">
        <v>75</v>
      </c>
      <c r="CS32">
        <v>75</v>
      </c>
      <c r="CT32">
        <v>75</v>
      </c>
      <c r="CU32">
        <v>75</v>
      </c>
      <c r="CV32">
        <v>75</v>
      </c>
      <c r="CW32">
        <v>75</v>
      </c>
    </row>
    <row r="33" spans="1:101">
      <c r="A33" s="2" t="s">
        <v>58</v>
      </c>
      <c r="B33" s="385">
        <v>62</v>
      </c>
      <c r="C33" s="385">
        <v>52</v>
      </c>
      <c r="D33" s="385">
        <v>74</v>
      </c>
      <c r="E33" s="385">
        <v>53</v>
      </c>
      <c r="F33" s="385">
        <v>43</v>
      </c>
      <c r="G33" s="385">
        <v>71</v>
      </c>
      <c r="H33" s="385">
        <v>53</v>
      </c>
      <c r="I33" s="385">
        <v>29</v>
      </c>
      <c r="J33" s="386">
        <v>23</v>
      </c>
      <c r="K33" s="385">
        <v>63</v>
      </c>
      <c r="L33" s="385">
        <v>54</v>
      </c>
      <c r="M33" s="385">
        <v>74</v>
      </c>
      <c r="N33" s="385">
        <v>54</v>
      </c>
      <c r="O33" s="385">
        <v>48</v>
      </c>
      <c r="P33" s="385">
        <v>72</v>
      </c>
      <c r="Q33" s="385">
        <v>58</v>
      </c>
      <c r="R33" s="385">
        <v>23</v>
      </c>
      <c r="S33" s="386">
        <v>24</v>
      </c>
      <c r="T33" s="355">
        <v>70.7</v>
      </c>
      <c r="U33" s="355">
        <v>59</v>
      </c>
      <c r="V33" s="355">
        <v>81</v>
      </c>
      <c r="W33" s="355">
        <v>64.400000000000006</v>
      </c>
      <c r="X33" s="355">
        <v>56.7</v>
      </c>
      <c r="Y33" s="355">
        <v>77.2</v>
      </c>
      <c r="Z33" s="354">
        <v>64</v>
      </c>
      <c r="AA33" s="361">
        <v>24</v>
      </c>
      <c r="AB33" s="361">
        <v>26.4</v>
      </c>
      <c r="AC33" s="454">
        <v>70</v>
      </c>
      <c r="AD33" s="361">
        <v>52</v>
      </c>
      <c r="AE33" s="361">
        <v>83</v>
      </c>
      <c r="AF33" s="361">
        <v>64.599999999999994</v>
      </c>
      <c r="AG33" s="361">
        <v>53.9</v>
      </c>
      <c r="AH33" s="361">
        <v>76.900000000000006</v>
      </c>
      <c r="AI33" s="361">
        <v>63.6</v>
      </c>
      <c r="AJ33" s="361">
        <v>29</v>
      </c>
      <c r="AK33" s="460">
        <v>27.6</v>
      </c>
      <c r="AL33" s="361">
        <v>71.3</v>
      </c>
      <c r="AM33" s="361">
        <v>58</v>
      </c>
      <c r="AN33" s="361">
        <v>82</v>
      </c>
      <c r="AO33" s="361">
        <v>66.7</v>
      </c>
      <c r="AP33" s="361">
        <v>55.5</v>
      </c>
      <c r="AQ33" s="361">
        <v>78</v>
      </c>
      <c r="AR33" s="361">
        <v>63.7</v>
      </c>
      <c r="AS33" s="361">
        <v>32</v>
      </c>
      <c r="AT33" s="361">
        <v>29</v>
      </c>
      <c r="AU33" s="454">
        <v>73.599999999999994</v>
      </c>
      <c r="AV33" s="361">
        <v>65</v>
      </c>
      <c r="AW33" s="361">
        <v>86</v>
      </c>
      <c r="AX33" s="361">
        <v>69.7</v>
      </c>
      <c r="AY33" s="361">
        <v>56.5</v>
      </c>
      <c r="AZ33" s="361">
        <v>79.900000000000006</v>
      </c>
      <c r="BA33" s="361">
        <v>66.7</v>
      </c>
      <c r="BB33" s="361">
        <v>42.6</v>
      </c>
      <c r="BC33" s="460">
        <v>29.3</v>
      </c>
      <c r="BD33" s="355">
        <v>80.900000000000006</v>
      </c>
      <c r="BE33" s="355">
        <v>74</v>
      </c>
      <c r="BF33" s="355">
        <v>91</v>
      </c>
      <c r="BG33" s="355">
        <v>79.7</v>
      </c>
      <c r="BH33" s="355">
        <v>67.7</v>
      </c>
      <c r="BI33" s="361">
        <v>84.2</v>
      </c>
      <c r="BJ33" s="355">
        <v>81</v>
      </c>
      <c r="BK33" s="361">
        <v>76.8</v>
      </c>
      <c r="BL33" s="361">
        <v>81.7</v>
      </c>
      <c r="BM33" s="460">
        <v>64.7</v>
      </c>
      <c r="BN33" s="33">
        <v>83.2</v>
      </c>
      <c r="BO33" s="33">
        <v>80</v>
      </c>
      <c r="BP33" s="33">
        <v>92</v>
      </c>
      <c r="BQ33" s="33">
        <v>82.3</v>
      </c>
      <c r="BR33" s="33">
        <v>71.5</v>
      </c>
      <c r="BS33" s="33">
        <v>86</v>
      </c>
      <c r="BT33" s="33">
        <v>83</v>
      </c>
      <c r="BU33" s="33">
        <v>80.5</v>
      </c>
      <c r="BV33" s="33">
        <v>76</v>
      </c>
      <c r="BW33" s="33">
        <v>66</v>
      </c>
      <c r="BX33" s="33">
        <v>76</v>
      </c>
      <c r="BY33" s="462">
        <v>46</v>
      </c>
      <c r="BZ33" s="361">
        <v>84.1</v>
      </c>
      <c r="CA33" s="361">
        <v>74</v>
      </c>
      <c r="CB33" s="361">
        <v>93.3</v>
      </c>
      <c r="CC33" s="361">
        <v>83</v>
      </c>
      <c r="CD33" s="361">
        <v>72.2</v>
      </c>
      <c r="CE33" s="361">
        <v>87.3</v>
      </c>
      <c r="CF33" s="361">
        <v>86</v>
      </c>
      <c r="CG33" s="361">
        <v>80.8</v>
      </c>
      <c r="CH33" s="361">
        <v>76.8</v>
      </c>
      <c r="CI33" s="361">
        <v>67.2</v>
      </c>
      <c r="CJ33" s="361">
        <v>86</v>
      </c>
      <c r="CK33" s="460">
        <v>44</v>
      </c>
      <c r="CL33">
        <v>82.6</v>
      </c>
      <c r="CM33">
        <v>86.4</v>
      </c>
      <c r="CN33">
        <v>69.5</v>
      </c>
      <c r="CO33">
        <v>81.3</v>
      </c>
      <c r="CP33">
        <v>91.8</v>
      </c>
      <c r="CQ33">
        <v>74</v>
      </c>
      <c r="CR33">
        <v>85</v>
      </c>
      <c r="CS33">
        <v>66</v>
      </c>
      <c r="CT33">
        <v>75.3</v>
      </c>
      <c r="CU33">
        <v>79.099999999999994</v>
      </c>
      <c r="CV33">
        <v>75</v>
      </c>
      <c r="CW33">
        <v>50</v>
      </c>
    </row>
    <row r="34" spans="1:101">
      <c r="A34" s="2" t="s">
        <v>59</v>
      </c>
      <c r="B34" s="385">
        <v>63</v>
      </c>
      <c r="C34" s="385">
        <v>56</v>
      </c>
      <c r="D34" s="385">
        <v>77</v>
      </c>
      <c r="E34" s="385">
        <v>59</v>
      </c>
      <c r="F34" s="385">
        <v>60</v>
      </c>
      <c r="G34" s="385">
        <v>73</v>
      </c>
      <c r="H34" s="385">
        <v>56</v>
      </c>
      <c r="I34" s="385">
        <v>56</v>
      </c>
      <c r="J34" s="386">
        <v>47</v>
      </c>
      <c r="K34" s="385">
        <v>70</v>
      </c>
      <c r="L34" s="385">
        <v>65</v>
      </c>
      <c r="M34" s="385">
        <v>84</v>
      </c>
      <c r="N34" s="385">
        <v>68</v>
      </c>
      <c r="O34" s="385">
        <v>69</v>
      </c>
      <c r="P34" s="385">
        <v>77</v>
      </c>
      <c r="Q34" s="385">
        <v>65</v>
      </c>
      <c r="R34" s="385">
        <v>66</v>
      </c>
      <c r="S34" s="386">
        <v>56</v>
      </c>
      <c r="T34" s="355">
        <v>70.3</v>
      </c>
      <c r="U34" s="355">
        <v>64.3</v>
      </c>
      <c r="V34" s="355">
        <v>86</v>
      </c>
      <c r="W34" s="355">
        <v>67.900000000000006</v>
      </c>
      <c r="X34" s="355">
        <v>69</v>
      </c>
      <c r="Y34" s="354">
        <v>77</v>
      </c>
      <c r="Z34" s="355">
        <v>64.7</v>
      </c>
      <c r="AA34" s="361">
        <v>65.400000000000006</v>
      </c>
      <c r="AB34" s="361">
        <v>60.1</v>
      </c>
      <c r="AC34" s="454">
        <v>68.5</v>
      </c>
      <c r="AD34" s="361">
        <v>61</v>
      </c>
      <c r="AE34" s="361">
        <v>84</v>
      </c>
      <c r="AF34" s="361">
        <v>66.900000000000006</v>
      </c>
      <c r="AG34" s="361">
        <v>62</v>
      </c>
      <c r="AH34" s="361">
        <v>74.7</v>
      </c>
      <c r="AI34" s="361">
        <v>62.3</v>
      </c>
      <c r="AJ34" s="361">
        <v>63.9</v>
      </c>
      <c r="AK34" s="460">
        <v>56.5</v>
      </c>
      <c r="AL34" s="361">
        <v>68.599999999999994</v>
      </c>
      <c r="AM34" s="361">
        <v>63</v>
      </c>
      <c r="AN34" s="361">
        <v>79</v>
      </c>
      <c r="AO34" s="361">
        <v>67.2</v>
      </c>
      <c r="AP34" s="361">
        <v>61</v>
      </c>
      <c r="AQ34" s="361">
        <v>73.599999999999994</v>
      </c>
      <c r="AR34" s="361">
        <v>63.5</v>
      </c>
      <c r="AS34" s="361">
        <v>64</v>
      </c>
      <c r="AT34" s="361">
        <v>59.3</v>
      </c>
      <c r="AU34" s="454">
        <v>71</v>
      </c>
      <c r="AV34" s="361">
        <v>63</v>
      </c>
      <c r="AW34" s="361">
        <v>81</v>
      </c>
      <c r="AX34" s="361">
        <v>70.7</v>
      </c>
      <c r="AY34" s="361">
        <v>61</v>
      </c>
      <c r="AZ34" s="361">
        <v>75.7</v>
      </c>
      <c r="BA34" s="361">
        <v>66.900000000000006</v>
      </c>
      <c r="BB34" s="361">
        <v>67.400000000000006</v>
      </c>
      <c r="BC34" s="460">
        <v>61.9</v>
      </c>
      <c r="BD34" s="355">
        <v>71.099999999999994</v>
      </c>
      <c r="BE34" s="355">
        <v>61</v>
      </c>
      <c r="BF34" s="355">
        <v>85</v>
      </c>
      <c r="BG34" s="355">
        <v>70.5</v>
      </c>
      <c r="BH34" s="355">
        <v>68</v>
      </c>
      <c r="BI34" s="361">
        <v>76.400000000000006</v>
      </c>
      <c r="BJ34" s="354" t="s">
        <v>47</v>
      </c>
      <c r="BK34" s="361">
        <v>66.400000000000006</v>
      </c>
      <c r="BL34" s="361">
        <v>68.099999999999994</v>
      </c>
      <c r="BM34" s="460">
        <v>61.5</v>
      </c>
      <c r="BN34" s="33">
        <v>73.900000000000006</v>
      </c>
      <c r="BO34" s="33">
        <v>66</v>
      </c>
      <c r="BP34" s="33">
        <v>86</v>
      </c>
      <c r="BQ34" s="33">
        <v>73.099999999999994</v>
      </c>
      <c r="BR34" s="33">
        <v>69</v>
      </c>
      <c r="BS34" s="33">
        <v>79.3</v>
      </c>
      <c r="BT34" s="33" t="s">
        <v>47</v>
      </c>
      <c r="BU34" s="33">
        <v>69</v>
      </c>
      <c r="BV34" s="33">
        <v>71.099999999999994</v>
      </c>
      <c r="BW34" s="33">
        <v>65.599999999999994</v>
      </c>
      <c r="BX34" s="33">
        <v>53</v>
      </c>
      <c r="BY34" s="462">
        <v>46</v>
      </c>
      <c r="BZ34" s="361">
        <v>75.099999999999994</v>
      </c>
      <c r="CA34" s="361">
        <v>70</v>
      </c>
      <c r="CB34" s="361">
        <v>86</v>
      </c>
      <c r="CC34" s="361">
        <v>74.5</v>
      </c>
      <c r="CD34" s="361">
        <v>67</v>
      </c>
      <c r="CE34" s="361">
        <v>79</v>
      </c>
      <c r="CF34" s="8" t="s">
        <v>47</v>
      </c>
      <c r="CG34" s="361">
        <v>70</v>
      </c>
      <c r="CH34" s="361">
        <v>73.3</v>
      </c>
      <c r="CI34" s="361">
        <v>64.7</v>
      </c>
      <c r="CJ34" s="361">
        <v>52</v>
      </c>
      <c r="CK34" s="460">
        <v>38</v>
      </c>
      <c r="CL34">
        <v>76.900000000000006</v>
      </c>
      <c r="CM34">
        <v>80.8</v>
      </c>
      <c r="CN34">
        <v>74</v>
      </c>
      <c r="CO34">
        <v>76.099999999999994</v>
      </c>
      <c r="CP34">
        <v>87</v>
      </c>
      <c r="CQ34">
        <v>72</v>
      </c>
      <c r="CR34" t="s">
        <v>131</v>
      </c>
      <c r="CS34">
        <v>66.400000000000006</v>
      </c>
      <c r="CT34">
        <v>75.8</v>
      </c>
      <c r="CU34">
        <v>71.8</v>
      </c>
      <c r="CV34">
        <v>59</v>
      </c>
      <c r="CW34">
        <v>39</v>
      </c>
    </row>
    <row r="35" spans="1:101">
      <c r="A35" s="2" t="s">
        <v>60</v>
      </c>
      <c r="B35" s="385">
        <v>68</v>
      </c>
      <c r="C35" s="385">
        <v>52</v>
      </c>
      <c r="D35" s="385">
        <v>78</v>
      </c>
      <c r="E35" s="385">
        <v>58</v>
      </c>
      <c r="F35" s="385">
        <v>54</v>
      </c>
      <c r="G35" s="385">
        <v>70</v>
      </c>
      <c r="H35" s="385">
        <v>61</v>
      </c>
      <c r="I35" s="385">
        <v>52</v>
      </c>
      <c r="J35" s="386">
        <v>42</v>
      </c>
      <c r="K35" s="385">
        <v>68</v>
      </c>
      <c r="L35" s="385">
        <v>51</v>
      </c>
      <c r="M35" s="385">
        <v>79</v>
      </c>
      <c r="N35" s="385">
        <v>60</v>
      </c>
      <c r="O35" s="385">
        <v>53</v>
      </c>
      <c r="P35" s="385">
        <v>71</v>
      </c>
      <c r="Q35" s="385">
        <v>61</v>
      </c>
      <c r="R35" s="385">
        <v>49</v>
      </c>
      <c r="S35" s="386">
        <v>38</v>
      </c>
      <c r="T35" s="355">
        <v>68.7</v>
      </c>
      <c r="U35" s="355">
        <v>52</v>
      </c>
      <c r="V35" s="355">
        <v>81</v>
      </c>
      <c r="W35" s="355">
        <v>60.8</v>
      </c>
      <c r="X35" s="355">
        <v>57</v>
      </c>
      <c r="Y35" s="354">
        <v>71</v>
      </c>
      <c r="Z35" s="355">
        <v>60.4</v>
      </c>
      <c r="AA35" s="361">
        <v>49.1</v>
      </c>
      <c r="AB35" s="361">
        <v>37.200000000000003</v>
      </c>
      <c r="AC35" s="454">
        <v>72</v>
      </c>
      <c r="AD35" s="361">
        <v>54</v>
      </c>
      <c r="AE35" s="361">
        <v>83</v>
      </c>
      <c r="AF35" s="361">
        <v>65</v>
      </c>
      <c r="AG35" s="361">
        <v>60</v>
      </c>
      <c r="AH35" s="361">
        <v>74.3</v>
      </c>
      <c r="AI35" s="361">
        <v>64.2</v>
      </c>
      <c r="AJ35" s="361">
        <v>52</v>
      </c>
      <c r="AK35" s="460">
        <v>51.1</v>
      </c>
      <c r="AL35" s="361">
        <v>73.8</v>
      </c>
      <c r="AM35" s="361">
        <v>55</v>
      </c>
      <c r="AN35" s="361">
        <v>84</v>
      </c>
      <c r="AO35" s="361">
        <v>67.400000000000006</v>
      </c>
      <c r="AP35" s="361">
        <v>63</v>
      </c>
      <c r="AQ35" s="361">
        <v>76</v>
      </c>
      <c r="AR35" s="361">
        <v>66.400000000000006</v>
      </c>
      <c r="AS35" s="361">
        <v>51</v>
      </c>
      <c r="AT35" s="361">
        <v>52.7</v>
      </c>
      <c r="AU35" s="454">
        <v>74.8</v>
      </c>
      <c r="AV35" s="361">
        <v>56</v>
      </c>
      <c r="AW35" s="361">
        <v>86</v>
      </c>
      <c r="AX35" s="361">
        <v>69.400000000000006</v>
      </c>
      <c r="AY35" s="361">
        <v>66</v>
      </c>
      <c r="AZ35" s="361">
        <v>76.599999999999994</v>
      </c>
      <c r="BA35" s="361">
        <v>68.099999999999994</v>
      </c>
      <c r="BB35" s="361">
        <v>53</v>
      </c>
      <c r="BC35" s="460">
        <v>55.5</v>
      </c>
      <c r="BD35" s="355">
        <v>76.7</v>
      </c>
      <c r="BE35" s="355">
        <v>59</v>
      </c>
      <c r="BF35" s="355">
        <v>86</v>
      </c>
      <c r="BG35" s="355">
        <v>72.5</v>
      </c>
      <c r="BH35" s="355">
        <v>68</v>
      </c>
      <c r="BI35" s="361">
        <v>78</v>
      </c>
      <c r="BJ35" s="355">
        <v>77</v>
      </c>
      <c r="BK35" s="361">
        <v>70.099999999999994</v>
      </c>
      <c r="BL35" s="361">
        <v>55</v>
      </c>
      <c r="BM35" s="460">
        <v>58.8</v>
      </c>
      <c r="BN35" s="33">
        <v>78.7</v>
      </c>
      <c r="BO35" s="33">
        <v>65</v>
      </c>
      <c r="BP35" s="33">
        <v>88</v>
      </c>
      <c r="BQ35" s="33">
        <v>74.599999999999994</v>
      </c>
      <c r="BR35" s="33">
        <v>68</v>
      </c>
      <c r="BS35" s="33">
        <v>80.099999999999994</v>
      </c>
      <c r="BT35" s="33">
        <v>78</v>
      </c>
      <c r="BU35" s="33">
        <v>72.400000000000006</v>
      </c>
      <c r="BV35" s="33">
        <v>56</v>
      </c>
      <c r="BW35" s="33">
        <v>60.6</v>
      </c>
      <c r="BX35" s="33">
        <v>54.1</v>
      </c>
      <c r="BY35" s="462" t="s">
        <v>47</v>
      </c>
      <c r="BZ35" s="361">
        <v>80</v>
      </c>
      <c r="CA35" s="361">
        <v>68</v>
      </c>
      <c r="CB35" s="361">
        <v>90</v>
      </c>
      <c r="CC35" s="361">
        <v>76.2</v>
      </c>
      <c r="CD35" s="361">
        <v>70</v>
      </c>
      <c r="CE35" s="361">
        <v>81.3</v>
      </c>
      <c r="CF35" s="361">
        <v>80</v>
      </c>
      <c r="CG35" s="361">
        <v>74.400000000000006</v>
      </c>
      <c r="CH35" s="361">
        <v>60</v>
      </c>
      <c r="CI35" s="361">
        <v>63.4</v>
      </c>
      <c r="CJ35" s="361">
        <v>55.4</v>
      </c>
      <c r="CK35" s="51" t="s">
        <v>47</v>
      </c>
      <c r="CL35">
        <v>82.6</v>
      </c>
      <c r="CM35">
        <v>84</v>
      </c>
      <c r="CN35">
        <v>76</v>
      </c>
      <c r="CO35">
        <v>79.5</v>
      </c>
      <c r="CP35">
        <v>90</v>
      </c>
      <c r="CQ35">
        <v>67</v>
      </c>
      <c r="CR35">
        <v>81</v>
      </c>
      <c r="CS35">
        <v>68</v>
      </c>
      <c r="CT35">
        <v>65</v>
      </c>
      <c r="CU35">
        <v>77.599999999999994</v>
      </c>
      <c r="CV35">
        <v>60.5</v>
      </c>
      <c r="CW35" s="361" t="s">
        <v>47</v>
      </c>
    </row>
    <row r="36" spans="1:101">
      <c r="A36" s="2" t="s">
        <v>61</v>
      </c>
      <c r="B36" s="385">
        <v>76</v>
      </c>
      <c r="C36" s="385">
        <v>57</v>
      </c>
      <c r="D36" s="385">
        <v>70</v>
      </c>
      <c r="E36" s="385">
        <v>57</v>
      </c>
      <c r="F36" s="385">
        <v>61</v>
      </c>
      <c r="G36" s="385">
        <v>80</v>
      </c>
      <c r="H36" s="385">
        <v>65</v>
      </c>
      <c r="I36" s="385">
        <v>45</v>
      </c>
      <c r="J36" s="386">
        <v>59</v>
      </c>
      <c r="K36" s="385">
        <v>80</v>
      </c>
      <c r="L36" s="385">
        <v>64</v>
      </c>
      <c r="M36" s="385">
        <v>78</v>
      </c>
      <c r="N36" s="385">
        <v>66</v>
      </c>
      <c r="O36" s="385">
        <v>64</v>
      </c>
      <c r="P36" s="385">
        <v>83</v>
      </c>
      <c r="Q36" s="385">
        <v>70</v>
      </c>
      <c r="R36" s="385">
        <v>51</v>
      </c>
      <c r="S36" s="386">
        <v>64</v>
      </c>
      <c r="T36" s="354">
        <v>83</v>
      </c>
      <c r="U36" s="355">
        <v>67</v>
      </c>
      <c r="V36" s="355">
        <v>80</v>
      </c>
      <c r="W36" s="355">
        <v>70.400000000000006</v>
      </c>
      <c r="X36" s="355">
        <v>70</v>
      </c>
      <c r="Y36" s="354">
        <v>86.1</v>
      </c>
      <c r="Z36" s="355">
        <v>72.900000000000006</v>
      </c>
      <c r="AA36" s="361">
        <v>60</v>
      </c>
      <c r="AB36" s="361">
        <v>67.400000000000006</v>
      </c>
      <c r="AC36" s="454">
        <v>83.9</v>
      </c>
      <c r="AD36" s="361">
        <v>66</v>
      </c>
      <c r="AE36" s="361">
        <v>85</v>
      </c>
      <c r="AF36" s="361">
        <v>72.900000000000006</v>
      </c>
      <c r="AG36" s="361">
        <v>69</v>
      </c>
      <c r="AH36" s="361">
        <v>86.6</v>
      </c>
      <c r="AI36" s="361">
        <v>73.5</v>
      </c>
      <c r="AJ36" s="361">
        <v>62</v>
      </c>
      <c r="AK36" s="460">
        <v>68.2</v>
      </c>
      <c r="AL36" s="361">
        <v>84.8</v>
      </c>
      <c r="AM36" s="361">
        <v>70</v>
      </c>
      <c r="AN36" s="361">
        <v>86</v>
      </c>
      <c r="AO36" s="361">
        <v>74.400000000000006</v>
      </c>
      <c r="AP36" s="361">
        <v>70</v>
      </c>
      <c r="AQ36" s="361">
        <v>87.4</v>
      </c>
      <c r="AR36" s="361">
        <v>76.7</v>
      </c>
      <c r="AS36" s="361">
        <v>66</v>
      </c>
      <c r="AT36" s="361">
        <v>67.900000000000006</v>
      </c>
      <c r="AU36" s="454">
        <v>85.2</v>
      </c>
      <c r="AV36" s="361">
        <v>71</v>
      </c>
      <c r="AW36" s="361">
        <v>87</v>
      </c>
      <c r="AX36" s="361">
        <v>75.099999999999994</v>
      </c>
      <c r="AY36" s="361">
        <v>74</v>
      </c>
      <c r="AZ36" s="361">
        <v>87.9</v>
      </c>
      <c r="BA36" s="361">
        <v>75.599999999999994</v>
      </c>
      <c r="BB36" s="361">
        <v>66</v>
      </c>
      <c r="BC36" s="460">
        <v>70.2</v>
      </c>
      <c r="BD36" s="355">
        <v>86</v>
      </c>
      <c r="BE36" s="355">
        <v>74</v>
      </c>
      <c r="BF36" s="355">
        <v>87</v>
      </c>
      <c r="BG36" s="361">
        <v>77.3</v>
      </c>
      <c r="BH36" s="361">
        <v>73</v>
      </c>
      <c r="BI36" s="361">
        <v>88.3</v>
      </c>
      <c r="BJ36" s="355">
        <v>87</v>
      </c>
      <c r="BK36" s="361">
        <v>76.599999999999994</v>
      </c>
      <c r="BL36" s="361">
        <v>67</v>
      </c>
      <c r="BM36" s="460">
        <v>69.400000000000006</v>
      </c>
      <c r="BN36" s="33">
        <v>87</v>
      </c>
      <c r="BO36" s="33">
        <v>77</v>
      </c>
      <c r="BP36" s="33">
        <v>89</v>
      </c>
      <c r="BQ36" s="33">
        <v>78.099999999999994</v>
      </c>
      <c r="BR36" s="33">
        <v>76</v>
      </c>
      <c r="BS36" s="33">
        <v>89.3</v>
      </c>
      <c r="BT36" s="33">
        <v>87</v>
      </c>
      <c r="BU36" s="33">
        <v>77.400000000000006</v>
      </c>
      <c r="BV36" s="33">
        <v>70</v>
      </c>
      <c r="BW36" s="33">
        <v>70</v>
      </c>
      <c r="BX36" s="33" t="s">
        <v>47</v>
      </c>
      <c r="BY36" s="462" t="s">
        <v>47</v>
      </c>
      <c r="BZ36" s="361">
        <v>87.4</v>
      </c>
      <c r="CA36" s="361">
        <v>79</v>
      </c>
      <c r="CB36" s="361">
        <v>88</v>
      </c>
      <c r="CC36" s="361">
        <v>79.5</v>
      </c>
      <c r="CD36" s="361">
        <v>75</v>
      </c>
      <c r="CE36" s="361">
        <v>89.7</v>
      </c>
      <c r="CF36" s="361">
        <v>87</v>
      </c>
      <c r="CG36" s="361">
        <v>77.3</v>
      </c>
      <c r="CH36" s="361">
        <v>73</v>
      </c>
      <c r="CI36" s="361">
        <v>72.400000000000006</v>
      </c>
      <c r="CJ36" s="516" t="s">
        <v>47</v>
      </c>
      <c r="CK36" s="522" t="s">
        <v>47</v>
      </c>
      <c r="CL36">
        <v>88.2</v>
      </c>
      <c r="CM36">
        <v>90.7</v>
      </c>
      <c r="CN36">
        <v>79</v>
      </c>
      <c r="CO36">
        <v>80.2</v>
      </c>
      <c r="CP36">
        <v>87</v>
      </c>
      <c r="CQ36">
        <v>73</v>
      </c>
      <c r="CR36">
        <v>88</v>
      </c>
      <c r="CS36">
        <v>73.3</v>
      </c>
      <c r="CT36">
        <v>73</v>
      </c>
      <c r="CU36">
        <v>78.400000000000006</v>
      </c>
      <c r="CV36" s="361" t="s">
        <v>47</v>
      </c>
      <c r="CW36" s="361" t="s">
        <v>47</v>
      </c>
    </row>
    <row r="37" spans="1:101">
      <c r="A37" s="2" t="s">
        <v>62</v>
      </c>
      <c r="B37" s="385">
        <v>76</v>
      </c>
      <c r="C37" s="385">
        <v>57</v>
      </c>
      <c r="D37" s="385">
        <v>81</v>
      </c>
      <c r="E37" s="385">
        <v>63</v>
      </c>
      <c r="F37" s="385">
        <v>65</v>
      </c>
      <c r="G37" s="385">
        <v>79</v>
      </c>
      <c r="H37" s="385">
        <v>66</v>
      </c>
      <c r="I37" s="385">
        <v>51</v>
      </c>
      <c r="J37" s="386">
        <v>56</v>
      </c>
      <c r="K37" s="385">
        <v>77</v>
      </c>
      <c r="L37" s="385">
        <v>59</v>
      </c>
      <c r="M37" s="385">
        <v>82</v>
      </c>
      <c r="N37" s="385">
        <v>67</v>
      </c>
      <c r="O37" s="385">
        <v>67</v>
      </c>
      <c r="P37" s="385">
        <v>80</v>
      </c>
      <c r="Q37" s="385">
        <v>66</v>
      </c>
      <c r="R37" s="385">
        <v>54</v>
      </c>
      <c r="S37" s="386">
        <v>58</v>
      </c>
      <c r="T37" s="355">
        <v>76.400000000000006</v>
      </c>
      <c r="U37" s="355">
        <v>56</v>
      </c>
      <c r="V37" s="355">
        <v>82.3</v>
      </c>
      <c r="W37" s="355">
        <v>65.900000000000006</v>
      </c>
      <c r="X37" s="355">
        <v>65.8</v>
      </c>
      <c r="Y37" s="354">
        <v>79.7</v>
      </c>
      <c r="Z37" s="354">
        <v>65</v>
      </c>
      <c r="AA37" s="361">
        <v>50.6</v>
      </c>
      <c r="AB37" s="361">
        <v>54.6</v>
      </c>
      <c r="AC37" s="454">
        <v>78.2</v>
      </c>
      <c r="AD37" s="361">
        <v>57</v>
      </c>
      <c r="AE37" s="361">
        <v>84.4</v>
      </c>
      <c r="AF37" s="361">
        <v>67.5</v>
      </c>
      <c r="AG37" s="361">
        <v>68</v>
      </c>
      <c r="AH37" s="361">
        <v>80.900000000000006</v>
      </c>
      <c r="AI37" s="361">
        <v>66.8</v>
      </c>
      <c r="AJ37" s="361">
        <v>53.8</v>
      </c>
      <c r="AK37" s="460">
        <v>55.8</v>
      </c>
      <c r="AL37" s="361">
        <v>78.2</v>
      </c>
      <c r="AM37" s="361">
        <v>60</v>
      </c>
      <c r="AN37" s="361">
        <v>85.5</v>
      </c>
      <c r="AO37" s="361">
        <v>69.599999999999994</v>
      </c>
      <c r="AP37" s="361">
        <v>68.8</v>
      </c>
      <c r="AQ37" s="361">
        <v>80.900000000000006</v>
      </c>
      <c r="AR37" s="361">
        <v>68.099999999999994</v>
      </c>
      <c r="AS37" s="361">
        <v>55.8</v>
      </c>
      <c r="AT37" s="361">
        <v>58</v>
      </c>
      <c r="AU37" s="454">
        <v>79.7</v>
      </c>
      <c r="AV37" s="361">
        <v>63</v>
      </c>
      <c r="AW37" s="361">
        <v>86.6</v>
      </c>
      <c r="AX37" s="361">
        <v>72.8</v>
      </c>
      <c r="AY37" s="361">
        <v>71.3</v>
      </c>
      <c r="AZ37" s="361">
        <v>82.2</v>
      </c>
      <c r="BA37" s="361">
        <v>70.2</v>
      </c>
      <c r="BB37" s="361">
        <v>57.8</v>
      </c>
      <c r="BC37" s="460">
        <v>58.7</v>
      </c>
      <c r="BD37" s="355">
        <v>79.400000000000006</v>
      </c>
      <c r="BE37" s="355">
        <v>62</v>
      </c>
      <c r="BF37" s="355">
        <v>85.3</v>
      </c>
      <c r="BG37" s="361">
        <v>72.7</v>
      </c>
      <c r="BH37" s="361">
        <v>71.5</v>
      </c>
      <c r="BI37" s="361">
        <v>81.900000000000006</v>
      </c>
      <c r="BJ37" s="355">
        <v>79.7</v>
      </c>
      <c r="BK37" s="361">
        <v>70</v>
      </c>
      <c r="BL37" s="361">
        <v>57.8</v>
      </c>
      <c r="BM37" s="460">
        <v>59.4</v>
      </c>
      <c r="BN37" s="33">
        <v>86.7</v>
      </c>
      <c r="BO37" s="33">
        <v>71</v>
      </c>
      <c r="BP37" s="33">
        <v>91.6</v>
      </c>
      <c r="BQ37" s="33">
        <v>83.2</v>
      </c>
      <c r="BR37" s="33">
        <v>80.099999999999994</v>
      </c>
      <c r="BS37" s="33">
        <v>88</v>
      </c>
      <c r="BT37" s="33">
        <v>86.7</v>
      </c>
      <c r="BU37" s="33">
        <v>79.900000000000006</v>
      </c>
      <c r="BV37" s="33">
        <v>75.7</v>
      </c>
      <c r="BW37" s="33">
        <v>69.900000000000006</v>
      </c>
      <c r="BX37" s="33">
        <v>64.5</v>
      </c>
      <c r="BY37" s="462">
        <v>70</v>
      </c>
      <c r="BZ37" s="361">
        <v>81.099999999999994</v>
      </c>
      <c r="CA37" s="361">
        <v>62</v>
      </c>
      <c r="CB37" s="361">
        <v>88.6</v>
      </c>
      <c r="CC37" s="361">
        <v>75.7</v>
      </c>
      <c r="CD37" s="361">
        <v>73.7</v>
      </c>
      <c r="CE37" s="361">
        <v>82.9</v>
      </c>
      <c r="CF37" s="361">
        <v>81.3</v>
      </c>
      <c r="CG37" s="361">
        <v>72.3</v>
      </c>
      <c r="CH37" s="361">
        <v>62.6</v>
      </c>
      <c r="CI37" s="361">
        <v>62.2</v>
      </c>
      <c r="CJ37" s="361">
        <v>55.8</v>
      </c>
      <c r="CK37" s="460">
        <v>46</v>
      </c>
      <c r="CL37">
        <v>83</v>
      </c>
      <c r="CM37">
        <v>84.8</v>
      </c>
      <c r="CN37">
        <v>76.400000000000006</v>
      </c>
      <c r="CO37">
        <v>77.8</v>
      </c>
      <c r="CP37">
        <v>89.4</v>
      </c>
      <c r="CQ37">
        <v>70</v>
      </c>
      <c r="CR37">
        <v>84</v>
      </c>
      <c r="CS37">
        <v>64.5</v>
      </c>
      <c r="CT37">
        <v>68.5</v>
      </c>
      <c r="CU37">
        <v>75.2</v>
      </c>
      <c r="CV37">
        <v>69.400000000000006</v>
      </c>
      <c r="CW37">
        <v>50</v>
      </c>
    </row>
    <row r="38" spans="1:101">
      <c r="A38" s="6" t="s">
        <v>63</v>
      </c>
      <c r="B38" s="387">
        <v>80</v>
      </c>
      <c r="C38" s="387">
        <v>51</v>
      </c>
      <c r="D38" s="387">
        <v>87</v>
      </c>
      <c r="E38" s="387">
        <v>74</v>
      </c>
      <c r="F38" s="387">
        <v>58</v>
      </c>
      <c r="G38" s="387">
        <v>82</v>
      </c>
      <c r="H38" s="387">
        <v>66</v>
      </c>
      <c r="I38" s="387">
        <v>62</v>
      </c>
      <c r="J38" s="388">
        <v>57</v>
      </c>
      <c r="K38" s="387">
        <v>79</v>
      </c>
      <c r="L38" s="387">
        <v>50</v>
      </c>
      <c r="M38" s="387">
        <v>86</v>
      </c>
      <c r="N38" s="387">
        <v>67</v>
      </c>
      <c r="O38" s="387">
        <v>66</v>
      </c>
      <c r="P38" s="387">
        <v>82</v>
      </c>
      <c r="Q38" s="387">
        <v>65</v>
      </c>
      <c r="R38" s="387">
        <v>56</v>
      </c>
      <c r="S38" s="388">
        <v>59</v>
      </c>
      <c r="T38" s="362">
        <v>77</v>
      </c>
      <c r="U38" s="357">
        <v>41</v>
      </c>
      <c r="V38" s="357">
        <v>86</v>
      </c>
      <c r="W38" s="357">
        <v>71</v>
      </c>
      <c r="X38" s="357">
        <v>66</v>
      </c>
      <c r="Y38" s="362">
        <v>80</v>
      </c>
      <c r="Z38" s="357">
        <v>64</v>
      </c>
      <c r="AA38" s="363">
        <v>68</v>
      </c>
      <c r="AB38" s="363">
        <v>59</v>
      </c>
      <c r="AC38" s="455">
        <v>78.599999999999994</v>
      </c>
      <c r="AD38" s="363">
        <v>47</v>
      </c>
      <c r="AE38" s="363">
        <v>85</v>
      </c>
      <c r="AF38" s="363">
        <v>72</v>
      </c>
      <c r="AG38" s="363">
        <v>69</v>
      </c>
      <c r="AH38" s="363">
        <v>80.900000000000006</v>
      </c>
      <c r="AI38" s="363">
        <v>65</v>
      </c>
      <c r="AJ38" s="363">
        <v>65</v>
      </c>
      <c r="AK38" s="422">
        <v>62</v>
      </c>
      <c r="AL38" s="361">
        <v>79.3</v>
      </c>
      <c r="AM38" s="361">
        <v>45</v>
      </c>
      <c r="AN38" s="361">
        <v>88</v>
      </c>
      <c r="AO38" s="361">
        <v>72</v>
      </c>
      <c r="AP38" s="361">
        <v>68</v>
      </c>
      <c r="AQ38" s="361">
        <v>81.8</v>
      </c>
      <c r="AR38" s="361">
        <v>66</v>
      </c>
      <c r="AS38" s="361">
        <v>64</v>
      </c>
      <c r="AT38" s="363">
        <v>59</v>
      </c>
      <c r="AU38" s="454">
        <v>80</v>
      </c>
      <c r="AV38" s="361">
        <v>53</v>
      </c>
      <c r="AW38" s="361">
        <v>84</v>
      </c>
      <c r="AX38" s="361">
        <v>74</v>
      </c>
      <c r="AY38" s="361">
        <v>81</v>
      </c>
      <c r="AZ38" s="361">
        <v>82</v>
      </c>
      <c r="BA38" s="361">
        <v>69.099999999999994</v>
      </c>
      <c r="BB38" s="361">
        <v>70</v>
      </c>
      <c r="BC38" s="422">
        <v>65</v>
      </c>
      <c r="BD38" s="473">
        <v>86.2</v>
      </c>
      <c r="BE38" s="357">
        <v>59</v>
      </c>
      <c r="BF38" s="357">
        <v>84</v>
      </c>
      <c r="BG38" s="363">
        <v>80</v>
      </c>
      <c r="BH38" s="363">
        <v>83</v>
      </c>
      <c r="BI38" s="363">
        <v>87.5</v>
      </c>
      <c r="BJ38" s="357">
        <v>79</v>
      </c>
      <c r="BK38" s="363">
        <v>65</v>
      </c>
      <c r="BL38" s="363">
        <v>77</v>
      </c>
      <c r="BM38" s="422">
        <v>68</v>
      </c>
      <c r="BN38" s="33">
        <v>81.7</v>
      </c>
      <c r="BO38" s="33">
        <v>59</v>
      </c>
      <c r="BP38" s="33">
        <v>86</v>
      </c>
      <c r="BQ38" s="33">
        <v>75</v>
      </c>
      <c r="BR38" s="33">
        <v>77</v>
      </c>
      <c r="BS38" s="33">
        <v>83.8</v>
      </c>
      <c r="BT38" s="33">
        <v>78</v>
      </c>
      <c r="BU38" s="33">
        <v>70</v>
      </c>
      <c r="BV38" s="33">
        <v>61</v>
      </c>
      <c r="BW38" s="33">
        <v>63</v>
      </c>
      <c r="BX38" s="33">
        <v>62</v>
      </c>
      <c r="BY38" s="462" t="s">
        <v>47</v>
      </c>
      <c r="BZ38" s="361">
        <v>82.1</v>
      </c>
      <c r="CA38" s="361">
        <v>59</v>
      </c>
      <c r="CB38" s="361">
        <v>87</v>
      </c>
      <c r="CC38" s="361">
        <v>77</v>
      </c>
      <c r="CD38" s="361">
        <v>78</v>
      </c>
      <c r="CE38" s="361">
        <v>83.8</v>
      </c>
      <c r="CF38" s="361">
        <v>82</v>
      </c>
      <c r="CG38" s="361">
        <v>71.900000000000006</v>
      </c>
      <c r="CH38" s="361">
        <v>67</v>
      </c>
      <c r="CI38" s="361">
        <v>59</v>
      </c>
      <c r="CJ38" s="361">
        <v>65</v>
      </c>
      <c r="CK38" s="51" t="s">
        <v>47</v>
      </c>
      <c r="CL38">
        <v>82.3</v>
      </c>
      <c r="CM38">
        <v>84.1</v>
      </c>
      <c r="CN38">
        <v>66</v>
      </c>
      <c r="CO38">
        <v>78</v>
      </c>
      <c r="CP38">
        <v>86</v>
      </c>
      <c r="CQ38">
        <v>62</v>
      </c>
      <c r="CR38">
        <v>80</v>
      </c>
      <c r="CS38">
        <v>63</v>
      </c>
      <c r="CT38">
        <v>60</v>
      </c>
      <c r="CU38">
        <v>71.599999999999994</v>
      </c>
      <c r="CV38">
        <v>64</v>
      </c>
      <c r="CW38" s="361" t="s">
        <v>47</v>
      </c>
    </row>
    <row r="39" spans="1:101">
      <c r="A39" s="3" t="s">
        <v>142</v>
      </c>
      <c r="B39" s="373">
        <f>MEDIAN(B41:B52)</f>
        <v>83.5</v>
      </c>
      <c r="C39" s="373">
        <f t="shared" ref="C39:J39" si="8">MEDIAN(C41:C52)</f>
        <v>71.5</v>
      </c>
      <c r="D39" s="373">
        <f t="shared" si="8"/>
        <v>88</v>
      </c>
      <c r="E39" s="373">
        <f t="shared" si="8"/>
        <v>73.5</v>
      </c>
      <c r="F39" s="373">
        <f t="shared" si="8"/>
        <v>68.5</v>
      </c>
      <c r="G39" s="373">
        <f t="shared" si="8"/>
        <v>88.5</v>
      </c>
      <c r="H39" s="373">
        <f t="shared" si="8"/>
        <v>74.5</v>
      </c>
      <c r="I39" s="373">
        <f t="shared" si="8"/>
        <v>61.5</v>
      </c>
      <c r="J39" s="373">
        <f t="shared" si="8"/>
        <v>67</v>
      </c>
      <c r="K39" s="373">
        <f>MEDIAN(K41:K52)</f>
        <v>85.5</v>
      </c>
      <c r="L39" s="373">
        <f t="shared" ref="L39:S39" si="9">MEDIAN(L41:L52)</f>
        <v>70</v>
      </c>
      <c r="M39" s="373">
        <f t="shared" si="9"/>
        <v>88</v>
      </c>
      <c r="N39" s="373">
        <f t="shared" si="9"/>
        <v>75</v>
      </c>
      <c r="O39" s="373">
        <f t="shared" si="9"/>
        <v>70.5</v>
      </c>
      <c r="P39" s="373">
        <f t="shared" si="9"/>
        <v>89</v>
      </c>
      <c r="Q39" s="373">
        <f t="shared" si="9"/>
        <v>74.5</v>
      </c>
      <c r="R39" s="373">
        <f t="shared" si="9"/>
        <v>66</v>
      </c>
      <c r="S39" s="373">
        <f t="shared" si="9"/>
        <v>69</v>
      </c>
      <c r="T39" s="373">
        <f>MEDIAN(T41:T52)</f>
        <v>85.7</v>
      </c>
      <c r="U39" s="373">
        <f t="shared" ref="U39:BM39" si="10">MEDIAN(U41:U52)</f>
        <v>74</v>
      </c>
      <c r="V39" s="373">
        <f t="shared" si="10"/>
        <v>89</v>
      </c>
      <c r="W39" s="373">
        <f t="shared" si="10"/>
        <v>77.150000000000006</v>
      </c>
      <c r="X39" s="373">
        <f t="shared" si="10"/>
        <v>72.05</v>
      </c>
      <c r="Y39" s="373">
        <f t="shared" si="10"/>
        <v>89.199999999999989</v>
      </c>
      <c r="Z39" s="373">
        <f t="shared" si="10"/>
        <v>74.8</v>
      </c>
      <c r="AA39" s="373">
        <f t="shared" si="10"/>
        <v>64.550000000000011</v>
      </c>
      <c r="AB39" s="373">
        <f t="shared" si="10"/>
        <v>69.650000000000006</v>
      </c>
      <c r="AC39" s="453">
        <f t="shared" si="10"/>
        <v>86.6</v>
      </c>
      <c r="AD39" s="408">
        <f t="shared" si="10"/>
        <v>75</v>
      </c>
      <c r="AE39" s="408">
        <f t="shared" si="10"/>
        <v>88.85</v>
      </c>
      <c r="AF39" s="408">
        <f t="shared" si="10"/>
        <v>78.400000000000006</v>
      </c>
      <c r="AG39" s="408">
        <f t="shared" si="10"/>
        <v>74.900000000000006</v>
      </c>
      <c r="AH39" s="408">
        <f t="shared" si="10"/>
        <v>90.15</v>
      </c>
      <c r="AI39" s="408">
        <f t="shared" si="10"/>
        <v>77.400000000000006</v>
      </c>
      <c r="AJ39" s="408">
        <f t="shared" si="10"/>
        <v>65</v>
      </c>
      <c r="AK39" s="459">
        <f t="shared" si="10"/>
        <v>70.900000000000006</v>
      </c>
      <c r="AL39" s="415">
        <f t="shared" si="10"/>
        <v>86.15</v>
      </c>
      <c r="AM39" s="415">
        <f t="shared" si="10"/>
        <v>77</v>
      </c>
      <c r="AN39" s="415">
        <f t="shared" si="10"/>
        <v>89.15</v>
      </c>
      <c r="AO39" s="415">
        <f t="shared" si="10"/>
        <v>77.849999999999994</v>
      </c>
      <c r="AP39" s="415">
        <f t="shared" si="10"/>
        <v>74.95</v>
      </c>
      <c r="AQ39" s="415">
        <f t="shared" si="10"/>
        <v>89.9</v>
      </c>
      <c r="AR39" s="415">
        <f t="shared" si="10"/>
        <v>77.3</v>
      </c>
      <c r="AS39" s="415">
        <f t="shared" si="10"/>
        <v>67.05</v>
      </c>
      <c r="AT39" s="408">
        <f t="shared" si="10"/>
        <v>69.25</v>
      </c>
      <c r="AU39" s="415">
        <f t="shared" si="10"/>
        <v>86.25</v>
      </c>
      <c r="AV39" s="415">
        <f t="shared" si="10"/>
        <v>73.5</v>
      </c>
      <c r="AW39" s="415">
        <f t="shared" si="10"/>
        <v>89</v>
      </c>
      <c r="AX39" s="415">
        <f t="shared" si="10"/>
        <v>79.550000000000011</v>
      </c>
      <c r="AY39" s="415">
        <f t="shared" si="10"/>
        <v>75.75</v>
      </c>
      <c r="AZ39" s="415">
        <f t="shared" si="10"/>
        <v>89.95</v>
      </c>
      <c r="BA39" s="415">
        <f t="shared" si="10"/>
        <v>77.050000000000011</v>
      </c>
      <c r="BB39" s="415">
        <f t="shared" si="10"/>
        <v>68.5</v>
      </c>
      <c r="BC39" s="475">
        <f t="shared" si="10"/>
        <v>69.8</v>
      </c>
      <c r="BD39" s="354">
        <f t="shared" si="10"/>
        <v>86.75</v>
      </c>
      <c r="BE39" s="354">
        <f t="shared" si="10"/>
        <v>76</v>
      </c>
      <c r="BF39" s="354">
        <f t="shared" si="10"/>
        <v>89.25</v>
      </c>
      <c r="BG39" s="354">
        <f t="shared" si="10"/>
        <v>78.150000000000006</v>
      </c>
      <c r="BH39" s="354">
        <f t="shared" si="10"/>
        <v>75.45</v>
      </c>
      <c r="BI39" s="8">
        <f t="shared" si="10"/>
        <v>90</v>
      </c>
      <c r="BJ39" s="354">
        <f t="shared" si="10"/>
        <v>84</v>
      </c>
      <c r="BK39" s="8">
        <f t="shared" si="10"/>
        <v>78</v>
      </c>
      <c r="BL39" s="8">
        <f t="shared" si="10"/>
        <v>66</v>
      </c>
      <c r="BM39" s="477">
        <f t="shared" si="10"/>
        <v>70.7</v>
      </c>
      <c r="BN39" s="353">
        <f>MEDIAN(BN41:BN52)</f>
        <v>87.65</v>
      </c>
      <c r="BO39" s="353">
        <f t="shared" ref="BO39:CW39" si="11">MEDIAN(BO41:BO52)</f>
        <v>74</v>
      </c>
      <c r="BP39" s="353">
        <f t="shared" si="11"/>
        <v>91</v>
      </c>
      <c r="BQ39" s="353">
        <f t="shared" si="11"/>
        <v>81.099999999999994</v>
      </c>
      <c r="BR39" s="353">
        <f t="shared" si="11"/>
        <v>76.8</v>
      </c>
      <c r="BS39" s="353">
        <f t="shared" si="11"/>
        <v>90.55</v>
      </c>
      <c r="BT39" s="353">
        <f t="shared" si="11"/>
        <v>85</v>
      </c>
      <c r="BU39" s="353">
        <f t="shared" si="11"/>
        <v>79.349999999999994</v>
      </c>
      <c r="BV39" s="353">
        <f t="shared" si="11"/>
        <v>70.5</v>
      </c>
      <c r="BW39" s="353">
        <f t="shared" si="11"/>
        <v>69</v>
      </c>
      <c r="BX39" s="353">
        <f t="shared" si="11"/>
        <v>63.9</v>
      </c>
      <c r="BY39" s="353">
        <f t="shared" si="11"/>
        <v>61</v>
      </c>
      <c r="BZ39" s="353">
        <f>MEDIAN(BZ41:BZ52)</f>
        <v>87.2</v>
      </c>
      <c r="CA39" s="353">
        <f t="shared" si="11"/>
        <v>74</v>
      </c>
      <c r="CB39" s="353">
        <f t="shared" si="11"/>
        <v>91.15</v>
      </c>
      <c r="CC39" s="353">
        <f t="shared" si="11"/>
        <v>81.349999999999994</v>
      </c>
      <c r="CD39" s="353">
        <f t="shared" si="11"/>
        <v>77.599999999999994</v>
      </c>
      <c r="CE39" s="353">
        <f t="shared" si="11"/>
        <v>90.25</v>
      </c>
      <c r="CF39" s="353">
        <f t="shared" si="11"/>
        <v>82.9</v>
      </c>
      <c r="CG39" s="353">
        <f t="shared" si="11"/>
        <v>79.25</v>
      </c>
      <c r="CH39" s="353">
        <f t="shared" si="11"/>
        <v>73</v>
      </c>
      <c r="CI39" s="353">
        <f t="shared" si="11"/>
        <v>70.650000000000006</v>
      </c>
      <c r="CJ39" s="353">
        <f t="shared" si="11"/>
        <v>63.5</v>
      </c>
      <c r="CK39" s="353">
        <f t="shared" si="11"/>
        <v>54</v>
      </c>
      <c r="CL39" s="353">
        <f t="shared" si="11"/>
        <v>88.2</v>
      </c>
      <c r="CM39" s="353">
        <f t="shared" si="11"/>
        <v>92.2</v>
      </c>
      <c r="CN39" s="353">
        <f t="shared" si="11"/>
        <v>78.8</v>
      </c>
      <c r="CO39" s="353">
        <f t="shared" si="11"/>
        <v>78</v>
      </c>
      <c r="CP39" s="353">
        <f t="shared" si="11"/>
        <v>92</v>
      </c>
      <c r="CQ39" s="353">
        <f t="shared" si="11"/>
        <v>78</v>
      </c>
      <c r="CR39" s="353">
        <f t="shared" si="11"/>
        <v>85</v>
      </c>
      <c r="CS39" s="353">
        <f t="shared" si="11"/>
        <v>69.7</v>
      </c>
      <c r="CT39" s="353">
        <f t="shared" si="11"/>
        <v>73.7</v>
      </c>
      <c r="CU39" s="353">
        <f t="shared" si="11"/>
        <v>79.7</v>
      </c>
      <c r="CV39" s="353">
        <f t="shared" si="11"/>
        <v>65</v>
      </c>
      <c r="CW39" s="353">
        <f t="shared" si="11"/>
        <v>61</v>
      </c>
    </row>
    <row r="40" spans="1:101" ht="14.45">
      <c r="A40" s="3" t="s">
        <v>129</v>
      </c>
      <c r="B40" s="380"/>
      <c r="C40" s="380"/>
      <c r="D40" s="380"/>
      <c r="E40" s="380"/>
      <c r="F40" s="380"/>
      <c r="G40" s="380"/>
      <c r="H40" s="380"/>
      <c r="I40" s="380"/>
      <c r="J40" s="372"/>
      <c r="K40" s="380"/>
      <c r="L40" s="380"/>
      <c r="M40" s="380"/>
      <c r="N40" s="380"/>
      <c r="O40" s="380"/>
      <c r="P40" s="380"/>
      <c r="Q40" s="380"/>
      <c r="R40" s="380"/>
      <c r="S40" s="372"/>
      <c r="AC40" s="457"/>
      <c r="AD40" s="33"/>
      <c r="AE40" s="33"/>
      <c r="AF40" s="33"/>
      <c r="AG40" s="33"/>
      <c r="AH40" s="33"/>
      <c r="AI40" s="33"/>
      <c r="AJ40" s="33"/>
      <c r="AK40" s="462"/>
      <c r="AL40" s="33"/>
      <c r="AM40" s="33"/>
      <c r="AN40" s="33"/>
      <c r="AO40" s="33"/>
      <c r="AP40" s="33"/>
      <c r="AQ40" s="33"/>
      <c r="AR40" s="33"/>
      <c r="AS40" s="33"/>
      <c r="AT40" s="33"/>
      <c r="AU40" s="457"/>
      <c r="AV40" s="33"/>
      <c r="AW40" s="33"/>
      <c r="AX40" s="33"/>
      <c r="AY40" s="33"/>
      <c r="AZ40" s="33"/>
      <c r="BA40" s="33"/>
      <c r="BB40" s="33"/>
      <c r="BC40" s="462"/>
      <c r="BD40" s="354"/>
      <c r="BE40" s="354"/>
      <c r="BF40" s="354"/>
      <c r="BG40" s="354"/>
      <c r="BH40" s="354"/>
      <c r="BI40" s="8"/>
      <c r="BJ40" s="354"/>
      <c r="BK40" s="8"/>
      <c r="BM40" s="51"/>
      <c r="BN40" s="33"/>
      <c r="BO40" s="33"/>
      <c r="BP40" s="33"/>
      <c r="BQ40" s="33"/>
      <c r="BR40" s="33"/>
      <c r="BS40" s="33"/>
      <c r="BT40" s="33"/>
      <c r="BU40" s="33"/>
      <c r="BV40" s="33"/>
      <c r="BW40" s="33"/>
      <c r="BX40" s="33"/>
      <c r="BY40" s="462"/>
      <c r="BZ40" s="33"/>
    </row>
    <row r="41" spans="1:101">
      <c r="A41" s="2" t="s">
        <v>65</v>
      </c>
      <c r="B41" s="385">
        <v>84</v>
      </c>
      <c r="C41" s="385">
        <v>78</v>
      </c>
      <c r="D41" s="385">
        <v>92</v>
      </c>
      <c r="E41" s="385">
        <v>77</v>
      </c>
      <c r="F41" s="385">
        <v>74</v>
      </c>
      <c r="G41" s="385">
        <v>89</v>
      </c>
      <c r="H41" s="385">
        <v>75</v>
      </c>
      <c r="I41" s="385">
        <v>68</v>
      </c>
      <c r="J41" s="386">
        <v>66</v>
      </c>
      <c r="K41" s="385">
        <v>82</v>
      </c>
      <c r="L41" s="385">
        <v>79</v>
      </c>
      <c r="M41" s="385">
        <v>93</v>
      </c>
      <c r="N41" s="385">
        <v>76</v>
      </c>
      <c r="O41" s="385">
        <v>68</v>
      </c>
      <c r="P41" s="385">
        <v>89</v>
      </c>
      <c r="Q41" s="385">
        <v>73</v>
      </c>
      <c r="R41" s="385">
        <v>66</v>
      </c>
      <c r="S41" s="386">
        <v>69</v>
      </c>
      <c r="T41" s="355">
        <v>83.2</v>
      </c>
      <c r="U41" s="355">
        <v>78</v>
      </c>
      <c r="V41" s="355">
        <v>91.7</v>
      </c>
      <c r="W41" s="355">
        <v>76.3</v>
      </c>
      <c r="X41" s="355">
        <v>70.900000000000006</v>
      </c>
      <c r="Y41" s="355">
        <v>89.3</v>
      </c>
      <c r="Z41" s="354">
        <v>73</v>
      </c>
      <c r="AA41" s="361">
        <v>63.7</v>
      </c>
      <c r="AB41" s="361">
        <v>70.099999999999994</v>
      </c>
      <c r="AC41" s="454">
        <v>86</v>
      </c>
      <c r="AD41" s="361">
        <v>82</v>
      </c>
      <c r="AE41" s="361">
        <v>94.1</v>
      </c>
      <c r="AF41" s="361">
        <v>81.3</v>
      </c>
      <c r="AG41" s="361">
        <v>77.2</v>
      </c>
      <c r="AH41" s="361">
        <v>90.1</v>
      </c>
      <c r="AI41" s="361">
        <v>78.5</v>
      </c>
      <c r="AJ41" s="361">
        <v>71.7</v>
      </c>
      <c r="AK41" s="460">
        <v>71.8</v>
      </c>
      <c r="AL41" s="361">
        <v>85.6</v>
      </c>
      <c r="AM41" s="361">
        <v>79</v>
      </c>
      <c r="AN41" s="361">
        <v>93.8</v>
      </c>
      <c r="AO41" s="361">
        <v>80.7</v>
      </c>
      <c r="AP41" s="361">
        <v>75.5</v>
      </c>
      <c r="AQ41" s="361">
        <v>90.2</v>
      </c>
      <c r="AR41" s="361">
        <v>77.900000000000006</v>
      </c>
      <c r="AS41" s="361">
        <v>72</v>
      </c>
      <c r="AT41" s="361">
        <v>70.5</v>
      </c>
      <c r="AU41" s="454">
        <v>85.5</v>
      </c>
      <c r="AV41" s="361">
        <v>79</v>
      </c>
      <c r="AW41" s="361">
        <v>93.5</v>
      </c>
      <c r="AX41" s="361">
        <v>81.3</v>
      </c>
      <c r="AY41" s="361">
        <v>74.5</v>
      </c>
      <c r="AZ41" s="361">
        <v>90.4</v>
      </c>
      <c r="BA41" s="361">
        <v>76.7</v>
      </c>
      <c r="BB41" s="361">
        <v>71.900000000000006</v>
      </c>
      <c r="BC41" s="460">
        <v>70.5</v>
      </c>
      <c r="BD41" s="355">
        <v>87</v>
      </c>
      <c r="BE41" s="355">
        <v>81</v>
      </c>
      <c r="BF41" s="355">
        <v>94.5</v>
      </c>
      <c r="BG41" s="355">
        <v>83.5</v>
      </c>
      <c r="BH41" s="355">
        <v>78.900000000000006</v>
      </c>
      <c r="BI41" s="361">
        <v>90.6</v>
      </c>
      <c r="BJ41" s="355">
        <v>86.2</v>
      </c>
      <c r="BK41" s="361">
        <v>79.400000000000006</v>
      </c>
      <c r="BL41" s="361">
        <v>73.599999999999994</v>
      </c>
      <c r="BM41" s="460">
        <v>71.2</v>
      </c>
      <c r="BN41" s="33">
        <v>86.5</v>
      </c>
      <c r="BO41" s="33">
        <v>80</v>
      </c>
      <c r="BP41" s="33">
        <v>93.9</v>
      </c>
      <c r="BQ41" s="33">
        <v>82</v>
      </c>
      <c r="BR41" s="33">
        <v>77.599999999999994</v>
      </c>
      <c r="BS41" s="33">
        <v>91.1</v>
      </c>
      <c r="BT41" s="33">
        <v>85.5</v>
      </c>
      <c r="BU41" s="33">
        <v>78.7</v>
      </c>
      <c r="BV41" s="33">
        <v>72</v>
      </c>
      <c r="BW41" s="33">
        <v>71.599999999999994</v>
      </c>
      <c r="BX41" s="33">
        <v>67.8</v>
      </c>
      <c r="BY41" s="462">
        <v>56</v>
      </c>
      <c r="BZ41" s="361">
        <v>86.2</v>
      </c>
      <c r="CA41" s="361">
        <v>78</v>
      </c>
      <c r="CB41" s="361">
        <v>94.9</v>
      </c>
      <c r="CC41" s="361">
        <v>82.2</v>
      </c>
      <c r="CD41" s="361">
        <v>76.5</v>
      </c>
      <c r="CE41" s="361">
        <v>90.8</v>
      </c>
      <c r="CF41" s="361">
        <v>86.9</v>
      </c>
      <c r="CG41" s="361">
        <v>78.3</v>
      </c>
      <c r="CH41" s="361">
        <v>72</v>
      </c>
      <c r="CI41" s="361">
        <v>69.900000000000006</v>
      </c>
      <c r="CJ41" s="361">
        <v>66.5</v>
      </c>
      <c r="CK41" s="460">
        <v>54</v>
      </c>
      <c r="CL41" t="s">
        <v>131</v>
      </c>
      <c r="CM41" t="s">
        <v>131</v>
      </c>
      <c r="CN41" t="s">
        <v>131</v>
      </c>
      <c r="CO41" t="s">
        <v>131</v>
      </c>
      <c r="CP41" t="s">
        <v>131</v>
      </c>
      <c r="CQ41" t="s">
        <v>131</v>
      </c>
      <c r="CR41" t="s">
        <v>131</v>
      </c>
      <c r="CS41" t="s">
        <v>131</v>
      </c>
      <c r="CT41" t="s">
        <v>131</v>
      </c>
      <c r="CU41" t="s">
        <v>131</v>
      </c>
      <c r="CV41" t="s">
        <v>131</v>
      </c>
      <c r="CW41" t="s">
        <v>131</v>
      </c>
    </row>
    <row r="42" spans="1:101">
      <c r="A42" s="2" t="s">
        <v>66</v>
      </c>
      <c r="B42" s="385">
        <v>86</v>
      </c>
      <c r="C42" s="385">
        <v>76</v>
      </c>
      <c r="D42" s="385">
        <v>88</v>
      </c>
      <c r="E42" s="385">
        <v>81</v>
      </c>
      <c r="F42" s="385">
        <v>75</v>
      </c>
      <c r="G42" s="385">
        <v>88</v>
      </c>
      <c r="H42" s="385">
        <v>79</v>
      </c>
      <c r="I42" s="385">
        <v>73</v>
      </c>
      <c r="J42" s="386">
        <v>65</v>
      </c>
      <c r="K42" s="385">
        <v>86</v>
      </c>
      <c r="L42" s="385">
        <v>78</v>
      </c>
      <c r="M42" s="385">
        <v>89</v>
      </c>
      <c r="N42" s="385">
        <v>80</v>
      </c>
      <c r="O42" s="385">
        <v>73</v>
      </c>
      <c r="P42" s="385">
        <v>89</v>
      </c>
      <c r="Q42" s="385">
        <v>85</v>
      </c>
      <c r="R42" s="385">
        <v>78</v>
      </c>
      <c r="S42" s="386">
        <v>71</v>
      </c>
      <c r="T42" s="354">
        <v>87</v>
      </c>
      <c r="U42" s="355">
        <v>86</v>
      </c>
      <c r="V42" s="355">
        <v>89</v>
      </c>
      <c r="W42" s="355">
        <v>82.5</v>
      </c>
      <c r="X42" s="355">
        <v>73.8</v>
      </c>
      <c r="Y42" s="355">
        <v>89.7</v>
      </c>
      <c r="Z42" s="355">
        <v>82.7</v>
      </c>
      <c r="AA42" s="361">
        <v>78</v>
      </c>
      <c r="AB42" s="361">
        <v>69.3</v>
      </c>
      <c r="AC42" s="454">
        <v>87.9</v>
      </c>
      <c r="AD42" s="361">
        <v>84</v>
      </c>
      <c r="AE42" s="361">
        <v>89</v>
      </c>
      <c r="AF42" s="361">
        <v>83.2</v>
      </c>
      <c r="AG42" s="361">
        <v>75</v>
      </c>
      <c r="AH42" s="361">
        <v>90.4</v>
      </c>
      <c r="AI42" s="361">
        <v>85.4</v>
      </c>
      <c r="AJ42" s="361">
        <v>80</v>
      </c>
      <c r="AK42" s="460">
        <v>73.400000000000006</v>
      </c>
      <c r="AL42" s="361">
        <v>87.1</v>
      </c>
      <c r="AM42" s="361">
        <v>86</v>
      </c>
      <c r="AN42" s="361">
        <v>88</v>
      </c>
      <c r="AO42" s="361">
        <v>83</v>
      </c>
      <c r="AP42" s="361">
        <v>74.900000000000006</v>
      </c>
      <c r="AQ42" s="361">
        <v>89.6</v>
      </c>
      <c r="AR42" s="361">
        <v>84.2</v>
      </c>
      <c r="AS42" s="361">
        <v>75</v>
      </c>
      <c r="AT42" s="361">
        <v>70.900000000000006</v>
      </c>
      <c r="AU42" s="454">
        <v>86.8</v>
      </c>
      <c r="AV42" s="361">
        <v>83</v>
      </c>
      <c r="AW42" s="361">
        <v>89</v>
      </c>
      <c r="AX42" s="361">
        <v>82.7</v>
      </c>
      <c r="AY42" s="361">
        <v>73.8</v>
      </c>
      <c r="AZ42" s="361">
        <v>89.5</v>
      </c>
      <c r="BA42" s="361">
        <v>85</v>
      </c>
      <c r="BB42" s="361">
        <v>71</v>
      </c>
      <c r="BC42" s="460">
        <v>72</v>
      </c>
      <c r="BD42" s="355">
        <v>83.8</v>
      </c>
      <c r="BE42" s="355">
        <v>76</v>
      </c>
      <c r="BF42" s="355">
        <v>80</v>
      </c>
      <c r="BG42" s="355">
        <v>75.8</v>
      </c>
      <c r="BH42" s="355">
        <v>70.8</v>
      </c>
      <c r="BI42" s="361">
        <v>87.5</v>
      </c>
      <c r="BJ42" s="355">
        <v>82.1</v>
      </c>
      <c r="BK42" s="361">
        <v>80.3</v>
      </c>
      <c r="BL42" s="361">
        <v>50</v>
      </c>
      <c r="BM42" s="460">
        <v>70.900000000000006</v>
      </c>
      <c r="BN42" s="33">
        <v>88.1</v>
      </c>
      <c r="BO42" s="33">
        <v>84</v>
      </c>
      <c r="BP42" s="33">
        <v>95</v>
      </c>
      <c r="BQ42" s="33">
        <v>84.3</v>
      </c>
      <c r="BR42" s="33">
        <v>79.400000000000006</v>
      </c>
      <c r="BS42" s="33">
        <v>90</v>
      </c>
      <c r="BT42" s="33">
        <v>84.9</v>
      </c>
      <c r="BU42" s="33">
        <v>84.5</v>
      </c>
      <c r="BV42" s="33">
        <v>69</v>
      </c>
      <c r="BW42" s="33">
        <v>72.599999999999994</v>
      </c>
      <c r="BX42" s="33">
        <v>82</v>
      </c>
      <c r="BY42" s="462">
        <v>68</v>
      </c>
      <c r="BZ42" s="361">
        <v>87.2</v>
      </c>
      <c r="CA42" s="361">
        <v>82</v>
      </c>
      <c r="CB42" s="361">
        <v>95</v>
      </c>
      <c r="CC42" s="361">
        <v>83.7</v>
      </c>
      <c r="CD42" s="361">
        <v>77.2</v>
      </c>
      <c r="CE42" s="361">
        <v>89.4</v>
      </c>
      <c r="CF42" s="361">
        <v>82.9</v>
      </c>
      <c r="CG42" s="361">
        <v>82.7</v>
      </c>
      <c r="CH42" s="361">
        <v>76</v>
      </c>
      <c r="CI42" s="361">
        <v>71.400000000000006</v>
      </c>
      <c r="CJ42" s="361">
        <v>77</v>
      </c>
      <c r="CK42" s="460">
        <v>57</v>
      </c>
      <c r="CL42">
        <v>90.9</v>
      </c>
      <c r="CM42">
        <v>92.5</v>
      </c>
      <c r="CN42">
        <v>84.5</v>
      </c>
      <c r="CO42">
        <v>88.1</v>
      </c>
      <c r="CP42">
        <v>96</v>
      </c>
      <c r="CQ42">
        <v>89</v>
      </c>
      <c r="CR42">
        <v>88</v>
      </c>
      <c r="CS42">
        <v>79.099999999999994</v>
      </c>
      <c r="CT42">
        <v>89</v>
      </c>
      <c r="CU42">
        <v>89.8</v>
      </c>
      <c r="CV42">
        <v>88</v>
      </c>
      <c r="CW42">
        <v>67</v>
      </c>
    </row>
    <row r="43" spans="1:101">
      <c r="A43" s="2" t="s">
        <v>67</v>
      </c>
      <c r="B43" s="385">
        <v>88</v>
      </c>
      <c r="C43" s="385">
        <v>79</v>
      </c>
      <c r="D43" s="385">
        <v>88</v>
      </c>
      <c r="E43" s="385">
        <v>75</v>
      </c>
      <c r="F43" s="385">
        <v>73</v>
      </c>
      <c r="G43" s="385">
        <v>90</v>
      </c>
      <c r="H43" s="385">
        <v>78</v>
      </c>
      <c r="I43" s="385">
        <v>70</v>
      </c>
      <c r="J43" s="386">
        <v>70</v>
      </c>
      <c r="K43" s="385">
        <v>89</v>
      </c>
      <c r="L43" s="385">
        <v>73</v>
      </c>
      <c r="M43" s="385">
        <v>89</v>
      </c>
      <c r="N43" s="385">
        <v>77</v>
      </c>
      <c r="O43" s="385">
        <v>74</v>
      </c>
      <c r="P43" s="385">
        <v>91</v>
      </c>
      <c r="Q43" s="385">
        <v>80</v>
      </c>
      <c r="R43" s="385">
        <v>74</v>
      </c>
      <c r="S43" s="386">
        <v>73</v>
      </c>
      <c r="T43" s="355">
        <v>89.7</v>
      </c>
      <c r="U43" s="355">
        <v>83</v>
      </c>
      <c r="V43" s="355">
        <v>90</v>
      </c>
      <c r="W43" s="355">
        <v>80</v>
      </c>
      <c r="X43" s="355">
        <v>74</v>
      </c>
      <c r="Y43" s="355">
        <v>91.5</v>
      </c>
      <c r="Z43" s="355">
        <v>80.400000000000006</v>
      </c>
      <c r="AA43" s="361">
        <v>76</v>
      </c>
      <c r="AB43" s="361">
        <v>72.7</v>
      </c>
      <c r="AC43" s="454">
        <v>90.5</v>
      </c>
      <c r="AD43" s="361">
        <v>78</v>
      </c>
      <c r="AE43" s="361">
        <v>90</v>
      </c>
      <c r="AF43" s="361">
        <v>82</v>
      </c>
      <c r="AG43" s="361">
        <v>79</v>
      </c>
      <c r="AH43" s="361">
        <v>92.2</v>
      </c>
      <c r="AI43" s="361">
        <v>84.1</v>
      </c>
      <c r="AJ43" s="361">
        <v>83</v>
      </c>
      <c r="AK43" s="460">
        <v>76.400000000000006</v>
      </c>
      <c r="AL43" s="361">
        <v>90.8</v>
      </c>
      <c r="AM43" s="361">
        <v>85</v>
      </c>
      <c r="AN43" s="361">
        <v>92</v>
      </c>
      <c r="AO43" s="361">
        <v>83</v>
      </c>
      <c r="AP43" s="361">
        <v>79</v>
      </c>
      <c r="AQ43" s="361">
        <v>92.4</v>
      </c>
      <c r="AR43" s="361">
        <v>84.8</v>
      </c>
      <c r="AS43" s="361">
        <v>83</v>
      </c>
      <c r="AT43" s="361">
        <v>77</v>
      </c>
      <c r="AU43" s="454">
        <v>91.3</v>
      </c>
      <c r="AV43" s="361">
        <v>81</v>
      </c>
      <c r="AW43" s="361">
        <v>91</v>
      </c>
      <c r="AX43" s="361">
        <v>85</v>
      </c>
      <c r="AY43" s="361">
        <v>80</v>
      </c>
      <c r="AZ43" s="361">
        <v>92.9</v>
      </c>
      <c r="BA43" s="361">
        <v>83.9</v>
      </c>
      <c r="BB43" s="361">
        <v>81</v>
      </c>
      <c r="BC43" s="460">
        <v>70</v>
      </c>
      <c r="BD43" s="355">
        <v>91</v>
      </c>
      <c r="BE43" s="355">
        <v>83</v>
      </c>
      <c r="BF43" s="355">
        <v>91</v>
      </c>
      <c r="BG43" s="355">
        <v>82.4</v>
      </c>
      <c r="BH43" s="355">
        <v>82</v>
      </c>
      <c r="BI43" s="361">
        <v>92.7</v>
      </c>
      <c r="BJ43" s="355">
        <v>85</v>
      </c>
      <c r="BK43" s="361">
        <v>83.7</v>
      </c>
      <c r="BL43" s="361">
        <v>80</v>
      </c>
      <c r="BM43" s="460">
        <v>74.3</v>
      </c>
      <c r="BN43" s="33">
        <v>91.4</v>
      </c>
      <c r="BO43" s="33">
        <v>76</v>
      </c>
      <c r="BP43" s="33">
        <v>91</v>
      </c>
      <c r="BQ43" s="33">
        <v>83.9</v>
      </c>
      <c r="BR43" s="33">
        <v>81</v>
      </c>
      <c r="BS43" s="33">
        <v>93.2</v>
      </c>
      <c r="BT43" s="33">
        <v>88</v>
      </c>
      <c r="BU43" s="33">
        <v>84.4</v>
      </c>
      <c r="BV43" s="33">
        <v>79</v>
      </c>
      <c r="BW43" s="33">
        <v>76.5</v>
      </c>
      <c r="BX43" s="33">
        <v>73</v>
      </c>
      <c r="BY43" s="462">
        <v>76</v>
      </c>
      <c r="BZ43" s="361">
        <v>91.6</v>
      </c>
      <c r="CA43" s="361">
        <v>77</v>
      </c>
      <c r="CB43" s="361">
        <v>91</v>
      </c>
      <c r="CC43" s="361">
        <v>84.5</v>
      </c>
      <c r="CD43" s="361">
        <v>82</v>
      </c>
      <c r="CE43" s="361">
        <v>93.3</v>
      </c>
      <c r="CF43" s="361">
        <v>88</v>
      </c>
      <c r="CG43" s="361">
        <v>85.2</v>
      </c>
      <c r="CH43" s="361">
        <v>79</v>
      </c>
      <c r="CI43" s="361">
        <v>76.099999999999994</v>
      </c>
      <c r="CJ43" s="361">
        <v>75</v>
      </c>
      <c r="CK43" s="460">
        <v>72</v>
      </c>
      <c r="CL43">
        <v>91.8</v>
      </c>
      <c r="CM43">
        <v>93.8</v>
      </c>
      <c r="CN43">
        <v>81</v>
      </c>
      <c r="CO43">
        <v>84.8</v>
      </c>
      <c r="CP43">
        <v>92</v>
      </c>
      <c r="CQ43">
        <v>83</v>
      </c>
      <c r="CR43">
        <v>89</v>
      </c>
      <c r="CS43">
        <v>76.400000000000006</v>
      </c>
      <c r="CT43">
        <v>77</v>
      </c>
      <c r="CU43">
        <v>85.5</v>
      </c>
      <c r="CV43">
        <v>76</v>
      </c>
      <c r="CW43">
        <v>64</v>
      </c>
    </row>
    <row r="44" spans="1:101">
      <c r="A44" s="2" t="s">
        <v>68</v>
      </c>
      <c r="B44" s="385">
        <v>83</v>
      </c>
      <c r="C44" s="385">
        <v>72</v>
      </c>
      <c r="D44" s="385">
        <v>88</v>
      </c>
      <c r="E44" s="385">
        <v>73</v>
      </c>
      <c r="F44" s="385">
        <v>72</v>
      </c>
      <c r="G44" s="385">
        <v>86</v>
      </c>
      <c r="H44" s="385">
        <v>73</v>
      </c>
      <c r="I44" s="385">
        <v>70</v>
      </c>
      <c r="J44" s="386">
        <v>73</v>
      </c>
      <c r="K44" s="385">
        <v>85</v>
      </c>
      <c r="L44" s="385">
        <v>78</v>
      </c>
      <c r="M44" s="385">
        <v>86</v>
      </c>
      <c r="N44" s="385">
        <v>77</v>
      </c>
      <c r="O44" s="385">
        <v>75</v>
      </c>
      <c r="P44" s="385">
        <v>88</v>
      </c>
      <c r="Q44" s="385">
        <v>76</v>
      </c>
      <c r="R44" s="385">
        <v>74</v>
      </c>
      <c r="S44" s="386">
        <v>77</v>
      </c>
      <c r="T44" s="355">
        <v>85.7</v>
      </c>
      <c r="U44" s="355">
        <v>77</v>
      </c>
      <c r="V44" s="355">
        <v>89</v>
      </c>
      <c r="W44" s="355">
        <v>79.900000000000006</v>
      </c>
      <c r="X44" s="355">
        <v>76</v>
      </c>
      <c r="Y44" s="355">
        <v>88.1</v>
      </c>
      <c r="Z44" s="355">
        <v>76.599999999999994</v>
      </c>
      <c r="AA44" s="361">
        <v>75</v>
      </c>
      <c r="AB44" s="361">
        <v>77.8</v>
      </c>
      <c r="AC44" s="454">
        <v>85.7</v>
      </c>
      <c r="AD44" s="361">
        <v>76</v>
      </c>
      <c r="AE44" s="361">
        <v>90</v>
      </c>
      <c r="AF44" s="361">
        <v>78.7</v>
      </c>
      <c r="AG44" s="361">
        <v>77</v>
      </c>
      <c r="AH44" s="361">
        <v>88.3</v>
      </c>
      <c r="AI44" s="361">
        <v>76.900000000000006</v>
      </c>
      <c r="AJ44" s="361">
        <v>75</v>
      </c>
      <c r="AK44" s="460">
        <v>76.7</v>
      </c>
      <c r="AL44" s="361">
        <v>85.7</v>
      </c>
      <c r="AM44" s="361">
        <v>81</v>
      </c>
      <c r="AN44" s="361">
        <v>91</v>
      </c>
      <c r="AO44" s="361">
        <v>78.2</v>
      </c>
      <c r="AP44" s="361">
        <v>79</v>
      </c>
      <c r="AQ44" s="361">
        <v>88.3</v>
      </c>
      <c r="AR44" s="361">
        <v>77.3</v>
      </c>
      <c r="AS44" s="361">
        <v>77</v>
      </c>
      <c r="AT44" s="361">
        <v>77.3</v>
      </c>
      <c r="AU44" s="454">
        <v>85.7</v>
      </c>
      <c r="AV44" s="361">
        <v>73</v>
      </c>
      <c r="AW44" s="361">
        <v>92</v>
      </c>
      <c r="AX44" s="361">
        <v>79.2</v>
      </c>
      <c r="AY44" s="361">
        <v>77</v>
      </c>
      <c r="AZ44" s="361">
        <v>88.4</v>
      </c>
      <c r="BA44" s="361">
        <v>77.5</v>
      </c>
      <c r="BB44" s="361">
        <v>77.400000000000006</v>
      </c>
      <c r="BC44" s="460">
        <v>77.5</v>
      </c>
      <c r="BD44" s="355">
        <v>86.5</v>
      </c>
      <c r="BE44" s="355">
        <v>81</v>
      </c>
      <c r="BF44" s="355">
        <v>93</v>
      </c>
      <c r="BG44" s="355">
        <v>81.099999999999994</v>
      </c>
      <c r="BH44" s="355">
        <v>78</v>
      </c>
      <c r="BI44" s="361">
        <v>88.8</v>
      </c>
      <c r="BJ44" s="355">
        <v>84</v>
      </c>
      <c r="BK44" s="361">
        <v>78.599999999999994</v>
      </c>
      <c r="BL44" s="361">
        <v>79.7</v>
      </c>
      <c r="BM44" s="460">
        <v>78.400000000000006</v>
      </c>
      <c r="BN44" s="33">
        <v>87.2</v>
      </c>
      <c r="BO44" s="33">
        <v>79</v>
      </c>
      <c r="BP44" s="33">
        <v>93</v>
      </c>
      <c r="BQ44" s="33">
        <v>81.3</v>
      </c>
      <c r="BR44" s="33">
        <v>79</v>
      </c>
      <c r="BS44" s="33">
        <v>89.7</v>
      </c>
      <c r="BT44" s="33">
        <v>86</v>
      </c>
      <c r="BU44" s="33">
        <v>80</v>
      </c>
      <c r="BV44" s="33">
        <v>80.5</v>
      </c>
      <c r="BW44" s="33">
        <v>80</v>
      </c>
      <c r="BX44" s="33">
        <v>68</v>
      </c>
      <c r="BY44" s="462">
        <v>61</v>
      </c>
      <c r="BZ44" s="361">
        <v>87.2</v>
      </c>
      <c r="CA44" s="361">
        <v>76</v>
      </c>
      <c r="CB44" s="361">
        <v>94</v>
      </c>
      <c r="CC44" s="361">
        <v>83.2</v>
      </c>
      <c r="CD44" s="361">
        <v>80</v>
      </c>
      <c r="CE44" s="361">
        <v>89.3</v>
      </c>
      <c r="CF44" s="361">
        <v>83</v>
      </c>
      <c r="CG44" s="361">
        <v>80.2</v>
      </c>
      <c r="CH44" s="361">
        <v>82.3</v>
      </c>
      <c r="CI44" s="361">
        <v>78.400000000000006</v>
      </c>
      <c r="CJ44" s="361">
        <v>66</v>
      </c>
      <c r="CK44" s="460">
        <v>57</v>
      </c>
      <c r="CL44">
        <v>88.2</v>
      </c>
      <c r="CM44">
        <v>90.3</v>
      </c>
      <c r="CN44">
        <v>80</v>
      </c>
      <c r="CO44">
        <v>83.8</v>
      </c>
      <c r="CP44">
        <v>94</v>
      </c>
      <c r="CQ44">
        <v>82</v>
      </c>
      <c r="CR44">
        <v>87</v>
      </c>
      <c r="CS44">
        <v>80.900000000000006</v>
      </c>
      <c r="CT44">
        <v>83.5</v>
      </c>
      <c r="CU44">
        <v>81.3</v>
      </c>
      <c r="CV44">
        <v>68</v>
      </c>
      <c r="CW44">
        <v>62</v>
      </c>
    </row>
    <row r="45" spans="1:101">
      <c r="A45" s="2" t="s">
        <v>69</v>
      </c>
      <c r="B45" s="385">
        <v>74</v>
      </c>
      <c r="C45" s="385">
        <v>62</v>
      </c>
      <c r="D45" s="385">
        <v>85</v>
      </c>
      <c r="E45" s="385">
        <v>63</v>
      </c>
      <c r="F45" s="385">
        <v>57</v>
      </c>
      <c r="G45" s="385">
        <v>80</v>
      </c>
      <c r="H45" s="385">
        <v>63</v>
      </c>
      <c r="I45" s="385">
        <v>61</v>
      </c>
      <c r="J45" s="386">
        <v>52</v>
      </c>
      <c r="K45" s="385">
        <v>76</v>
      </c>
      <c r="L45" s="385">
        <v>66</v>
      </c>
      <c r="M45" s="385">
        <v>87</v>
      </c>
      <c r="N45" s="385">
        <v>64</v>
      </c>
      <c r="O45" s="385">
        <v>60</v>
      </c>
      <c r="P45" s="385">
        <v>82</v>
      </c>
      <c r="Q45" s="385">
        <v>64</v>
      </c>
      <c r="R45" s="385">
        <v>63</v>
      </c>
      <c r="S45" s="386">
        <v>54</v>
      </c>
      <c r="T45" s="354">
        <v>77</v>
      </c>
      <c r="U45" s="355">
        <v>64</v>
      </c>
      <c r="V45" s="355">
        <v>87.3</v>
      </c>
      <c r="W45" s="355">
        <v>67.3</v>
      </c>
      <c r="X45" s="355">
        <v>60.5</v>
      </c>
      <c r="Y45" s="355">
        <v>82.1</v>
      </c>
      <c r="Z45" s="355">
        <v>63.9</v>
      </c>
      <c r="AA45" s="361">
        <v>65.400000000000006</v>
      </c>
      <c r="AB45" s="361">
        <v>53.6</v>
      </c>
      <c r="AC45" s="454">
        <v>78.599999999999994</v>
      </c>
      <c r="AD45" s="361">
        <v>65</v>
      </c>
      <c r="AE45" s="361">
        <v>88.7</v>
      </c>
      <c r="AF45" s="361">
        <v>68.8</v>
      </c>
      <c r="AG45" s="361">
        <v>64.5</v>
      </c>
      <c r="AH45" s="361">
        <v>82.9</v>
      </c>
      <c r="AI45" s="361">
        <v>65.599999999999994</v>
      </c>
      <c r="AJ45" s="361">
        <v>68.2</v>
      </c>
      <c r="AK45" s="460">
        <v>55.1</v>
      </c>
      <c r="AL45" s="361">
        <v>79.8</v>
      </c>
      <c r="AM45" s="361">
        <v>71</v>
      </c>
      <c r="AN45" s="361">
        <v>90.3</v>
      </c>
      <c r="AO45" s="361">
        <v>72.099999999999994</v>
      </c>
      <c r="AP45" s="361">
        <v>67.3</v>
      </c>
      <c r="AQ45" s="361">
        <v>83.5</v>
      </c>
      <c r="AR45" s="361">
        <v>67.5</v>
      </c>
      <c r="AS45" s="361">
        <v>72.099999999999994</v>
      </c>
      <c r="AT45" s="361">
        <v>57.1</v>
      </c>
      <c r="AU45" s="454">
        <v>79.7</v>
      </c>
      <c r="AV45" s="361">
        <v>67</v>
      </c>
      <c r="AW45" s="361">
        <v>89.8</v>
      </c>
      <c r="AX45" s="361">
        <v>72.599999999999994</v>
      </c>
      <c r="AY45" s="361">
        <v>67.400000000000006</v>
      </c>
      <c r="AZ45" s="361">
        <v>83.4</v>
      </c>
      <c r="BA45" s="361">
        <v>67.099999999999994</v>
      </c>
      <c r="BB45" s="361">
        <v>72.099999999999994</v>
      </c>
      <c r="BC45" s="460">
        <v>55.4</v>
      </c>
      <c r="BD45" s="355">
        <v>80.2</v>
      </c>
      <c r="BE45" s="355">
        <v>68</v>
      </c>
      <c r="BF45" s="355">
        <v>90.5</v>
      </c>
      <c r="BG45" s="355">
        <v>73.3</v>
      </c>
      <c r="BH45" s="355">
        <v>68.599999999999994</v>
      </c>
      <c r="BI45" s="361">
        <v>83.7</v>
      </c>
      <c r="BJ45" s="355">
        <v>74.7</v>
      </c>
      <c r="BK45" s="361">
        <v>67.900000000000006</v>
      </c>
      <c r="BL45" s="361">
        <v>69.400000000000006</v>
      </c>
      <c r="BM45" s="460">
        <v>56.7</v>
      </c>
      <c r="BN45" s="33">
        <v>80.599999999999994</v>
      </c>
      <c r="BO45" s="33">
        <v>70</v>
      </c>
      <c r="BP45" s="33">
        <v>91</v>
      </c>
      <c r="BQ45" s="33">
        <v>74.400000000000006</v>
      </c>
      <c r="BR45" s="33">
        <v>70</v>
      </c>
      <c r="BS45" s="33">
        <v>83.9</v>
      </c>
      <c r="BT45" s="33">
        <v>74.900000000000006</v>
      </c>
      <c r="BU45" s="33">
        <v>70</v>
      </c>
      <c r="BV45" s="33">
        <v>71.2</v>
      </c>
      <c r="BW45" s="33">
        <v>57.5</v>
      </c>
      <c r="BX45" s="33">
        <v>57</v>
      </c>
      <c r="BY45" s="462">
        <v>40</v>
      </c>
      <c r="BZ45" s="361">
        <v>81.400000000000006</v>
      </c>
      <c r="CA45" s="361">
        <v>70</v>
      </c>
      <c r="CB45" s="361">
        <v>91.3</v>
      </c>
      <c r="CC45" s="361">
        <v>76.599999999999994</v>
      </c>
      <c r="CD45" s="361">
        <v>70.2</v>
      </c>
      <c r="CE45" s="361">
        <v>84.7</v>
      </c>
      <c r="CF45" s="361">
        <v>76.2</v>
      </c>
      <c r="CG45" s="361">
        <v>70.8</v>
      </c>
      <c r="CH45" s="361">
        <v>73.2</v>
      </c>
      <c r="CI45" s="361">
        <v>57.8</v>
      </c>
      <c r="CJ45" s="361">
        <v>58.4</v>
      </c>
      <c r="CK45" s="460">
        <v>44</v>
      </c>
      <c r="CL45">
        <v>82.1</v>
      </c>
      <c r="CM45">
        <v>85.4</v>
      </c>
      <c r="CN45">
        <v>70.400000000000006</v>
      </c>
      <c r="CO45">
        <v>75.5</v>
      </c>
      <c r="CP45">
        <v>93</v>
      </c>
      <c r="CQ45">
        <v>74</v>
      </c>
      <c r="CR45">
        <v>76.8</v>
      </c>
      <c r="CS45">
        <v>59.3</v>
      </c>
      <c r="CT45">
        <v>73.7</v>
      </c>
      <c r="CU45">
        <v>71.7</v>
      </c>
      <c r="CV45">
        <v>60</v>
      </c>
      <c r="CW45">
        <v>40</v>
      </c>
    </row>
    <row r="46" spans="1:101">
      <c r="A46" s="2" t="s">
        <v>70</v>
      </c>
      <c r="B46" s="385">
        <v>77</v>
      </c>
      <c r="C46" s="385">
        <v>42</v>
      </c>
      <c r="D46" s="385">
        <v>72</v>
      </c>
      <c r="E46" s="385">
        <v>51</v>
      </c>
      <c r="F46" s="385">
        <v>49</v>
      </c>
      <c r="G46" s="385">
        <v>84</v>
      </c>
      <c r="H46" s="385">
        <v>58</v>
      </c>
      <c r="I46" s="385">
        <v>52</v>
      </c>
      <c r="J46" s="386">
        <v>56</v>
      </c>
      <c r="K46" s="385">
        <v>78</v>
      </c>
      <c r="L46" s="385">
        <v>45</v>
      </c>
      <c r="M46" s="385">
        <v>74</v>
      </c>
      <c r="N46" s="385">
        <v>53</v>
      </c>
      <c r="O46" s="385">
        <v>51</v>
      </c>
      <c r="P46" s="385">
        <v>84</v>
      </c>
      <c r="Q46" s="385">
        <v>59</v>
      </c>
      <c r="R46" s="385">
        <v>51</v>
      </c>
      <c r="S46" s="386">
        <v>56</v>
      </c>
      <c r="T46" s="355">
        <v>79.8</v>
      </c>
      <c r="U46" s="355">
        <v>49</v>
      </c>
      <c r="V46" s="355">
        <v>78.2</v>
      </c>
      <c r="W46" s="354">
        <v>59</v>
      </c>
      <c r="X46" s="355">
        <v>57.8</v>
      </c>
      <c r="Y46" s="355">
        <v>85.3</v>
      </c>
      <c r="Z46" s="355">
        <v>63.8</v>
      </c>
      <c r="AA46" s="361">
        <v>59.3</v>
      </c>
      <c r="AB46" s="361">
        <v>58.2</v>
      </c>
      <c r="AC46" s="454">
        <v>81.2</v>
      </c>
      <c r="AD46" s="361">
        <v>51</v>
      </c>
      <c r="AE46" s="361">
        <v>81.7</v>
      </c>
      <c r="AF46" s="361">
        <v>63.2</v>
      </c>
      <c r="AG46" s="361">
        <v>60.4</v>
      </c>
      <c r="AH46" s="361">
        <v>86.3</v>
      </c>
      <c r="AI46" s="361">
        <v>65.900000000000006</v>
      </c>
      <c r="AJ46" s="361">
        <v>63.7</v>
      </c>
      <c r="AK46" s="460">
        <v>58.4</v>
      </c>
      <c r="AL46" s="361">
        <v>81.900000000000006</v>
      </c>
      <c r="AM46" s="361">
        <v>52</v>
      </c>
      <c r="AN46" s="361">
        <v>82.7</v>
      </c>
      <c r="AO46" s="361">
        <v>65.599999999999994</v>
      </c>
      <c r="AP46" s="361">
        <v>62</v>
      </c>
      <c r="AQ46" s="361">
        <v>86.9</v>
      </c>
      <c r="AR46" s="361">
        <v>67.2</v>
      </c>
      <c r="AS46" s="361">
        <v>63.1</v>
      </c>
      <c r="AT46" s="361">
        <v>61.1</v>
      </c>
      <c r="AU46" s="454">
        <v>82.2</v>
      </c>
      <c r="AV46" s="361">
        <v>53</v>
      </c>
      <c r="AW46" s="361">
        <v>83.6</v>
      </c>
      <c r="AX46" s="361">
        <v>65.3</v>
      </c>
      <c r="AY46" s="361">
        <v>65.099999999999994</v>
      </c>
      <c r="AZ46" s="361">
        <v>87</v>
      </c>
      <c r="BA46" s="361">
        <v>68.2</v>
      </c>
      <c r="BB46" s="361">
        <v>63.2</v>
      </c>
      <c r="BC46" s="460">
        <v>60.8</v>
      </c>
      <c r="BD46" s="355">
        <v>82.7</v>
      </c>
      <c r="BE46" s="355">
        <v>51</v>
      </c>
      <c r="BF46" s="355">
        <v>85.2</v>
      </c>
      <c r="BG46" s="355">
        <v>66.3</v>
      </c>
      <c r="BH46" s="355">
        <v>64.8</v>
      </c>
      <c r="BI46" s="361">
        <v>88.1</v>
      </c>
      <c r="BJ46" s="355">
        <v>71</v>
      </c>
      <c r="BK46" s="361">
        <v>69</v>
      </c>
      <c r="BL46" s="361">
        <v>64.7</v>
      </c>
      <c r="BM46" s="460">
        <v>61.2</v>
      </c>
      <c r="BN46" s="33">
        <v>83.2</v>
      </c>
      <c r="BO46" s="33">
        <v>51</v>
      </c>
      <c r="BP46" s="33">
        <v>86.5</v>
      </c>
      <c r="BQ46" s="33">
        <v>66.8</v>
      </c>
      <c r="BR46" s="33">
        <v>67.400000000000006</v>
      </c>
      <c r="BS46" s="33">
        <v>88.4</v>
      </c>
      <c r="BT46" s="33">
        <v>72</v>
      </c>
      <c r="BU46" s="33">
        <v>70.2</v>
      </c>
      <c r="BV46" s="33">
        <v>65.7</v>
      </c>
      <c r="BW46" s="33">
        <v>62.3</v>
      </c>
      <c r="BX46" s="33">
        <v>47</v>
      </c>
      <c r="BY46" s="462" t="s">
        <v>47</v>
      </c>
      <c r="BZ46" s="361">
        <v>83.7</v>
      </c>
      <c r="CA46" s="361">
        <v>51</v>
      </c>
      <c r="CB46" s="361">
        <v>87.3</v>
      </c>
      <c r="CC46" s="361">
        <v>69.900000000000006</v>
      </c>
      <c r="CD46" s="361">
        <v>69.900000000000006</v>
      </c>
      <c r="CE46" s="361">
        <v>88.7</v>
      </c>
      <c r="CF46" s="361">
        <v>72</v>
      </c>
      <c r="CG46" s="361">
        <v>71.099999999999994</v>
      </c>
      <c r="CH46" s="361">
        <v>67.2</v>
      </c>
      <c r="CI46" s="361">
        <v>63</v>
      </c>
      <c r="CJ46" s="361">
        <v>49</v>
      </c>
      <c r="CK46" s="51" t="s">
        <v>47</v>
      </c>
      <c r="CL46">
        <v>83.8</v>
      </c>
      <c r="CM46">
        <v>89</v>
      </c>
      <c r="CN46">
        <v>69.2</v>
      </c>
      <c r="CO46">
        <v>70.400000000000006</v>
      </c>
      <c r="CP46">
        <v>88.9</v>
      </c>
      <c r="CQ46">
        <v>56</v>
      </c>
      <c r="CR46">
        <v>73</v>
      </c>
      <c r="CS46">
        <v>65</v>
      </c>
      <c r="CT46">
        <v>66.2</v>
      </c>
      <c r="CU46">
        <v>71.599999999999994</v>
      </c>
      <c r="CV46">
        <v>50</v>
      </c>
      <c r="CW46" s="361" t="s">
        <v>47</v>
      </c>
    </row>
    <row r="47" spans="1:101">
      <c r="A47" s="2" t="s">
        <v>71</v>
      </c>
      <c r="B47" s="385">
        <v>81</v>
      </c>
      <c r="C47" s="385">
        <v>78</v>
      </c>
      <c r="D47" s="385">
        <v>87</v>
      </c>
      <c r="E47" s="385">
        <v>75</v>
      </c>
      <c r="F47" s="385">
        <v>67</v>
      </c>
      <c r="G47" s="385">
        <v>86</v>
      </c>
      <c r="H47" s="385">
        <v>75</v>
      </c>
      <c r="I47" s="385">
        <v>62</v>
      </c>
      <c r="J47" s="386">
        <v>69</v>
      </c>
      <c r="K47" s="385">
        <v>86</v>
      </c>
      <c r="L47" s="385">
        <v>87</v>
      </c>
      <c r="M47" s="385">
        <v>90</v>
      </c>
      <c r="N47" s="385">
        <v>80</v>
      </c>
      <c r="O47" s="385">
        <v>73</v>
      </c>
      <c r="P47" s="385">
        <v>89</v>
      </c>
      <c r="Q47" s="385">
        <v>79</v>
      </c>
      <c r="R47" s="385">
        <v>67</v>
      </c>
      <c r="S47" s="386">
        <v>73</v>
      </c>
      <c r="T47" s="355">
        <v>85.7</v>
      </c>
      <c r="U47" s="355">
        <v>82</v>
      </c>
      <c r="V47" s="355">
        <v>91</v>
      </c>
      <c r="W47" s="355">
        <v>81</v>
      </c>
      <c r="X47" s="355">
        <v>72.099999999999994</v>
      </c>
      <c r="Y47" s="355">
        <v>89.1</v>
      </c>
      <c r="Z47" s="354">
        <v>78</v>
      </c>
      <c r="AA47" s="361">
        <v>69</v>
      </c>
      <c r="AB47" s="361">
        <v>73.400000000000006</v>
      </c>
      <c r="AC47" s="454">
        <v>87.3</v>
      </c>
      <c r="AD47" s="361">
        <v>83</v>
      </c>
      <c r="AE47" s="361">
        <v>90</v>
      </c>
      <c r="AF47" s="361">
        <v>80</v>
      </c>
      <c r="AG47" s="361">
        <v>74.8</v>
      </c>
      <c r="AH47" s="361">
        <v>90.4</v>
      </c>
      <c r="AI47" s="361">
        <v>80.400000000000006</v>
      </c>
      <c r="AJ47" s="361">
        <v>64</v>
      </c>
      <c r="AK47" s="460">
        <v>75.3</v>
      </c>
      <c r="AL47" s="361">
        <v>87.8</v>
      </c>
      <c r="AM47" s="361">
        <v>86</v>
      </c>
      <c r="AN47" s="361">
        <v>93</v>
      </c>
      <c r="AO47" s="361">
        <v>84</v>
      </c>
      <c r="AP47" s="361">
        <v>75.599999999999994</v>
      </c>
      <c r="AQ47" s="361">
        <v>90.6</v>
      </c>
      <c r="AR47" s="361">
        <v>80.7</v>
      </c>
      <c r="AS47" s="361">
        <v>71</v>
      </c>
      <c r="AT47" s="361">
        <v>76.599999999999994</v>
      </c>
      <c r="AU47" s="454">
        <v>89</v>
      </c>
      <c r="AV47" s="361">
        <v>86</v>
      </c>
      <c r="AW47" s="361">
        <v>92</v>
      </c>
      <c r="AX47" s="361">
        <v>83.1</v>
      </c>
      <c r="AY47" s="361">
        <v>79</v>
      </c>
      <c r="AZ47" s="361">
        <v>91.6</v>
      </c>
      <c r="BA47" s="361">
        <v>82.1</v>
      </c>
      <c r="BB47" s="361">
        <v>68</v>
      </c>
      <c r="BC47" s="460">
        <v>77.5</v>
      </c>
      <c r="BD47" s="355">
        <v>88.3</v>
      </c>
      <c r="BE47" s="355">
        <v>84</v>
      </c>
      <c r="BF47" s="355">
        <v>91</v>
      </c>
      <c r="BG47" s="355">
        <v>84.4</v>
      </c>
      <c r="BH47" s="355">
        <v>75.900000000000006</v>
      </c>
      <c r="BI47" s="361">
        <v>91.4</v>
      </c>
      <c r="BJ47" s="355">
        <v>89</v>
      </c>
      <c r="BK47" s="361">
        <v>80.099999999999994</v>
      </c>
      <c r="BL47" s="361">
        <v>67</v>
      </c>
      <c r="BM47" s="460">
        <v>76.900000000000006</v>
      </c>
      <c r="BN47" s="33">
        <v>89.2</v>
      </c>
      <c r="BO47" s="33">
        <v>87</v>
      </c>
      <c r="BP47" s="33">
        <v>92</v>
      </c>
      <c r="BQ47" s="33">
        <v>84.7</v>
      </c>
      <c r="BR47" s="33">
        <v>80</v>
      </c>
      <c r="BS47" s="33">
        <v>91.6</v>
      </c>
      <c r="BT47" s="33">
        <v>88</v>
      </c>
      <c r="BU47" s="33">
        <v>82.1</v>
      </c>
      <c r="BV47" s="33">
        <v>71</v>
      </c>
      <c r="BW47" s="33">
        <v>75.8</v>
      </c>
      <c r="BX47" s="33">
        <v>76</v>
      </c>
      <c r="BY47" s="462">
        <v>69</v>
      </c>
      <c r="BZ47" s="361">
        <v>89.7</v>
      </c>
      <c r="CA47" s="361">
        <v>85</v>
      </c>
      <c r="CB47" s="361">
        <v>92</v>
      </c>
      <c r="CC47" s="361">
        <v>86.3</v>
      </c>
      <c r="CD47" s="361">
        <v>80.599999999999994</v>
      </c>
      <c r="CE47" s="361">
        <v>91.9</v>
      </c>
      <c r="CF47" s="361">
        <v>89</v>
      </c>
      <c r="CG47" s="361">
        <v>82.6</v>
      </c>
      <c r="CH47" s="361">
        <v>73</v>
      </c>
      <c r="CI47" s="361">
        <v>76.7</v>
      </c>
      <c r="CJ47" s="361">
        <v>76</v>
      </c>
      <c r="CK47" s="460">
        <v>71</v>
      </c>
      <c r="CL47">
        <v>89.5</v>
      </c>
      <c r="CM47">
        <v>92.2</v>
      </c>
      <c r="CN47">
        <v>78.8</v>
      </c>
      <c r="CO47">
        <v>86.6</v>
      </c>
      <c r="CP47">
        <v>93</v>
      </c>
      <c r="CQ47">
        <v>88</v>
      </c>
      <c r="CR47">
        <v>87</v>
      </c>
      <c r="CS47">
        <v>77.2</v>
      </c>
      <c r="CT47">
        <v>73</v>
      </c>
      <c r="CU47">
        <v>82.5</v>
      </c>
      <c r="CV47">
        <v>78</v>
      </c>
      <c r="CW47">
        <v>69</v>
      </c>
    </row>
    <row r="48" spans="1:101">
      <c r="A48" s="2" t="s">
        <v>72</v>
      </c>
      <c r="B48" s="385">
        <v>86</v>
      </c>
      <c r="C48" s="385">
        <v>64</v>
      </c>
      <c r="D48" s="385">
        <v>83</v>
      </c>
      <c r="E48" s="385">
        <v>74</v>
      </c>
      <c r="F48" s="385">
        <v>70</v>
      </c>
      <c r="G48" s="385">
        <v>90</v>
      </c>
      <c r="H48" s="385">
        <v>78</v>
      </c>
      <c r="I48" s="385">
        <v>52</v>
      </c>
      <c r="J48" s="386">
        <v>70</v>
      </c>
      <c r="K48" s="385">
        <v>88</v>
      </c>
      <c r="L48" s="385">
        <v>67</v>
      </c>
      <c r="M48" s="385">
        <v>83</v>
      </c>
      <c r="N48" s="385">
        <v>78</v>
      </c>
      <c r="O48" s="385">
        <v>74</v>
      </c>
      <c r="P48" s="385">
        <v>91</v>
      </c>
      <c r="Q48" s="385">
        <v>80</v>
      </c>
      <c r="R48" s="385">
        <v>64</v>
      </c>
      <c r="S48" s="386">
        <v>72</v>
      </c>
      <c r="T48" s="355">
        <v>88.5</v>
      </c>
      <c r="U48" s="355">
        <v>72</v>
      </c>
      <c r="V48" s="355">
        <v>77</v>
      </c>
      <c r="W48" s="355">
        <v>78.599999999999994</v>
      </c>
      <c r="X48" s="355">
        <v>77</v>
      </c>
      <c r="Y48" s="355">
        <v>92.2</v>
      </c>
      <c r="Z48" s="355">
        <v>80.900000000000006</v>
      </c>
      <c r="AA48" s="361">
        <v>60</v>
      </c>
      <c r="AB48" s="361">
        <v>71</v>
      </c>
      <c r="AC48" s="454">
        <v>89.7</v>
      </c>
      <c r="AD48" s="361">
        <v>69</v>
      </c>
      <c r="AE48" s="361">
        <v>78</v>
      </c>
      <c r="AF48" s="361">
        <v>82.8</v>
      </c>
      <c r="AG48" s="361">
        <v>81</v>
      </c>
      <c r="AH48" s="361">
        <v>92.8</v>
      </c>
      <c r="AI48" s="361">
        <v>82.4</v>
      </c>
      <c r="AJ48" s="361">
        <v>60</v>
      </c>
      <c r="AK48" s="460">
        <v>72</v>
      </c>
      <c r="AL48" s="361">
        <v>88.9</v>
      </c>
      <c r="AM48" s="361">
        <v>76</v>
      </c>
      <c r="AN48" s="361">
        <v>79</v>
      </c>
      <c r="AO48" s="361">
        <v>81.599999999999994</v>
      </c>
      <c r="AP48" s="361">
        <v>75</v>
      </c>
      <c r="AQ48" s="361">
        <v>92.5</v>
      </c>
      <c r="AR48" s="361">
        <v>81.400000000000006</v>
      </c>
      <c r="AS48" s="361">
        <v>55</v>
      </c>
      <c r="AT48" s="361">
        <v>71</v>
      </c>
      <c r="AU48" s="454">
        <v>89.3</v>
      </c>
      <c r="AV48" s="361">
        <v>74</v>
      </c>
      <c r="AW48" s="361">
        <v>81</v>
      </c>
      <c r="AX48" s="361">
        <v>81.8</v>
      </c>
      <c r="AY48" s="361">
        <v>79</v>
      </c>
      <c r="AZ48" s="361">
        <v>92.6</v>
      </c>
      <c r="BA48" s="361">
        <v>82.2</v>
      </c>
      <c r="BB48" s="361">
        <v>55</v>
      </c>
      <c r="BC48" s="460">
        <v>70</v>
      </c>
      <c r="BD48" s="355">
        <v>89.1</v>
      </c>
      <c r="BE48" s="355">
        <v>70</v>
      </c>
      <c r="BF48" s="355">
        <v>82</v>
      </c>
      <c r="BG48" s="355">
        <v>81.599999999999994</v>
      </c>
      <c r="BH48" s="355">
        <v>81</v>
      </c>
      <c r="BI48" s="361">
        <v>92.5</v>
      </c>
      <c r="BJ48" s="355">
        <v>86</v>
      </c>
      <c r="BK48" s="361">
        <v>81.8</v>
      </c>
      <c r="BL48" s="361">
        <v>50</v>
      </c>
      <c r="BM48" s="460">
        <v>71</v>
      </c>
      <c r="BN48" s="33">
        <v>88.7</v>
      </c>
      <c r="BO48" s="33">
        <v>71</v>
      </c>
      <c r="BP48" s="33">
        <v>82</v>
      </c>
      <c r="BQ48" s="33">
        <v>80.900000000000006</v>
      </c>
      <c r="BR48" s="33">
        <v>78</v>
      </c>
      <c r="BS48" s="33">
        <v>92.5</v>
      </c>
      <c r="BT48" s="33">
        <v>85</v>
      </c>
      <c r="BU48" s="33">
        <v>81.2</v>
      </c>
      <c r="BV48" s="33">
        <v>49</v>
      </c>
      <c r="BW48" s="33">
        <v>69</v>
      </c>
      <c r="BX48" s="33">
        <v>59</v>
      </c>
      <c r="BY48" s="462" t="s">
        <v>47</v>
      </c>
      <c r="BZ48" s="361">
        <v>88.4</v>
      </c>
      <c r="CA48" s="361">
        <v>71</v>
      </c>
      <c r="CB48" s="361">
        <v>84</v>
      </c>
      <c r="CC48" s="361">
        <v>80.5</v>
      </c>
      <c r="CD48" s="361">
        <v>78</v>
      </c>
      <c r="CE48" s="361">
        <v>92.5</v>
      </c>
      <c r="CF48" s="361">
        <v>82</v>
      </c>
      <c r="CG48" s="361">
        <v>81.400000000000006</v>
      </c>
      <c r="CH48" s="361">
        <v>49</v>
      </c>
      <c r="CI48" s="361">
        <v>69</v>
      </c>
      <c r="CJ48" s="361">
        <v>60</v>
      </c>
      <c r="CK48" s="460">
        <v>51</v>
      </c>
      <c r="CL48">
        <v>87.5</v>
      </c>
      <c r="CM48">
        <v>92.2</v>
      </c>
      <c r="CN48">
        <v>75</v>
      </c>
      <c r="CO48">
        <v>77.7</v>
      </c>
      <c r="CP48">
        <v>86</v>
      </c>
      <c r="CQ48">
        <v>72</v>
      </c>
      <c r="CR48">
        <v>83</v>
      </c>
      <c r="CS48">
        <v>65</v>
      </c>
      <c r="CT48">
        <v>52</v>
      </c>
      <c r="CU48">
        <v>79.7</v>
      </c>
      <c r="CV48">
        <v>63</v>
      </c>
      <c r="CW48">
        <v>55</v>
      </c>
    </row>
    <row r="49" spans="1:101">
      <c r="A49" s="2" t="s">
        <v>73</v>
      </c>
      <c r="B49" s="385">
        <v>86</v>
      </c>
      <c r="C49" s="385">
        <v>62</v>
      </c>
      <c r="D49" s="385">
        <v>88</v>
      </c>
      <c r="E49" s="385">
        <v>76</v>
      </c>
      <c r="F49" s="385">
        <v>74</v>
      </c>
      <c r="G49" s="385">
        <v>90</v>
      </c>
      <c r="H49" s="385">
        <v>76</v>
      </c>
      <c r="I49" s="385">
        <v>61</v>
      </c>
      <c r="J49" s="386">
        <v>67</v>
      </c>
      <c r="K49" s="385">
        <v>87</v>
      </c>
      <c r="L49" s="385">
        <v>63</v>
      </c>
      <c r="M49" s="385">
        <v>86</v>
      </c>
      <c r="N49" s="385">
        <v>73</v>
      </c>
      <c r="O49" s="385">
        <v>76</v>
      </c>
      <c r="P49" s="385">
        <v>90</v>
      </c>
      <c r="Q49" s="385">
        <v>74</v>
      </c>
      <c r="R49" s="385">
        <v>68</v>
      </c>
      <c r="S49" s="386">
        <v>68</v>
      </c>
      <c r="T49" s="355">
        <v>87.5</v>
      </c>
      <c r="U49" s="355">
        <v>63</v>
      </c>
      <c r="V49" s="355">
        <v>88</v>
      </c>
      <c r="W49" s="355">
        <v>78</v>
      </c>
      <c r="X49" s="355">
        <v>80</v>
      </c>
      <c r="Y49" s="355">
        <v>90.4</v>
      </c>
      <c r="Z49" s="355">
        <v>72</v>
      </c>
      <c r="AA49" s="361">
        <v>61</v>
      </c>
      <c r="AB49" s="361">
        <v>70</v>
      </c>
      <c r="AC49" s="454">
        <v>87.2</v>
      </c>
      <c r="AD49" s="361">
        <v>66</v>
      </c>
      <c r="AE49" s="361">
        <v>85</v>
      </c>
      <c r="AF49" s="361">
        <v>74</v>
      </c>
      <c r="AG49" s="361">
        <v>76</v>
      </c>
      <c r="AH49" s="361">
        <v>90.2</v>
      </c>
      <c r="AI49" s="361">
        <v>72</v>
      </c>
      <c r="AJ49" s="361">
        <v>64</v>
      </c>
      <c r="AK49" s="460">
        <v>70</v>
      </c>
      <c r="AL49" s="361">
        <v>86.6</v>
      </c>
      <c r="AM49" s="361">
        <v>60</v>
      </c>
      <c r="AN49" s="361">
        <v>78</v>
      </c>
      <c r="AO49" s="361">
        <v>75</v>
      </c>
      <c r="AP49" s="361">
        <v>76</v>
      </c>
      <c r="AQ49" s="361">
        <v>90.6</v>
      </c>
      <c r="AR49" s="361">
        <v>71</v>
      </c>
      <c r="AS49" s="361">
        <v>62</v>
      </c>
      <c r="AT49" s="361">
        <v>68</v>
      </c>
      <c r="AU49" s="454">
        <v>87.5</v>
      </c>
      <c r="AV49" s="361">
        <v>66</v>
      </c>
      <c r="AW49" s="361">
        <v>88</v>
      </c>
      <c r="AX49" s="361">
        <v>77</v>
      </c>
      <c r="AY49" s="361">
        <v>77</v>
      </c>
      <c r="AZ49" s="361">
        <v>90.8</v>
      </c>
      <c r="BA49" s="361">
        <v>71</v>
      </c>
      <c r="BB49" s="361">
        <v>69</v>
      </c>
      <c r="BC49" s="460">
        <v>68</v>
      </c>
      <c r="BD49" s="355">
        <v>87.2</v>
      </c>
      <c r="BE49" s="355">
        <v>68</v>
      </c>
      <c r="BF49" s="355">
        <v>80</v>
      </c>
      <c r="BG49" s="361">
        <v>76</v>
      </c>
      <c r="BH49" s="355">
        <v>75</v>
      </c>
      <c r="BI49" s="361">
        <v>90.5</v>
      </c>
      <c r="BJ49" s="354" t="s">
        <v>47</v>
      </c>
      <c r="BK49" s="361">
        <v>74</v>
      </c>
      <c r="BL49" s="361">
        <v>69</v>
      </c>
      <c r="BM49" s="460">
        <v>66</v>
      </c>
      <c r="BN49" s="33">
        <v>88.1</v>
      </c>
      <c r="BO49" s="33">
        <v>72</v>
      </c>
      <c r="BP49" s="33">
        <v>89</v>
      </c>
      <c r="BQ49" s="33">
        <v>75</v>
      </c>
      <c r="BR49" s="33">
        <v>76</v>
      </c>
      <c r="BS49" s="33">
        <v>91.4</v>
      </c>
      <c r="BT49" s="33" t="s">
        <v>47</v>
      </c>
      <c r="BU49" s="33">
        <v>75</v>
      </c>
      <c r="BV49" s="33">
        <v>68</v>
      </c>
      <c r="BW49" s="33">
        <v>69</v>
      </c>
      <c r="BX49" s="33">
        <v>52</v>
      </c>
      <c r="BY49" s="462">
        <v>71</v>
      </c>
      <c r="BZ49" s="361">
        <v>88.3</v>
      </c>
      <c r="CA49" s="361">
        <v>72</v>
      </c>
      <c r="CB49" s="361">
        <v>86</v>
      </c>
      <c r="CC49" s="361">
        <v>74</v>
      </c>
      <c r="CD49" s="361">
        <v>81</v>
      </c>
      <c r="CE49" s="361">
        <v>91.8</v>
      </c>
      <c r="CF49" s="8" t="s">
        <v>47</v>
      </c>
      <c r="CG49" s="361">
        <v>77</v>
      </c>
      <c r="CH49" s="361">
        <v>72</v>
      </c>
      <c r="CI49" s="361">
        <v>73</v>
      </c>
      <c r="CJ49" s="361">
        <v>61</v>
      </c>
      <c r="CK49" s="460">
        <v>65</v>
      </c>
      <c r="CL49">
        <v>89</v>
      </c>
      <c r="CM49">
        <v>92.2</v>
      </c>
      <c r="CN49">
        <v>82</v>
      </c>
      <c r="CO49">
        <v>78</v>
      </c>
      <c r="CP49">
        <v>88</v>
      </c>
      <c r="CQ49">
        <v>73</v>
      </c>
      <c r="CR49" s="361" t="s">
        <v>47</v>
      </c>
      <c r="CS49">
        <v>72</v>
      </c>
      <c r="CT49">
        <v>83</v>
      </c>
      <c r="CU49">
        <v>77</v>
      </c>
      <c r="CV49">
        <v>65</v>
      </c>
      <c r="CW49">
        <v>73</v>
      </c>
    </row>
    <row r="50" spans="1:101">
      <c r="A50" s="2" t="s">
        <v>74</v>
      </c>
      <c r="B50" s="385">
        <v>80</v>
      </c>
      <c r="C50" s="385">
        <v>71</v>
      </c>
      <c r="D50" s="385">
        <v>88</v>
      </c>
      <c r="E50" s="385">
        <v>66</v>
      </c>
      <c r="F50" s="385">
        <v>59</v>
      </c>
      <c r="G50" s="385">
        <v>85</v>
      </c>
      <c r="H50" s="385">
        <v>65</v>
      </c>
      <c r="I50" s="385">
        <v>53</v>
      </c>
      <c r="J50" s="386">
        <v>67</v>
      </c>
      <c r="K50" s="385">
        <v>81</v>
      </c>
      <c r="L50" s="385">
        <v>65</v>
      </c>
      <c r="M50" s="385">
        <v>90</v>
      </c>
      <c r="N50" s="385">
        <v>68</v>
      </c>
      <c r="O50" s="385">
        <v>61</v>
      </c>
      <c r="P50" s="385">
        <v>86</v>
      </c>
      <c r="Q50" s="385">
        <v>68</v>
      </c>
      <c r="R50" s="385">
        <v>62</v>
      </c>
      <c r="S50" s="386">
        <v>68</v>
      </c>
      <c r="T50" s="355">
        <v>82.2</v>
      </c>
      <c r="U50" s="355">
        <v>68</v>
      </c>
      <c r="V50" s="355">
        <v>89</v>
      </c>
      <c r="W50" s="355">
        <v>68.900000000000006</v>
      </c>
      <c r="X50" s="355">
        <v>63.4</v>
      </c>
      <c r="Y50" s="354">
        <v>87</v>
      </c>
      <c r="Z50" s="355">
        <v>69.599999999999994</v>
      </c>
      <c r="AA50" s="361">
        <v>67</v>
      </c>
      <c r="AB50" s="361">
        <v>69.2</v>
      </c>
      <c r="AC50" s="454">
        <v>81.8</v>
      </c>
      <c r="AD50" s="361">
        <v>74</v>
      </c>
      <c r="AE50" s="361">
        <v>88</v>
      </c>
      <c r="AF50" s="361">
        <v>69.2</v>
      </c>
      <c r="AG50" s="361">
        <v>62.7</v>
      </c>
      <c r="AH50" s="361">
        <v>86.6</v>
      </c>
      <c r="AI50" s="361">
        <v>69.2</v>
      </c>
      <c r="AJ50" s="361">
        <v>66</v>
      </c>
      <c r="AK50" s="460">
        <v>68.400000000000006</v>
      </c>
      <c r="AL50" s="361">
        <v>80.7</v>
      </c>
      <c r="AM50" s="361">
        <v>75</v>
      </c>
      <c r="AN50" s="361">
        <v>86</v>
      </c>
      <c r="AO50" s="361">
        <v>69.900000000000006</v>
      </c>
      <c r="AP50" s="361">
        <v>59.7</v>
      </c>
      <c r="AQ50" s="361">
        <v>85.7</v>
      </c>
      <c r="AR50" s="361">
        <v>68.7</v>
      </c>
      <c r="AS50" s="361">
        <v>50</v>
      </c>
      <c r="AT50" s="361">
        <v>67</v>
      </c>
      <c r="AU50" s="454">
        <v>83.5</v>
      </c>
      <c r="AV50" s="361">
        <v>70</v>
      </c>
      <c r="AW50" s="361">
        <v>87</v>
      </c>
      <c r="AX50" s="361">
        <v>72.8</v>
      </c>
      <c r="AY50" s="361">
        <v>67.3</v>
      </c>
      <c r="AZ50" s="361">
        <v>87.7</v>
      </c>
      <c r="BA50" s="361">
        <v>72</v>
      </c>
      <c r="BB50" s="361">
        <v>50</v>
      </c>
      <c r="BC50" s="460">
        <v>69.599999999999994</v>
      </c>
      <c r="BD50" s="355">
        <v>84.2</v>
      </c>
      <c r="BE50" s="355">
        <v>76</v>
      </c>
      <c r="BF50" s="355">
        <v>88</v>
      </c>
      <c r="BG50" s="355">
        <v>73.599999999999994</v>
      </c>
      <c r="BH50" s="355">
        <v>68.599999999999994</v>
      </c>
      <c r="BI50" s="361">
        <v>88.2</v>
      </c>
      <c r="BJ50" s="355">
        <v>78.7</v>
      </c>
      <c r="BK50" s="361">
        <v>73.099999999999994</v>
      </c>
      <c r="BL50" s="361">
        <v>55</v>
      </c>
      <c r="BM50" s="460">
        <v>70.5</v>
      </c>
      <c r="BN50" s="33">
        <v>82.1</v>
      </c>
      <c r="BO50" s="33">
        <v>70</v>
      </c>
      <c r="BP50" s="33">
        <v>90</v>
      </c>
      <c r="BQ50" s="33">
        <v>72.8</v>
      </c>
      <c r="BR50" s="33">
        <v>68.599999999999994</v>
      </c>
      <c r="BS50" s="33">
        <v>85.6</v>
      </c>
      <c r="BT50" s="33">
        <v>77.099999999999994</v>
      </c>
      <c r="BU50" s="33">
        <v>70.900000000000006</v>
      </c>
      <c r="BV50" s="33">
        <v>64.5</v>
      </c>
      <c r="BW50" s="33">
        <v>51.4</v>
      </c>
      <c r="BX50" s="33">
        <v>50.7</v>
      </c>
      <c r="BY50" s="462">
        <v>52</v>
      </c>
      <c r="BZ50" s="361">
        <v>82</v>
      </c>
      <c r="CA50" s="361">
        <v>71</v>
      </c>
      <c r="CB50" s="361">
        <v>90.7</v>
      </c>
      <c r="CC50" s="361">
        <v>73.400000000000006</v>
      </c>
      <c r="CD50" s="361">
        <v>69.400000000000006</v>
      </c>
      <c r="CE50" s="361">
        <v>85.3</v>
      </c>
      <c r="CF50" s="361">
        <v>76.900000000000006</v>
      </c>
      <c r="CG50" s="361">
        <v>71</v>
      </c>
      <c r="CH50" s="361">
        <v>65.2</v>
      </c>
      <c r="CI50" s="361">
        <v>48</v>
      </c>
      <c r="CJ50" s="361">
        <v>54</v>
      </c>
      <c r="CK50" s="460">
        <v>52</v>
      </c>
      <c r="CL50">
        <v>84.4</v>
      </c>
      <c r="CM50">
        <v>87.6</v>
      </c>
      <c r="CN50">
        <v>72.400000000000006</v>
      </c>
      <c r="CO50">
        <v>76.400000000000006</v>
      </c>
      <c r="CP50">
        <v>91.4</v>
      </c>
      <c r="CQ50">
        <v>78</v>
      </c>
      <c r="CR50">
        <v>80.5</v>
      </c>
      <c r="CS50">
        <v>56.9</v>
      </c>
      <c r="CT50">
        <v>68</v>
      </c>
      <c r="CU50">
        <v>74.3</v>
      </c>
      <c r="CV50">
        <v>58.7</v>
      </c>
      <c r="CW50">
        <v>57</v>
      </c>
    </row>
    <row r="51" spans="1:101">
      <c r="A51" s="2" t="s">
        <v>75</v>
      </c>
      <c r="B51" s="385">
        <v>83</v>
      </c>
      <c r="C51" s="385">
        <v>47</v>
      </c>
      <c r="D51" s="385">
        <v>84</v>
      </c>
      <c r="E51" s="385">
        <v>67</v>
      </c>
      <c r="F51" s="385">
        <v>67</v>
      </c>
      <c r="G51" s="385">
        <v>89</v>
      </c>
      <c r="H51" s="385">
        <v>67</v>
      </c>
      <c r="I51" s="385">
        <v>60</v>
      </c>
      <c r="J51" s="386">
        <v>64</v>
      </c>
      <c r="K51" s="385">
        <v>83</v>
      </c>
      <c r="L51" s="385">
        <v>47</v>
      </c>
      <c r="M51" s="385">
        <v>84</v>
      </c>
      <c r="N51" s="385">
        <v>67</v>
      </c>
      <c r="O51" s="385">
        <v>67</v>
      </c>
      <c r="P51" s="385">
        <v>89</v>
      </c>
      <c r="Q51" s="385">
        <v>67</v>
      </c>
      <c r="R51" s="385">
        <v>60</v>
      </c>
      <c r="S51" s="386">
        <v>64</v>
      </c>
      <c r="T51" s="355">
        <v>82.7</v>
      </c>
      <c r="U51" s="355">
        <v>49</v>
      </c>
      <c r="V51" s="355">
        <v>85</v>
      </c>
      <c r="W51" s="355">
        <v>69</v>
      </c>
      <c r="X51" s="355">
        <v>72</v>
      </c>
      <c r="Y51" s="354">
        <v>88</v>
      </c>
      <c r="Z51" s="355">
        <v>67</v>
      </c>
      <c r="AA51" s="361">
        <v>59</v>
      </c>
      <c r="AB51" s="361">
        <v>60</v>
      </c>
      <c r="AC51" s="454">
        <v>82.7</v>
      </c>
      <c r="AD51" s="361">
        <v>47</v>
      </c>
      <c r="AE51" s="361">
        <v>80</v>
      </c>
      <c r="AF51" s="361">
        <v>71</v>
      </c>
      <c r="AG51" s="361">
        <v>73</v>
      </c>
      <c r="AH51" s="361">
        <v>88.5</v>
      </c>
      <c r="AI51" s="361">
        <v>65</v>
      </c>
      <c r="AJ51" s="361">
        <v>57</v>
      </c>
      <c r="AK51" s="460">
        <v>59</v>
      </c>
      <c r="AL51" s="361">
        <v>83.9</v>
      </c>
      <c r="AM51" s="361">
        <v>49</v>
      </c>
      <c r="AN51" s="361">
        <v>81</v>
      </c>
      <c r="AO51" s="361">
        <v>70</v>
      </c>
      <c r="AP51" s="361">
        <v>72</v>
      </c>
      <c r="AQ51" s="361">
        <v>89.5</v>
      </c>
      <c r="AR51" s="361">
        <v>67</v>
      </c>
      <c r="AS51" s="361">
        <v>56</v>
      </c>
      <c r="AT51" s="361">
        <v>60</v>
      </c>
      <c r="AU51" s="454">
        <v>83.9</v>
      </c>
      <c r="AV51" s="361">
        <v>51</v>
      </c>
      <c r="AW51" s="361">
        <v>79</v>
      </c>
      <c r="AX51" s="361">
        <v>73</v>
      </c>
      <c r="AY51" s="361">
        <v>77</v>
      </c>
      <c r="AZ51" s="361">
        <v>89.3</v>
      </c>
      <c r="BA51" s="361">
        <v>67</v>
      </c>
      <c r="BB51" s="361">
        <v>57</v>
      </c>
      <c r="BC51" s="460">
        <v>60</v>
      </c>
      <c r="BD51" s="355">
        <v>83.7</v>
      </c>
      <c r="BE51" s="355">
        <v>50</v>
      </c>
      <c r="BF51" s="355">
        <v>85</v>
      </c>
      <c r="BG51" s="361">
        <v>71</v>
      </c>
      <c r="BH51" s="361">
        <v>78</v>
      </c>
      <c r="BI51" s="361">
        <v>89.5</v>
      </c>
      <c r="BJ51" s="355">
        <v>78</v>
      </c>
      <c r="BK51" s="361">
        <v>67</v>
      </c>
      <c r="BL51" s="361">
        <v>59</v>
      </c>
      <c r="BM51" s="460">
        <v>60</v>
      </c>
      <c r="BN51" s="33">
        <v>84.1</v>
      </c>
      <c r="BO51" s="33">
        <v>50</v>
      </c>
      <c r="BP51" s="33">
        <v>87</v>
      </c>
      <c r="BQ51" s="33">
        <v>71</v>
      </c>
      <c r="BR51" s="33">
        <v>75</v>
      </c>
      <c r="BS51" s="33">
        <v>89.9</v>
      </c>
      <c r="BT51" s="33">
        <v>80</v>
      </c>
      <c r="BU51" s="33">
        <v>69</v>
      </c>
      <c r="BV51" s="33">
        <v>77</v>
      </c>
      <c r="BW51" s="33">
        <v>63</v>
      </c>
      <c r="BX51" s="33">
        <v>60</v>
      </c>
      <c r="BY51" s="462" t="s">
        <v>47</v>
      </c>
      <c r="BZ51" s="361">
        <v>84.1</v>
      </c>
      <c r="CA51" s="361">
        <v>54</v>
      </c>
      <c r="CB51" s="361">
        <v>90</v>
      </c>
      <c r="CC51" s="361">
        <v>74</v>
      </c>
      <c r="CD51" s="361">
        <v>79</v>
      </c>
      <c r="CE51" s="361">
        <v>89.7</v>
      </c>
      <c r="CF51" s="361">
        <v>75</v>
      </c>
      <c r="CG51" s="361">
        <v>75</v>
      </c>
      <c r="CH51" s="361">
        <v>73</v>
      </c>
      <c r="CI51" s="361">
        <v>72</v>
      </c>
      <c r="CJ51" s="361">
        <v>59</v>
      </c>
      <c r="CK51" s="460">
        <v>47</v>
      </c>
      <c r="CL51">
        <v>84.2</v>
      </c>
      <c r="CM51">
        <v>89.9</v>
      </c>
      <c r="CN51">
        <v>80</v>
      </c>
      <c r="CO51">
        <v>72</v>
      </c>
      <c r="CP51">
        <v>83</v>
      </c>
      <c r="CQ51">
        <v>53</v>
      </c>
      <c r="CR51">
        <v>78</v>
      </c>
      <c r="CS51">
        <v>69</v>
      </c>
      <c r="CT51">
        <v>65</v>
      </c>
      <c r="CU51">
        <v>69</v>
      </c>
      <c r="CV51">
        <v>53</v>
      </c>
      <c r="CW51">
        <v>43</v>
      </c>
    </row>
    <row r="52" spans="1:101">
      <c r="A52" s="6" t="s">
        <v>76</v>
      </c>
      <c r="B52" s="387">
        <v>87</v>
      </c>
      <c r="C52" s="387">
        <v>75</v>
      </c>
      <c r="D52" s="387">
        <v>89</v>
      </c>
      <c r="E52" s="387">
        <v>72</v>
      </c>
      <c r="F52" s="387">
        <v>64</v>
      </c>
      <c r="G52" s="387">
        <v>91</v>
      </c>
      <c r="H52" s="387">
        <v>74</v>
      </c>
      <c r="I52" s="387">
        <v>66</v>
      </c>
      <c r="J52" s="388">
        <v>67</v>
      </c>
      <c r="K52" s="387">
        <v>88</v>
      </c>
      <c r="L52" s="387">
        <v>77</v>
      </c>
      <c r="M52" s="387">
        <v>89</v>
      </c>
      <c r="N52" s="387">
        <v>74</v>
      </c>
      <c r="O52" s="387">
        <v>64</v>
      </c>
      <c r="P52" s="387">
        <v>92</v>
      </c>
      <c r="Q52" s="387">
        <v>75</v>
      </c>
      <c r="R52" s="387">
        <v>66</v>
      </c>
      <c r="S52" s="388">
        <v>69</v>
      </c>
      <c r="T52" s="362">
        <v>88</v>
      </c>
      <c r="U52" s="357">
        <v>76</v>
      </c>
      <c r="V52" s="357">
        <v>90</v>
      </c>
      <c r="W52" s="357">
        <v>74.3</v>
      </c>
      <c r="X52" s="357">
        <v>66.099999999999994</v>
      </c>
      <c r="Y52" s="362">
        <v>92.4</v>
      </c>
      <c r="Z52" s="357">
        <v>76.599999999999994</v>
      </c>
      <c r="AA52" s="363">
        <v>62</v>
      </c>
      <c r="AB52" s="363">
        <v>68.7</v>
      </c>
      <c r="AC52" s="455">
        <v>88.6</v>
      </c>
      <c r="AD52" s="363">
        <v>81</v>
      </c>
      <c r="AE52" s="363">
        <v>90</v>
      </c>
      <c r="AF52" s="363">
        <v>78.099999999999994</v>
      </c>
      <c r="AG52" s="363">
        <v>66.099999999999994</v>
      </c>
      <c r="AH52" s="363">
        <v>92.9</v>
      </c>
      <c r="AI52" s="363">
        <v>77.900000000000006</v>
      </c>
      <c r="AJ52" s="363">
        <v>64</v>
      </c>
      <c r="AK52" s="422">
        <v>69</v>
      </c>
      <c r="AL52" s="361">
        <v>88.4</v>
      </c>
      <c r="AM52" s="361">
        <v>78</v>
      </c>
      <c r="AN52" s="361">
        <v>91</v>
      </c>
      <c r="AO52" s="361">
        <v>77.5</v>
      </c>
      <c r="AP52" s="361">
        <v>64.099999999999994</v>
      </c>
      <c r="AQ52" s="361">
        <v>92.9</v>
      </c>
      <c r="AR52" s="361">
        <v>77.3</v>
      </c>
      <c r="AS52" s="361">
        <v>62</v>
      </c>
      <c r="AT52" s="363">
        <v>67.5</v>
      </c>
      <c r="AU52" s="454">
        <v>88.2</v>
      </c>
      <c r="AV52" s="361">
        <v>78</v>
      </c>
      <c r="AW52" s="361">
        <v>89</v>
      </c>
      <c r="AX52" s="361">
        <v>79.900000000000006</v>
      </c>
      <c r="AY52" s="361">
        <v>64.2</v>
      </c>
      <c r="AZ52" s="361">
        <v>92.7</v>
      </c>
      <c r="BA52" s="361">
        <v>77.400000000000006</v>
      </c>
      <c r="BB52" s="361">
        <v>66</v>
      </c>
      <c r="BC52" s="422">
        <v>68.5</v>
      </c>
      <c r="BD52" s="473">
        <v>88.6</v>
      </c>
      <c r="BE52" s="357">
        <v>79</v>
      </c>
      <c r="BF52" s="357">
        <v>91</v>
      </c>
      <c r="BG52" s="363">
        <v>80.3</v>
      </c>
      <c r="BH52" s="363">
        <v>67</v>
      </c>
      <c r="BI52" s="363">
        <v>92.7</v>
      </c>
      <c r="BJ52" s="357">
        <v>84</v>
      </c>
      <c r="BK52" s="363">
        <v>77.400000000000006</v>
      </c>
      <c r="BL52" s="363">
        <v>65</v>
      </c>
      <c r="BM52" s="422">
        <v>68.2</v>
      </c>
      <c r="BN52" s="492">
        <v>89.7</v>
      </c>
      <c r="BO52" s="30">
        <v>78</v>
      </c>
      <c r="BP52" s="30">
        <v>91</v>
      </c>
      <c r="BQ52" s="30">
        <v>82.4</v>
      </c>
      <c r="BR52" s="30">
        <v>69.5</v>
      </c>
      <c r="BS52" s="30">
        <v>93.6</v>
      </c>
      <c r="BT52" s="30">
        <v>85</v>
      </c>
      <c r="BU52" s="30">
        <v>80.3</v>
      </c>
      <c r="BV52" s="30">
        <v>70</v>
      </c>
      <c r="BW52" s="30">
        <v>68.599999999999994</v>
      </c>
      <c r="BX52" s="30">
        <v>70</v>
      </c>
      <c r="BY52" s="509">
        <v>51</v>
      </c>
      <c r="BZ52" s="361">
        <v>90.1</v>
      </c>
      <c r="CA52" s="361">
        <v>79</v>
      </c>
      <c r="CB52" s="361">
        <v>92</v>
      </c>
      <c r="CC52" s="361">
        <v>82.8</v>
      </c>
      <c r="CD52" s="361">
        <v>71.400000000000006</v>
      </c>
      <c r="CE52" s="361">
        <v>93.8</v>
      </c>
      <c r="CF52" s="361">
        <v>86</v>
      </c>
      <c r="CG52" s="361">
        <v>80.5</v>
      </c>
      <c r="CH52" s="361">
        <v>75</v>
      </c>
      <c r="CI52" s="361">
        <v>69.8</v>
      </c>
      <c r="CJ52" s="361">
        <v>68</v>
      </c>
      <c r="CK52" s="460">
        <v>53</v>
      </c>
      <c r="CL52">
        <v>90.4</v>
      </c>
      <c r="CM52">
        <v>94.2</v>
      </c>
      <c r="CN52">
        <v>70.900000000000006</v>
      </c>
      <c r="CO52">
        <v>83.7</v>
      </c>
      <c r="CP52">
        <v>92</v>
      </c>
      <c r="CQ52">
        <v>85</v>
      </c>
      <c r="CR52">
        <v>87</v>
      </c>
      <c r="CS52">
        <v>69.7</v>
      </c>
      <c r="CT52">
        <v>77</v>
      </c>
      <c r="CU52">
        <v>81.599999999999994</v>
      </c>
      <c r="CV52">
        <v>67</v>
      </c>
      <c r="CW52">
        <v>60</v>
      </c>
    </row>
    <row r="53" spans="1:101">
      <c r="A53" s="3" t="s">
        <v>143</v>
      </c>
      <c r="B53" s="373">
        <f>MEDIAN(B55:B63)</f>
        <v>83</v>
      </c>
      <c r="C53" s="373">
        <f t="shared" ref="C53:J53" si="12">MEDIAN(C55:C63)</f>
        <v>76.5</v>
      </c>
      <c r="D53" s="373">
        <f t="shared" si="12"/>
        <v>88</v>
      </c>
      <c r="E53" s="373">
        <f t="shared" si="12"/>
        <v>67</v>
      </c>
      <c r="F53" s="373">
        <f t="shared" si="12"/>
        <v>71</v>
      </c>
      <c r="G53" s="373">
        <f t="shared" si="12"/>
        <v>88</v>
      </c>
      <c r="H53" s="373">
        <f t="shared" si="12"/>
        <v>71</v>
      </c>
      <c r="I53" s="373">
        <f t="shared" si="12"/>
        <v>68</v>
      </c>
      <c r="J53" s="373">
        <f t="shared" si="12"/>
        <v>66</v>
      </c>
      <c r="K53" s="373">
        <f>MEDIAN(K55:K63)</f>
        <v>85</v>
      </c>
      <c r="L53" s="373">
        <f t="shared" ref="L53:S53" si="13">MEDIAN(L55:L63)</f>
        <v>71.5</v>
      </c>
      <c r="M53" s="373">
        <f t="shared" si="13"/>
        <v>89</v>
      </c>
      <c r="N53" s="373">
        <f t="shared" si="13"/>
        <v>68</v>
      </c>
      <c r="O53" s="373">
        <f t="shared" si="13"/>
        <v>73</v>
      </c>
      <c r="P53" s="373">
        <f t="shared" si="13"/>
        <v>89</v>
      </c>
      <c r="Q53" s="373">
        <f t="shared" si="13"/>
        <v>72</v>
      </c>
      <c r="R53" s="373">
        <f t="shared" si="13"/>
        <v>64</v>
      </c>
      <c r="S53" s="373">
        <f t="shared" si="13"/>
        <v>69</v>
      </c>
      <c r="T53" s="373">
        <f>MEDIAN(T55:T63)</f>
        <v>85.5</v>
      </c>
      <c r="U53" s="373">
        <f t="shared" ref="U53:CF53" si="14">MEDIAN(U55:U63)</f>
        <v>74</v>
      </c>
      <c r="V53" s="373">
        <f t="shared" si="14"/>
        <v>89</v>
      </c>
      <c r="W53" s="373">
        <f t="shared" si="14"/>
        <v>70.7</v>
      </c>
      <c r="X53" s="373">
        <f t="shared" si="14"/>
        <v>73.8</v>
      </c>
      <c r="Y53" s="373">
        <f t="shared" si="14"/>
        <v>87.8</v>
      </c>
      <c r="Z53" s="373">
        <f t="shared" si="14"/>
        <v>75</v>
      </c>
      <c r="AA53" s="373">
        <f t="shared" si="14"/>
        <v>67</v>
      </c>
      <c r="AB53" s="373">
        <f t="shared" si="14"/>
        <v>68</v>
      </c>
      <c r="AC53" s="453">
        <f t="shared" si="14"/>
        <v>86.5</v>
      </c>
      <c r="AD53" s="408">
        <f t="shared" si="14"/>
        <v>81</v>
      </c>
      <c r="AE53" s="408">
        <f t="shared" si="14"/>
        <v>90.4</v>
      </c>
      <c r="AF53" s="408">
        <f t="shared" si="14"/>
        <v>72</v>
      </c>
      <c r="AG53" s="408">
        <f t="shared" si="14"/>
        <v>75</v>
      </c>
      <c r="AH53" s="408">
        <f t="shared" si="14"/>
        <v>88.6</v>
      </c>
      <c r="AI53" s="408">
        <f t="shared" si="14"/>
        <v>76.5</v>
      </c>
      <c r="AJ53" s="408">
        <f t="shared" si="14"/>
        <v>69</v>
      </c>
      <c r="AK53" s="459">
        <f t="shared" si="14"/>
        <v>70</v>
      </c>
      <c r="AL53" s="415">
        <f t="shared" si="14"/>
        <v>87.3</v>
      </c>
      <c r="AM53" s="415">
        <f t="shared" si="14"/>
        <v>78</v>
      </c>
      <c r="AN53" s="415">
        <f t="shared" si="14"/>
        <v>91</v>
      </c>
      <c r="AO53" s="415">
        <f t="shared" si="14"/>
        <v>75</v>
      </c>
      <c r="AP53" s="415">
        <f t="shared" si="14"/>
        <v>78</v>
      </c>
      <c r="AQ53" s="415">
        <f t="shared" si="14"/>
        <v>88.9</v>
      </c>
      <c r="AR53" s="415">
        <f t="shared" si="14"/>
        <v>75.900000000000006</v>
      </c>
      <c r="AS53" s="415">
        <f t="shared" si="14"/>
        <v>69</v>
      </c>
      <c r="AT53" s="408">
        <f t="shared" si="14"/>
        <v>71.5</v>
      </c>
      <c r="AU53" s="415">
        <f t="shared" si="14"/>
        <v>87.4</v>
      </c>
      <c r="AV53" s="415">
        <f t="shared" si="14"/>
        <v>80.5</v>
      </c>
      <c r="AW53" s="415">
        <f t="shared" si="14"/>
        <v>92</v>
      </c>
      <c r="AX53" s="415">
        <f t="shared" si="14"/>
        <v>76.400000000000006</v>
      </c>
      <c r="AY53" s="415">
        <f t="shared" si="14"/>
        <v>78</v>
      </c>
      <c r="AZ53" s="415">
        <f t="shared" si="14"/>
        <v>89.3</v>
      </c>
      <c r="BA53" s="415">
        <f t="shared" si="14"/>
        <v>78</v>
      </c>
      <c r="BB53" s="415">
        <f t="shared" si="14"/>
        <v>68</v>
      </c>
      <c r="BC53" s="408">
        <f t="shared" si="14"/>
        <v>72</v>
      </c>
      <c r="BD53" s="354">
        <f t="shared" si="14"/>
        <v>87.9</v>
      </c>
      <c r="BE53" s="354">
        <f t="shared" si="14"/>
        <v>74</v>
      </c>
      <c r="BF53" s="354">
        <f t="shared" si="14"/>
        <v>92.4</v>
      </c>
      <c r="BG53" s="354">
        <f t="shared" si="14"/>
        <v>76</v>
      </c>
      <c r="BH53" s="354">
        <f t="shared" si="14"/>
        <v>80</v>
      </c>
      <c r="BI53" s="8">
        <f t="shared" si="14"/>
        <v>89.8</v>
      </c>
      <c r="BJ53" s="354">
        <f t="shared" si="14"/>
        <v>83</v>
      </c>
      <c r="BK53" s="8">
        <f t="shared" si="14"/>
        <v>79</v>
      </c>
      <c r="BL53" s="8">
        <f t="shared" si="14"/>
        <v>68</v>
      </c>
      <c r="BM53" s="8">
        <f t="shared" si="14"/>
        <v>72.8</v>
      </c>
      <c r="BN53" s="92">
        <f t="shared" si="14"/>
        <v>86.7</v>
      </c>
      <c r="BO53" s="92">
        <f t="shared" si="14"/>
        <v>81</v>
      </c>
      <c r="BP53" s="92">
        <f t="shared" si="14"/>
        <v>92.4</v>
      </c>
      <c r="BQ53" s="92">
        <f t="shared" si="14"/>
        <v>77</v>
      </c>
      <c r="BR53" s="92">
        <f t="shared" si="14"/>
        <v>80.099999999999994</v>
      </c>
      <c r="BS53" s="92">
        <f t="shared" si="14"/>
        <v>90.1</v>
      </c>
      <c r="BT53" s="92">
        <f t="shared" si="14"/>
        <v>84</v>
      </c>
      <c r="BU53" s="92">
        <f t="shared" si="14"/>
        <v>77.8</v>
      </c>
      <c r="BV53" s="92">
        <f t="shared" si="14"/>
        <v>67</v>
      </c>
      <c r="BW53" s="92">
        <f t="shared" si="14"/>
        <v>70.2</v>
      </c>
      <c r="BX53" s="92">
        <f t="shared" si="14"/>
        <v>65</v>
      </c>
      <c r="BY53" s="343">
        <f t="shared" si="14"/>
        <v>58.5</v>
      </c>
      <c r="BZ53" s="92">
        <f t="shared" si="14"/>
        <v>87.4</v>
      </c>
      <c r="CA53" s="92">
        <f t="shared" si="14"/>
        <v>80</v>
      </c>
      <c r="CB53" s="92">
        <f t="shared" si="14"/>
        <v>93.2</v>
      </c>
      <c r="CC53" s="92">
        <f t="shared" si="14"/>
        <v>76.099999999999994</v>
      </c>
      <c r="CD53" s="92">
        <f t="shared" si="14"/>
        <v>79.900000000000006</v>
      </c>
      <c r="CE53" s="92">
        <f t="shared" si="14"/>
        <v>90.2</v>
      </c>
      <c r="CF53" s="92">
        <f t="shared" si="14"/>
        <v>83.6</v>
      </c>
      <c r="CG53" s="92">
        <f t="shared" ref="CG53:CV53" si="15">MEDIAN(CG55:CG63)</f>
        <v>78.400000000000006</v>
      </c>
      <c r="CH53" s="92">
        <f t="shared" si="15"/>
        <v>68.599999999999994</v>
      </c>
      <c r="CI53" s="92">
        <f t="shared" si="15"/>
        <v>71</v>
      </c>
      <c r="CJ53" s="92">
        <f t="shared" si="15"/>
        <v>65</v>
      </c>
      <c r="CK53" s="343">
        <f t="shared" si="15"/>
        <v>51.5</v>
      </c>
      <c r="CL53" s="92">
        <f t="shared" si="15"/>
        <v>87.4</v>
      </c>
      <c r="CM53" s="92">
        <f t="shared" si="15"/>
        <v>90.4</v>
      </c>
      <c r="CN53" s="92">
        <f t="shared" si="15"/>
        <v>80</v>
      </c>
      <c r="CO53" s="92">
        <f t="shared" si="15"/>
        <v>77.2</v>
      </c>
      <c r="CP53" s="92">
        <f t="shared" si="15"/>
        <v>92.7</v>
      </c>
      <c r="CQ53" s="92">
        <f t="shared" si="15"/>
        <v>81.5</v>
      </c>
      <c r="CR53" s="92">
        <f t="shared" si="15"/>
        <v>83.2</v>
      </c>
      <c r="CS53" s="92">
        <f t="shared" si="15"/>
        <v>72.8</v>
      </c>
      <c r="CT53" s="92">
        <f t="shared" si="15"/>
        <v>68.3</v>
      </c>
      <c r="CU53" s="92">
        <f t="shared" si="15"/>
        <v>78.900000000000006</v>
      </c>
      <c r="CV53" s="92">
        <f t="shared" si="15"/>
        <v>62</v>
      </c>
      <c r="CW53" s="92">
        <f>MEDIAN(CW55:CW63)</f>
        <v>55.5</v>
      </c>
    </row>
    <row r="54" spans="1:101" ht="14.45">
      <c r="A54" s="3" t="s">
        <v>129</v>
      </c>
      <c r="B54" s="380"/>
      <c r="C54" s="380"/>
      <c r="D54" s="380"/>
      <c r="E54" s="380"/>
      <c r="F54" s="380"/>
      <c r="G54" s="380"/>
      <c r="H54" s="380"/>
      <c r="I54" s="380"/>
      <c r="J54" s="372"/>
      <c r="K54" s="380"/>
      <c r="L54" s="380"/>
      <c r="M54" s="380"/>
      <c r="N54" s="380"/>
      <c r="O54" s="380"/>
      <c r="P54" s="380"/>
      <c r="Q54" s="380"/>
      <c r="R54" s="380"/>
      <c r="S54" s="372"/>
      <c r="AC54" s="457"/>
      <c r="AD54" s="33"/>
      <c r="AE54" s="33"/>
      <c r="AF54" s="33"/>
      <c r="AG54" s="33"/>
      <c r="AH54" s="33"/>
      <c r="AI54" s="33"/>
      <c r="AJ54" s="33"/>
      <c r="AK54" s="462"/>
      <c r="AL54" s="33"/>
      <c r="AM54" s="33"/>
      <c r="AN54" s="33"/>
      <c r="AO54" s="33"/>
      <c r="AP54" s="33"/>
      <c r="AQ54" s="33"/>
      <c r="AR54" s="33"/>
      <c r="AS54" s="33"/>
      <c r="AT54" s="33"/>
      <c r="AU54" s="457"/>
      <c r="AV54" s="33"/>
      <c r="AW54" s="33"/>
      <c r="AX54" s="33"/>
      <c r="AY54" s="33"/>
      <c r="AZ54" s="33"/>
      <c r="BA54" s="33"/>
      <c r="BB54" s="33"/>
      <c r="BC54" s="462"/>
      <c r="BD54" s="354"/>
      <c r="BE54" s="354"/>
      <c r="BF54" s="354"/>
      <c r="BG54" s="354"/>
      <c r="BH54" s="354"/>
      <c r="BI54" s="8"/>
      <c r="BJ54" s="354"/>
      <c r="BK54" s="8"/>
      <c r="BL54" s="8"/>
      <c r="BM54" s="51"/>
      <c r="BN54" s="33"/>
      <c r="BO54" s="33"/>
      <c r="BP54" s="33"/>
      <c r="BQ54" s="33"/>
      <c r="BR54" s="33"/>
      <c r="BS54" s="33"/>
      <c r="BT54" s="33"/>
      <c r="BU54" s="33"/>
      <c r="BV54" s="33"/>
      <c r="BW54" s="33"/>
      <c r="BX54" s="33"/>
      <c r="BY54" s="462"/>
      <c r="BZ54" s="33"/>
    </row>
    <row r="55" spans="1:101">
      <c r="A55" s="2" t="s">
        <v>78</v>
      </c>
      <c r="B55" s="385">
        <v>83</v>
      </c>
      <c r="C55" s="385">
        <v>72</v>
      </c>
      <c r="D55" s="385">
        <v>92</v>
      </c>
      <c r="E55" s="385">
        <v>64</v>
      </c>
      <c r="F55" s="385">
        <v>71</v>
      </c>
      <c r="G55" s="385">
        <v>89</v>
      </c>
      <c r="H55" s="385">
        <v>63</v>
      </c>
      <c r="I55" s="385">
        <v>59</v>
      </c>
      <c r="J55" s="386">
        <v>62</v>
      </c>
      <c r="K55" s="385">
        <v>85</v>
      </c>
      <c r="L55" s="385">
        <v>84</v>
      </c>
      <c r="M55" s="385">
        <v>92</v>
      </c>
      <c r="N55" s="385">
        <v>69</v>
      </c>
      <c r="O55" s="385">
        <v>73</v>
      </c>
      <c r="P55" s="385">
        <v>91</v>
      </c>
      <c r="Q55" s="385">
        <v>71</v>
      </c>
      <c r="R55" s="385">
        <v>63</v>
      </c>
      <c r="S55" s="386">
        <v>64</v>
      </c>
      <c r="T55" s="355">
        <v>85.5</v>
      </c>
      <c r="U55" s="355">
        <v>82</v>
      </c>
      <c r="V55" s="355">
        <v>93</v>
      </c>
      <c r="W55" s="355">
        <v>70.2</v>
      </c>
      <c r="X55" s="355">
        <v>75.7</v>
      </c>
      <c r="Y55" s="355">
        <v>91.4</v>
      </c>
      <c r="Z55" s="355">
        <v>72.099999999999994</v>
      </c>
      <c r="AA55" s="361">
        <v>64</v>
      </c>
      <c r="AB55" s="361">
        <v>64.7</v>
      </c>
      <c r="AC55" s="454">
        <v>87</v>
      </c>
      <c r="AD55" s="361">
        <v>85</v>
      </c>
      <c r="AE55" s="361">
        <v>93</v>
      </c>
      <c r="AF55" s="361">
        <v>74</v>
      </c>
      <c r="AG55" s="361">
        <v>78.599999999999994</v>
      </c>
      <c r="AH55" s="361">
        <v>92.2</v>
      </c>
      <c r="AI55" s="361">
        <v>75.900000000000006</v>
      </c>
      <c r="AJ55" s="361">
        <v>63</v>
      </c>
      <c r="AK55" s="460">
        <v>65.2</v>
      </c>
      <c r="AL55" s="361">
        <v>87.2</v>
      </c>
      <c r="AM55" s="361">
        <v>87</v>
      </c>
      <c r="AN55" s="361">
        <v>95</v>
      </c>
      <c r="AO55" s="361">
        <v>74.8</v>
      </c>
      <c r="AP55" s="361">
        <v>78</v>
      </c>
      <c r="AQ55" s="361">
        <v>92.7</v>
      </c>
      <c r="AR55" s="361">
        <v>75.900000000000006</v>
      </c>
      <c r="AS55" s="361">
        <v>67</v>
      </c>
      <c r="AT55" s="361">
        <v>65.599999999999994</v>
      </c>
      <c r="AU55" s="454">
        <v>87.4</v>
      </c>
      <c r="AV55" s="361">
        <v>89</v>
      </c>
      <c r="AW55" s="361">
        <v>94</v>
      </c>
      <c r="AX55" s="361">
        <v>76.400000000000006</v>
      </c>
      <c r="AY55" s="361">
        <v>78.8</v>
      </c>
      <c r="AZ55" s="361">
        <v>92.5</v>
      </c>
      <c r="BA55" s="361">
        <v>76.7</v>
      </c>
      <c r="BB55" s="361">
        <v>67</v>
      </c>
      <c r="BC55" s="460">
        <v>65.2</v>
      </c>
      <c r="BD55" s="355">
        <v>87.9</v>
      </c>
      <c r="BE55" s="355">
        <v>88</v>
      </c>
      <c r="BF55" s="355">
        <v>95</v>
      </c>
      <c r="BG55" s="355">
        <v>77.7</v>
      </c>
      <c r="BH55" s="355">
        <v>80.099999999999994</v>
      </c>
      <c r="BI55" s="361">
        <v>92.8</v>
      </c>
      <c r="BJ55" s="355">
        <v>88</v>
      </c>
      <c r="BK55" s="361">
        <v>78.099999999999994</v>
      </c>
      <c r="BL55" s="361">
        <v>68</v>
      </c>
      <c r="BM55" s="460">
        <v>66.7</v>
      </c>
      <c r="BN55" s="33">
        <v>88.4</v>
      </c>
      <c r="BO55" s="33">
        <v>85</v>
      </c>
      <c r="BP55" s="33">
        <v>96</v>
      </c>
      <c r="BQ55" s="33">
        <v>78.599999999999994</v>
      </c>
      <c r="BR55" s="33">
        <v>80.599999999999994</v>
      </c>
      <c r="BS55" s="33">
        <v>93.4</v>
      </c>
      <c r="BT55" s="33">
        <v>88</v>
      </c>
      <c r="BU55" s="33">
        <v>79.5</v>
      </c>
      <c r="BV55" s="33">
        <v>67</v>
      </c>
      <c r="BW55" s="33">
        <v>65</v>
      </c>
      <c r="BX55" s="33">
        <v>70</v>
      </c>
      <c r="BY55" s="462">
        <v>48</v>
      </c>
      <c r="BZ55" s="361">
        <v>88.5</v>
      </c>
      <c r="CA55" s="361">
        <v>92</v>
      </c>
      <c r="CB55" s="361">
        <v>96</v>
      </c>
      <c r="CC55" s="361">
        <v>80.2</v>
      </c>
      <c r="CD55" s="361">
        <v>79.900000000000006</v>
      </c>
      <c r="CE55" s="361">
        <v>93.3</v>
      </c>
      <c r="CF55" s="361">
        <v>88</v>
      </c>
      <c r="CG55" s="361">
        <v>80.400000000000006</v>
      </c>
      <c r="CH55" s="361">
        <v>71</v>
      </c>
      <c r="CI55" s="361">
        <v>67.8</v>
      </c>
      <c r="CJ55" s="361">
        <v>66</v>
      </c>
      <c r="CK55" s="460">
        <v>50</v>
      </c>
      <c r="CL55">
        <v>88.3</v>
      </c>
      <c r="CM55">
        <v>93.4</v>
      </c>
      <c r="CN55">
        <v>80</v>
      </c>
      <c r="CO55">
        <v>79.7</v>
      </c>
      <c r="CP55">
        <v>95</v>
      </c>
      <c r="CQ55">
        <v>88</v>
      </c>
      <c r="CR55">
        <v>90</v>
      </c>
      <c r="CS55">
        <v>68.099999999999994</v>
      </c>
      <c r="CT55">
        <v>67</v>
      </c>
      <c r="CU55">
        <v>80.599999999999994</v>
      </c>
      <c r="CV55">
        <v>65</v>
      </c>
      <c r="CW55">
        <v>47</v>
      </c>
    </row>
    <row r="56" spans="1:101">
      <c r="A56" s="2" t="s">
        <v>79</v>
      </c>
      <c r="B56" s="385">
        <v>84</v>
      </c>
      <c r="C56" s="385">
        <v>82</v>
      </c>
      <c r="D56" s="385">
        <v>90</v>
      </c>
      <c r="E56" s="385">
        <v>87</v>
      </c>
      <c r="F56" s="385">
        <v>77</v>
      </c>
      <c r="G56" s="385">
        <v>84</v>
      </c>
      <c r="H56" s="385">
        <v>73</v>
      </c>
      <c r="I56" s="385">
        <v>78</v>
      </c>
      <c r="J56" s="386">
        <v>66</v>
      </c>
      <c r="K56" s="385">
        <v>85</v>
      </c>
      <c r="L56" s="385">
        <v>70</v>
      </c>
      <c r="M56" s="385">
        <v>89</v>
      </c>
      <c r="N56" s="385">
        <v>66</v>
      </c>
      <c r="O56" s="385">
        <v>73</v>
      </c>
      <c r="P56" s="385">
        <v>90</v>
      </c>
      <c r="Q56" s="385">
        <v>72</v>
      </c>
      <c r="R56" s="385">
        <v>61</v>
      </c>
      <c r="S56" s="386">
        <v>69</v>
      </c>
      <c r="T56" s="355">
        <v>86.4</v>
      </c>
      <c r="U56" s="355">
        <v>72</v>
      </c>
      <c r="V56" s="355" t="s">
        <v>136</v>
      </c>
      <c r="W56" s="355">
        <v>81</v>
      </c>
      <c r="X56" s="355">
        <v>75</v>
      </c>
      <c r="Y56" s="355">
        <v>86.9</v>
      </c>
      <c r="Z56" s="355">
        <v>76.900000000000006</v>
      </c>
      <c r="AA56" s="361">
        <v>73</v>
      </c>
      <c r="AB56" s="361">
        <v>70</v>
      </c>
      <c r="AC56" s="454">
        <v>86.5</v>
      </c>
      <c r="AD56" s="361">
        <v>80</v>
      </c>
      <c r="AE56" s="361">
        <v>95</v>
      </c>
      <c r="AF56" s="361">
        <v>72</v>
      </c>
      <c r="AG56" s="361">
        <v>79</v>
      </c>
      <c r="AH56" s="361">
        <v>87</v>
      </c>
      <c r="AI56" s="361">
        <v>77.8</v>
      </c>
      <c r="AJ56" s="361">
        <v>72</v>
      </c>
      <c r="AK56" s="460">
        <v>71</v>
      </c>
      <c r="AL56" s="361">
        <v>87.5</v>
      </c>
      <c r="AM56" s="361">
        <v>82</v>
      </c>
      <c r="AN56" s="361">
        <v>93</v>
      </c>
      <c r="AO56" s="361">
        <v>80</v>
      </c>
      <c r="AP56" s="361">
        <v>80</v>
      </c>
      <c r="AQ56" s="361">
        <v>87.9</v>
      </c>
      <c r="AR56" s="361">
        <v>75.599999999999994</v>
      </c>
      <c r="AS56" s="361">
        <v>77</v>
      </c>
      <c r="AT56" s="361">
        <v>74</v>
      </c>
      <c r="AU56" s="454">
        <v>87</v>
      </c>
      <c r="AV56" s="361">
        <v>85</v>
      </c>
      <c r="AW56" s="361">
        <v>94</v>
      </c>
      <c r="AX56" s="361">
        <v>85</v>
      </c>
      <c r="AY56" s="361">
        <v>77</v>
      </c>
      <c r="AZ56" s="361">
        <v>87.5</v>
      </c>
      <c r="BA56" s="361">
        <v>78</v>
      </c>
      <c r="BB56" s="361">
        <v>78</v>
      </c>
      <c r="BC56" s="460">
        <v>72</v>
      </c>
      <c r="BD56" s="355">
        <v>86.9</v>
      </c>
      <c r="BE56" s="355">
        <v>71</v>
      </c>
      <c r="BF56" s="355">
        <v>89</v>
      </c>
      <c r="BG56" s="355">
        <v>89</v>
      </c>
      <c r="BH56" s="355">
        <v>83</v>
      </c>
      <c r="BI56" s="361">
        <v>87.4</v>
      </c>
      <c r="BJ56" s="355">
        <v>79</v>
      </c>
      <c r="BK56" s="361">
        <v>79.3</v>
      </c>
      <c r="BL56" s="361">
        <v>81</v>
      </c>
      <c r="BM56" s="460">
        <v>72.5</v>
      </c>
      <c r="BN56" s="33">
        <v>86.7</v>
      </c>
      <c r="BO56" s="33">
        <v>71</v>
      </c>
      <c r="BP56" s="33">
        <v>92</v>
      </c>
      <c r="BQ56" s="33">
        <v>83</v>
      </c>
      <c r="BR56" s="33">
        <v>78</v>
      </c>
      <c r="BS56" s="33">
        <v>87.3</v>
      </c>
      <c r="BT56" s="33">
        <v>79</v>
      </c>
      <c r="BU56" s="33">
        <v>77.8</v>
      </c>
      <c r="BV56" s="33">
        <v>76</v>
      </c>
      <c r="BW56" s="33">
        <v>74</v>
      </c>
      <c r="BX56" s="33">
        <v>57</v>
      </c>
      <c r="BY56" s="462">
        <v>56</v>
      </c>
      <c r="BZ56" s="361">
        <v>87.4</v>
      </c>
      <c r="CA56" s="361">
        <v>78</v>
      </c>
      <c r="CB56" s="361">
        <v>94</v>
      </c>
      <c r="CC56" s="361">
        <v>82</v>
      </c>
      <c r="CD56" s="361">
        <v>80</v>
      </c>
      <c r="CE56" s="361">
        <v>87.8</v>
      </c>
      <c r="CF56" s="361">
        <v>82</v>
      </c>
      <c r="CG56" s="361">
        <v>78.400000000000006</v>
      </c>
      <c r="CH56" s="361">
        <v>80</v>
      </c>
      <c r="CI56" s="361">
        <v>73</v>
      </c>
      <c r="CJ56" s="361">
        <v>62</v>
      </c>
      <c r="CK56" s="460">
        <v>48</v>
      </c>
      <c r="CL56">
        <v>87.4</v>
      </c>
      <c r="CM56">
        <v>87.8</v>
      </c>
      <c r="CN56">
        <v>83</v>
      </c>
      <c r="CO56">
        <v>82</v>
      </c>
      <c r="CP56">
        <v>94</v>
      </c>
      <c r="CQ56">
        <v>72</v>
      </c>
      <c r="CR56">
        <v>82</v>
      </c>
      <c r="CS56">
        <v>74</v>
      </c>
      <c r="CT56">
        <v>81</v>
      </c>
      <c r="CU56">
        <v>78.900000000000006</v>
      </c>
      <c r="CV56">
        <v>62</v>
      </c>
      <c r="CW56">
        <v>53</v>
      </c>
    </row>
    <row r="57" spans="1:101">
      <c r="A57" s="2" t="s">
        <v>80</v>
      </c>
      <c r="B57" s="385">
        <v>83</v>
      </c>
      <c r="C57" s="385">
        <v>76</v>
      </c>
      <c r="D57" s="385">
        <v>88</v>
      </c>
      <c r="E57" s="385">
        <v>62</v>
      </c>
      <c r="F57" s="385">
        <v>71</v>
      </c>
      <c r="G57" s="385">
        <v>89</v>
      </c>
      <c r="H57" s="385">
        <v>70</v>
      </c>
      <c r="I57" s="385">
        <v>56</v>
      </c>
      <c r="J57" s="386">
        <v>66</v>
      </c>
      <c r="K57" s="385">
        <v>85</v>
      </c>
      <c r="L57" s="385">
        <v>70</v>
      </c>
      <c r="M57" s="385">
        <v>89</v>
      </c>
      <c r="N57" s="385">
        <v>66</v>
      </c>
      <c r="O57" s="385">
        <v>73</v>
      </c>
      <c r="P57" s="385">
        <v>90</v>
      </c>
      <c r="Q57" s="385">
        <v>72</v>
      </c>
      <c r="R57" s="385">
        <v>61</v>
      </c>
      <c r="S57" s="386">
        <v>69</v>
      </c>
      <c r="T57" s="354">
        <v>85</v>
      </c>
      <c r="U57" s="355">
        <v>73</v>
      </c>
      <c r="V57" s="355">
        <v>90.2</v>
      </c>
      <c r="W57" s="355">
        <v>66.8</v>
      </c>
      <c r="X57" s="355">
        <v>73.8</v>
      </c>
      <c r="Y57" s="355">
        <v>90.1</v>
      </c>
      <c r="Z57" s="355">
        <v>73.599999999999994</v>
      </c>
      <c r="AA57" s="361">
        <v>63.5</v>
      </c>
      <c r="AB57" s="361">
        <v>67.8</v>
      </c>
      <c r="AC57" s="454">
        <v>86.1</v>
      </c>
      <c r="AD57" s="361">
        <v>76</v>
      </c>
      <c r="AE57" s="361">
        <v>91.9</v>
      </c>
      <c r="AF57" s="361">
        <v>69.2</v>
      </c>
      <c r="AG57" s="361">
        <v>74.900000000000006</v>
      </c>
      <c r="AH57" s="361">
        <v>90.9</v>
      </c>
      <c r="AI57" s="361">
        <v>76</v>
      </c>
      <c r="AJ57" s="361">
        <v>63.4</v>
      </c>
      <c r="AK57" s="460">
        <v>69.099999999999994</v>
      </c>
      <c r="AL57" s="361">
        <v>87.3</v>
      </c>
      <c r="AM57" s="361">
        <v>80</v>
      </c>
      <c r="AN57" s="361">
        <v>92.3</v>
      </c>
      <c r="AO57" s="361">
        <v>72.2</v>
      </c>
      <c r="AP57" s="361">
        <v>77.5</v>
      </c>
      <c r="AQ57" s="361">
        <v>91.6</v>
      </c>
      <c r="AR57" s="361">
        <v>78.2</v>
      </c>
      <c r="AS57" s="361">
        <v>64</v>
      </c>
      <c r="AT57" s="361">
        <v>69.900000000000006</v>
      </c>
      <c r="AU57" s="454">
        <v>87.5</v>
      </c>
      <c r="AV57" s="361">
        <v>85</v>
      </c>
      <c r="AW57" s="361">
        <v>92.7</v>
      </c>
      <c r="AX57" s="361">
        <v>72.7</v>
      </c>
      <c r="AY57" s="361">
        <v>78.900000000000006</v>
      </c>
      <c r="AZ57" s="361">
        <v>91.9</v>
      </c>
      <c r="BA57" s="361">
        <v>78.400000000000006</v>
      </c>
      <c r="BB57" s="361">
        <v>64.099999999999994</v>
      </c>
      <c r="BC57" s="460">
        <v>71.8</v>
      </c>
      <c r="BD57" s="355">
        <v>88.3</v>
      </c>
      <c r="BE57" s="355">
        <v>81</v>
      </c>
      <c r="BF57" s="355">
        <v>93.9</v>
      </c>
      <c r="BG57" s="355">
        <v>74.400000000000006</v>
      </c>
      <c r="BH57" s="355">
        <v>80</v>
      </c>
      <c r="BI57" s="361">
        <v>92.6</v>
      </c>
      <c r="BJ57" s="355">
        <v>85</v>
      </c>
      <c r="BK57" s="361">
        <v>79</v>
      </c>
      <c r="BL57" s="361">
        <v>63.4</v>
      </c>
      <c r="BM57" s="460">
        <v>72.8</v>
      </c>
      <c r="BN57" s="33">
        <v>87.8</v>
      </c>
      <c r="BO57" s="33">
        <v>83</v>
      </c>
      <c r="BP57" s="33">
        <v>94.3</v>
      </c>
      <c r="BQ57" s="33">
        <v>73.8</v>
      </c>
      <c r="BR57" s="33">
        <v>80.099999999999994</v>
      </c>
      <c r="BS57" s="33">
        <v>92.2</v>
      </c>
      <c r="BT57" s="33">
        <v>87</v>
      </c>
      <c r="BU57" s="33">
        <v>77.400000000000006</v>
      </c>
      <c r="BV57" s="33">
        <v>64.099999999999994</v>
      </c>
      <c r="BW57" s="33">
        <v>72.400000000000006</v>
      </c>
      <c r="BX57" s="33">
        <v>71</v>
      </c>
      <c r="BY57" s="462">
        <v>61</v>
      </c>
      <c r="BZ57" s="361">
        <v>88</v>
      </c>
      <c r="CA57" s="361">
        <v>83</v>
      </c>
      <c r="CB57" s="361">
        <v>95</v>
      </c>
      <c r="CC57" s="361">
        <v>74.400000000000006</v>
      </c>
      <c r="CD57" s="361">
        <v>79.900000000000006</v>
      </c>
      <c r="CE57" s="361">
        <v>92.7</v>
      </c>
      <c r="CF57" s="361">
        <v>88</v>
      </c>
      <c r="CG57" s="361">
        <v>78.5</v>
      </c>
      <c r="CH57" s="361">
        <v>64.599999999999994</v>
      </c>
      <c r="CI57" s="361">
        <v>73.900000000000006</v>
      </c>
      <c r="CJ57" s="361">
        <v>61</v>
      </c>
      <c r="CK57" s="460">
        <v>58</v>
      </c>
      <c r="CL57">
        <v>89</v>
      </c>
      <c r="CM57">
        <v>93.2</v>
      </c>
      <c r="CN57">
        <v>83.1</v>
      </c>
      <c r="CO57">
        <v>77.2</v>
      </c>
      <c r="CP57">
        <v>95</v>
      </c>
      <c r="CQ57">
        <v>86</v>
      </c>
      <c r="CR57">
        <v>89</v>
      </c>
      <c r="CS57">
        <v>74.900000000000006</v>
      </c>
      <c r="CT57">
        <v>68.3</v>
      </c>
      <c r="CU57">
        <v>80.599999999999994</v>
      </c>
      <c r="CV57">
        <v>64</v>
      </c>
      <c r="CW57">
        <v>58</v>
      </c>
    </row>
    <row r="58" spans="1:101">
      <c r="A58" s="2" t="s">
        <v>81</v>
      </c>
      <c r="B58" s="385">
        <v>86</v>
      </c>
      <c r="C58" s="385">
        <v>78</v>
      </c>
      <c r="D58" s="385">
        <v>87</v>
      </c>
      <c r="E58" s="385">
        <v>73</v>
      </c>
      <c r="F58" s="385">
        <v>73</v>
      </c>
      <c r="G58" s="385">
        <v>87</v>
      </c>
      <c r="H58" s="385">
        <v>72</v>
      </c>
      <c r="I58" s="385">
        <v>73</v>
      </c>
      <c r="J58" s="386">
        <v>69</v>
      </c>
      <c r="K58" s="385">
        <v>86</v>
      </c>
      <c r="L58" s="385">
        <v>73</v>
      </c>
      <c r="M58" s="385">
        <v>86</v>
      </c>
      <c r="N58" s="385">
        <v>74</v>
      </c>
      <c r="O58" s="385">
        <v>76</v>
      </c>
      <c r="P58" s="385">
        <v>87</v>
      </c>
      <c r="Q58" s="385">
        <v>73</v>
      </c>
      <c r="R58" s="385">
        <v>68</v>
      </c>
      <c r="S58" s="386">
        <v>70</v>
      </c>
      <c r="T58" s="355">
        <v>87.3</v>
      </c>
      <c r="U58" s="355">
        <v>84</v>
      </c>
      <c r="V58" s="355">
        <v>86</v>
      </c>
      <c r="W58" s="355">
        <v>77</v>
      </c>
      <c r="X58" s="355">
        <v>82</v>
      </c>
      <c r="Y58" s="355">
        <v>87.8</v>
      </c>
      <c r="Z58" s="355">
        <v>75.7</v>
      </c>
      <c r="AA58" s="361">
        <v>70</v>
      </c>
      <c r="AB58" s="361">
        <v>71</v>
      </c>
      <c r="AC58" s="454">
        <v>88.1</v>
      </c>
      <c r="AD58" s="361">
        <v>84</v>
      </c>
      <c r="AE58" s="361">
        <v>90</v>
      </c>
      <c r="AF58" s="361">
        <v>77</v>
      </c>
      <c r="AG58" s="361">
        <v>84</v>
      </c>
      <c r="AH58" s="361">
        <v>88.6</v>
      </c>
      <c r="AI58" s="361">
        <v>77.2</v>
      </c>
      <c r="AJ58" s="361">
        <v>75</v>
      </c>
      <c r="AK58" s="460">
        <v>72</v>
      </c>
      <c r="AL58" s="361">
        <v>88.1</v>
      </c>
      <c r="AM58" s="361">
        <v>75</v>
      </c>
      <c r="AN58" s="361">
        <v>91</v>
      </c>
      <c r="AO58" s="361">
        <v>75</v>
      </c>
      <c r="AP58" s="361">
        <v>80</v>
      </c>
      <c r="AQ58" s="361">
        <v>88.9</v>
      </c>
      <c r="AR58" s="361">
        <v>76.7</v>
      </c>
      <c r="AS58" s="361">
        <v>77</v>
      </c>
      <c r="AT58" s="361">
        <v>73</v>
      </c>
      <c r="AU58" s="454">
        <v>88.2</v>
      </c>
      <c r="AV58" s="361">
        <v>74</v>
      </c>
      <c r="AW58" s="361">
        <v>92</v>
      </c>
      <c r="AX58" s="361">
        <v>76</v>
      </c>
      <c r="AY58" s="361">
        <v>78</v>
      </c>
      <c r="AZ58" s="361">
        <v>89.2</v>
      </c>
      <c r="BA58" s="361">
        <v>76.400000000000006</v>
      </c>
      <c r="BB58" s="361">
        <v>72</v>
      </c>
      <c r="BC58" s="460">
        <v>73</v>
      </c>
      <c r="BD58" s="355">
        <v>88.9</v>
      </c>
      <c r="BE58" s="355">
        <v>75</v>
      </c>
      <c r="BF58" s="355">
        <v>93</v>
      </c>
      <c r="BG58" s="355">
        <v>76</v>
      </c>
      <c r="BH58" s="355">
        <v>79</v>
      </c>
      <c r="BI58" s="361">
        <v>89.8</v>
      </c>
      <c r="BJ58" s="355">
        <v>85</v>
      </c>
      <c r="BK58" s="361">
        <v>77.5</v>
      </c>
      <c r="BL58" s="361">
        <v>78</v>
      </c>
      <c r="BM58" s="460">
        <v>74</v>
      </c>
      <c r="BN58" s="33">
        <v>88.8</v>
      </c>
      <c r="BO58" s="33">
        <v>85</v>
      </c>
      <c r="BP58" s="33">
        <v>93</v>
      </c>
      <c r="BQ58" s="33">
        <v>76</v>
      </c>
      <c r="BR58" s="33">
        <v>81</v>
      </c>
      <c r="BS58" s="33">
        <v>89.5</v>
      </c>
      <c r="BT58" s="33">
        <v>92</v>
      </c>
      <c r="BU58" s="33">
        <v>78.099999999999994</v>
      </c>
      <c r="BV58" s="33">
        <v>70</v>
      </c>
      <c r="BW58" s="33">
        <v>74</v>
      </c>
      <c r="BX58" s="33">
        <v>65</v>
      </c>
      <c r="BY58" s="462">
        <v>44</v>
      </c>
      <c r="BZ58" s="361">
        <v>88.4</v>
      </c>
      <c r="CA58" s="8" t="s">
        <v>144</v>
      </c>
      <c r="CB58" s="361">
        <v>91</v>
      </c>
      <c r="CC58" s="361">
        <v>76</v>
      </c>
      <c r="CD58" s="361">
        <v>76</v>
      </c>
      <c r="CE58" s="361">
        <v>89.5</v>
      </c>
      <c r="CF58" s="361">
        <v>85</v>
      </c>
      <c r="CG58" s="361">
        <v>77.2</v>
      </c>
      <c r="CH58" s="361">
        <v>65</v>
      </c>
      <c r="CI58" s="361">
        <v>72</v>
      </c>
      <c r="CJ58" s="361">
        <v>64</v>
      </c>
      <c r="CK58" s="460">
        <v>39</v>
      </c>
      <c r="CL58">
        <v>88.1</v>
      </c>
      <c r="CM58">
        <v>89.4</v>
      </c>
      <c r="CN58">
        <v>77</v>
      </c>
      <c r="CO58">
        <v>74</v>
      </c>
      <c r="CP58">
        <v>92</v>
      </c>
      <c r="CQ58">
        <v>85</v>
      </c>
      <c r="CR58">
        <v>84</v>
      </c>
      <c r="CS58">
        <v>73</v>
      </c>
      <c r="CT58">
        <v>67</v>
      </c>
      <c r="CU58">
        <v>75</v>
      </c>
      <c r="CV58">
        <v>58</v>
      </c>
      <c r="CW58">
        <v>43</v>
      </c>
    </row>
    <row r="59" spans="1:101">
      <c r="A59" s="2" t="s">
        <v>82</v>
      </c>
      <c r="B59" s="385">
        <v>83</v>
      </c>
      <c r="C59" s="385">
        <v>87</v>
      </c>
      <c r="D59" s="385">
        <v>93</v>
      </c>
      <c r="E59" s="385">
        <v>73</v>
      </c>
      <c r="F59" s="385">
        <v>69</v>
      </c>
      <c r="G59" s="385">
        <v>90</v>
      </c>
      <c r="H59" s="385">
        <v>71</v>
      </c>
      <c r="I59" s="385">
        <v>68</v>
      </c>
      <c r="J59" s="386">
        <v>73</v>
      </c>
      <c r="K59" s="385">
        <v>86</v>
      </c>
      <c r="L59" s="385">
        <v>84</v>
      </c>
      <c r="M59" s="385">
        <v>95</v>
      </c>
      <c r="N59" s="385">
        <v>77</v>
      </c>
      <c r="O59" s="385">
        <v>75</v>
      </c>
      <c r="P59" s="385">
        <v>93</v>
      </c>
      <c r="Q59" s="385">
        <v>75</v>
      </c>
      <c r="R59" s="385">
        <v>73</v>
      </c>
      <c r="S59" s="386">
        <v>74</v>
      </c>
      <c r="T59" s="355">
        <v>87.5</v>
      </c>
      <c r="U59" s="355">
        <v>76</v>
      </c>
      <c r="V59" s="355">
        <v>95.8</v>
      </c>
      <c r="W59" s="355">
        <v>78.599999999999994</v>
      </c>
      <c r="X59" s="355">
        <v>76.400000000000006</v>
      </c>
      <c r="Y59" s="355">
        <v>93.1</v>
      </c>
      <c r="Z59" s="355">
        <v>77.099999999999994</v>
      </c>
      <c r="AA59" s="361">
        <v>70.5</v>
      </c>
      <c r="AB59" s="361">
        <v>75.900000000000006</v>
      </c>
      <c r="AC59" s="454">
        <v>88.6</v>
      </c>
      <c r="AD59" s="361">
        <v>86</v>
      </c>
      <c r="AE59" s="361">
        <v>96</v>
      </c>
      <c r="AF59" s="361">
        <v>80.599999999999994</v>
      </c>
      <c r="AG59" s="361">
        <v>78.900000000000006</v>
      </c>
      <c r="AH59" s="361">
        <v>93.5</v>
      </c>
      <c r="AI59" s="361">
        <v>79.599999999999994</v>
      </c>
      <c r="AJ59" s="361">
        <v>71.099999999999994</v>
      </c>
      <c r="AK59" s="460">
        <v>76.599999999999994</v>
      </c>
      <c r="AL59" s="361">
        <v>89.7</v>
      </c>
      <c r="AM59" s="361">
        <v>89</v>
      </c>
      <c r="AN59" s="361">
        <v>96.3</v>
      </c>
      <c r="AO59" s="361">
        <v>82.8</v>
      </c>
      <c r="AP59" s="361">
        <v>81.5</v>
      </c>
      <c r="AQ59" s="361">
        <v>94</v>
      </c>
      <c r="AR59" s="361">
        <v>81.7</v>
      </c>
      <c r="AS59" s="361">
        <v>74</v>
      </c>
      <c r="AT59" s="361">
        <v>78</v>
      </c>
      <c r="AU59" s="454">
        <v>90.1</v>
      </c>
      <c r="AV59" s="361">
        <v>83</v>
      </c>
      <c r="AW59" s="361">
        <v>96.7</v>
      </c>
      <c r="AX59" s="361">
        <v>83.3</v>
      </c>
      <c r="AY59" s="361">
        <v>82.1</v>
      </c>
      <c r="AZ59" s="361">
        <v>94.2</v>
      </c>
      <c r="BA59" s="361">
        <v>82.7</v>
      </c>
      <c r="BB59" s="361">
        <v>74.7</v>
      </c>
      <c r="BC59" s="460">
        <v>78.8</v>
      </c>
      <c r="BD59" s="355">
        <v>90.5</v>
      </c>
      <c r="BE59" s="355">
        <v>92</v>
      </c>
      <c r="BF59" s="355">
        <v>96.6</v>
      </c>
      <c r="BG59" s="355">
        <v>84.3</v>
      </c>
      <c r="BH59" s="355">
        <v>83.4</v>
      </c>
      <c r="BI59" s="361">
        <v>94.5</v>
      </c>
      <c r="BJ59" s="355">
        <v>92</v>
      </c>
      <c r="BK59" s="361">
        <v>84</v>
      </c>
      <c r="BL59" s="361">
        <v>76.099999999999994</v>
      </c>
      <c r="BM59" s="460">
        <v>78.8</v>
      </c>
      <c r="BN59" s="33">
        <v>90.9</v>
      </c>
      <c r="BO59" s="33">
        <v>87</v>
      </c>
      <c r="BP59" s="33">
        <v>97</v>
      </c>
      <c r="BQ59" s="33">
        <v>84.8</v>
      </c>
      <c r="BR59" s="33">
        <v>84.2</v>
      </c>
      <c r="BS59" s="33">
        <v>95</v>
      </c>
      <c r="BT59" s="33">
        <v>92</v>
      </c>
      <c r="BU59" s="33">
        <v>84.6</v>
      </c>
      <c r="BV59" s="33">
        <v>75.8</v>
      </c>
      <c r="BW59" s="33">
        <v>80.099999999999994</v>
      </c>
      <c r="BX59" s="33">
        <v>73</v>
      </c>
      <c r="BY59" s="462">
        <v>63</v>
      </c>
      <c r="BZ59" s="361">
        <v>90.6</v>
      </c>
      <c r="CA59" s="361">
        <v>92</v>
      </c>
      <c r="CB59" s="361">
        <v>96.9</v>
      </c>
      <c r="CC59" s="361">
        <v>84.5</v>
      </c>
      <c r="CD59" s="361">
        <v>83.3</v>
      </c>
      <c r="CE59" s="361">
        <v>94.9</v>
      </c>
      <c r="CF59" s="361">
        <v>91</v>
      </c>
      <c r="CG59" s="361">
        <v>84</v>
      </c>
      <c r="CH59" s="361">
        <v>75.400000000000006</v>
      </c>
      <c r="CI59" s="361">
        <v>79.2</v>
      </c>
      <c r="CJ59" s="361">
        <v>75</v>
      </c>
      <c r="CK59" s="460">
        <v>58</v>
      </c>
      <c r="CL59">
        <v>91</v>
      </c>
      <c r="CM59">
        <v>95</v>
      </c>
      <c r="CN59">
        <v>85.7</v>
      </c>
      <c r="CO59">
        <v>84.8</v>
      </c>
      <c r="CP59">
        <v>96.8</v>
      </c>
      <c r="CQ59">
        <v>89</v>
      </c>
      <c r="CR59">
        <v>92</v>
      </c>
      <c r="CS59">
        <v>80.400000000000006</v>
      </c>
      <c r="CT59">
        <v>73.099999999999994</v>
      </c>
      <c r="CU59">
        <v>85</v>
      </c>
      <c r="CV59">
        <v>74</v>
      </c>
      <c r="CW59">
        <v>55</v>
      </c>
    </row>
    <row r="60" spans="1:101">
      <c r="A60" s="2" t="s">
        <v>83</v>
      </c>
      <c r="B60" s="385">
        <v>77</v>
      </c>
      <c r="C60" s="385">
        <v>64</v>
      </c>
      <c r="D60" s="385">
        <v>86</v>
      </c>
      <c r="E60" s="385">
        <v>63</v>
      </c>
      <c r="F60" s="385">
        <v>64</v>
      </c>
      <c r="G60" s="385">
        <v>86</v>
      </c>
      <c r="H60" s="385">
        <v>69</v>
      </c>
      <c r="I60" s="385">
        <v>46</v>
      </c>
      <c r="J60" s="386">
        <v>48</v>
      </c>
      <c r="K60" s="385">
        <v>77</v>
      </c>
      <c r="L60" s="385">
        <v>63</v>
      </c>
      <c r="M60" s="385">
        <v>86</v>
      </c>
      <c r="N60" s="385">
        <v>63</v>
      </c>
      <c r="O60" s="385">
        <v>63</v>
      </c>
      <c r="P60" s="385">
        <v>87</v>
      </c>
      <c r="Q60" s="385">
        <v>68</v>
      </c>
      <c r="R60" s="385">
        <v>44</v>
      </c>
      <c r="S60" s="386">
        <v>48</v>
      </c>
      <c r="T60" s="355">
        <v>76.8</v>
      </c>
      <c r="U60" s="355">
        <v>62</v>
      </c>
      <c r="V60" s="355">
        <v>84.1</v>
      </c>
      <c r="W60" s="355">
        <v>62.3</v>
      </c>
      <c r="X60" s="355">
        <v>62.9</v>
      </c>
      <c r="Y60" s="355">
        <v>87.2</v>
      </c>
      <c r="Z60" s="355">
        <v>67.5</v>
      </c>
      <c r="AA60" s="361">
        <v>39.1</v>
      </c>
      <c r="AB60" s="361">
        <v>47.2</v>
      </c>
      <c r="AC60" s="454">
        <v>77.8</v>
      </c>
      <c r="AD60" s="361">
        <v>65</v>
      </c>
      <c r="AE60" s="361">
        <v>83.6</v>
      </c>
      <c r="AF60" s="361">
        <v>63.9</v>
      </c>
      <c r="AG60" s="361">
        <v>64.5</v>
      </c>
      <c r="AH60" s="361">
        <v>88</v>
      </c>
      <c r="AI60" s="361">
        <v>68.8</v>
      </c>
      <c r="AJ60" s="361">
        <v>37.1</v>
      </c>
      <c r="AK60" s="460">
        <v>51.8</v>
      </c>
      <c r="AL60" s="361">
        <v>79.2</v>
      </c>
      <c r="AM60" s="361">
        <v>65</v>
      </c>
      <c r="AN60" s="361">
        <v>84.9</v>
      </c>
      <c r="AO60" s="361">
        <v>66</v>
      </c>
      <c r="AP60" s="361">
        <v>66.5</v>
      </c>
      <c r="AQ60" s="361">
        <v>88.7</v>
      </c>
      <c r="AR60" s="361">
        <v>71</v>
      </c>
      <c r="AS60" s="361">
        <v>36</v>
      </c>
      <c r="AT60" s="361">
        <v>52.9</v>
      </c>
      <c r="AU60" s="454">
        <v>80.400000000000006</v>
      </c>
      <c r="AV60" s="361">
        <v>68</v>
      </c>
      <c r="AW60" s="361">
        <v>86.7</v>
      </c>
      <c r="AX60" s="361">
        <v>68.099999999999994</v>
      </c>
      <c r="AY60" s="361">
        <v>68.5</v>
      </c>
      <c r="AZ60" s="361">
        <v>89.3</v>
      </c>
      <c r="BA60" s="361">
        <v>72.8</v>
      </c>
      <c r="BB60" s="361">
        <v>37.799999999999997</v>
      </c>
      <c r="BC60" s="460">
        <v>52.6</v>
      </c>
      <c r="BD60" s="355">
        <v>81.8</v>
      </c>
      <c r="BE60" s="355">
        <v>67</v>
      </c>
      <c r="BF60" s="355">
        <v>87.7</v>
      </c>
      <c r="BG60" s="355">
        <v>71.2</v>
      </c>
      <c r="BH60" s="355">
        <v>71.5</v>
      </c>
      <c r="BI60" s="361">
        <v>89.8</v>
      </c>
      <c r="BJ60" s="355">
        <v>83</v>
      </c>
      <c r="BK60" s="361">
        <v>75.3</v>
      </c>
      <c r="BL60" s="361">
        <v>30.8</v>
      </c>
      <c r="BM60" s="460">
        <v>55.4</v>
      </c>
      <c r="BN60" s="33">
        <v>82.3</v>
      </c>
      <c r="BO60" s="33">
        <v>69</v>
      </c>
      <c r="BP60" s="33">
        <v>88.9</v>
      </c>
      <c r="BQ60" s="33">
        <v>71.599999999999994</v>
      </c>
      <c r="BR60" s="33">
        <v>72.900000000000006</v>
      </c>
      <c r="BS60" s="33">
        <v>90.1</v>
      </c>
      <c r="BT60" s="33">
        <v>84</v>
      </c>
      <c r="BU60" s="33">
        <v>76.400000000000006</v>
      </c>
      <c r="BV60" s="33">
        <v>31.1</v>
      </c>
      <c r="BW60" s="33">
        <v>56.9</v>
      </c>
      <c r="BX60" s="33">
        <v>55.9</v>
      </c>
      <c r="BY60" s="462">
        <v>61</v>
      </c>
      <c r="BZ60" s="361">
        <v>82.8</v>
      </c>
      <c r="CA60" s="361">
        <v>70</v>
      </c>
      <c r="CB60" s="361">
        <v>89.7</v>
      </c>
      <c r="CC60" s="361">
        <v>72.900000000000006</v>
      </c>
      <c r="CD60" s="361">
        <v>73.900000000000006</v>
      </c>
      <c r="CE60" s="361">
        <v>90.2</v>
      </c>
      <c r="CF60" s="361">
        <v>83.6</v>
      </c>
      <c r="CG60" s="361">
        <v>76.400000000000006</v>
      </c>
      <c r="CH60" s="361">
        <v>34.299999999999997</v>
      </c>
      <c r="CI60" s="361">
        <v>58.8</v>
      </c>
      <c r="CJ60" s="361">
        <v>59.3</v>
      </c>
      <c r="CK60" s="460">
        <v>54</v>
      </c>
      <c r="CL60">
        <v>83.5</v>
      </c>
      <c r="CM60">
        <v>90.4</v>
      </c>
      <c r="CN60">
        <v>75.3</v>
      </c>
      <c r="CO60">
        <v>74.599999999999994</v>
      </c>
      <c r="CP60">
        <v>89.8</v>
      </c>
      <c r="CQ60">
        <v>75</v>
      </c>
      <c r="CR60">
        <v>83.2</v>
      </c>
      <c r="CS60">
        <v>60.7</v>
      </c>
      <c r="CT60">
        <v>39</v>
      </c>
      <c r="CU60">
        <v>77.2</v>
      </c>
      <c r="CV60">
        <v>61</v>
      </c>
      <c r="CW60">
        <v>57</v>
      </c>
    </row>
    <row r="61" spans="1:101">
      <c r="A61" s="2" t="s">
        <v>84</v>
      </c>
      <c r="B61" s="385">
        <v>83</v>
      </c>
      <c r="C61" s="385">
        <v>77</v>
      </c>
      <c r="D61" s="385">
        <v>88</v>
      </c>
      <c r="E61" s="385">
        <v>65</v>
      </c>
      <c r="F61" s="385">
        <v>65</v>
      </c>
      <c r="G61" s="385">
        <v>88</v>
      </c>
      <c r="H61" s="385">
        <v>71</v>
      </c>
      <c r="I61" s="385">
        <v>63</v>
      </c>
      <c r="J61" s="386">
        <v>71</v>
      </c>
      <c r="K61" s="385">
        <v>84</v>
      </c>
      <c r="L61" s="385">
        <v>74</v>
      </c>
      <c r="M61" s="385">
        <v>89</v>
      </c>
      <c r="N61" s="385">
        <v>68</v>
      </c>
      <c r="O61" s="385">
        <v>68</v>
      </c>
      <c r="P61" s="385">
        <v>89</v>
      </c>
      <c r="Q61" s="385">
        <v>74</v>
      </c>
      <c r="R61" s="385">
        <v>64</v>
      </c>
      <c r="S61" s="386">
        <v>70</v>
      </c>
      <c r="T61" s="355">
        <v>85.5</v>
      </c>
      <c r="U61" s="355">
        <v>74</v>
      </c>
      <c r="V61" s="354" t="s">
        <v>145</v>
      </c>
      <c r="W61" s="355">
        <v>70.7</v>
      </c>
      <c r="X61" s="355">
        <v>72.599999999999994</v>
      </c>
      <c r="Y61" s="355">
        <v>89.7</v>
      </c>
      <c r="Z61" s="355">
        <v>76.5</v>
      </c>
      <c r="AA61" s="361">
        <v>67</v>
      </c>
      <c r="AB61" s="33">
        <v>75</v>
      </c>
      <c r="AC61" s="454">
        <v>85.3</v>
      </c>
      <c r="AD61" s="361">
        <v>82</v>
      </c>
      <c r="AE61" s="361">
        <v>90.4</v>
      </c>
      <c r="AF61" s="361">
        <v>71.099999999999994</v>
      </c>
      <c r="AG61" s="361">
        <v>72.3</v>
      </c>
      <c r="AH61" s="361">
        <v>89.6</v>
      </c>
      <c r="AI61" s="361">
        <v>76.5</v>
      </c>
      <c r="AJ61" s="361">
        <v>64.099999999999994</v>
      </c>
      <c r="AK61" s="460">
        <v>70.900000000000006</v>
      </c>
      <c r="AL61" s="361">
        <v>84.8</v>
      </c>
      <c r="AM61" s="361">
        <v>76</v>
      </c>
      <c r="AN61" s="361">
        <v>90.7</v>
      </c>
      <c r="AO61" s="361">
        <v>69.5</v>
      </c>
      <c r="AP61" s="361">
        <v>71.8</v>
      </c>
      <c r="AQ61" s="361">
        <v>89.3</v>
      </c>
      <c r="AR61" s="361">
        <v>75.900000000000006</v>
      </c>
      <c r="AS61" s="361">
        <v>62.6</v>
      </c>
      <c r="AT61" s="361">
        <v>71.5</v>
      </c>
      <c r="AU61" s="454">
        <v>86.1</v>
      </c>
      <c r="AV61" s="361">
        <v>77</v>
      </c>
      <c r="AW61" s="361">
        <v>91.2</v>
      </c>
      <c r="AX61" s="361">
        <v>72.8</v>
      </c>
      <c r="AY61" s="361">
        <v>73.2</v>
      </c>
      <c r="AZ61" s="361">
        <v>90.5</v>
      </c>
      <c r="BA61" s="361">
        <v>78</v>
      </c>
      <c r="BB61" s="361">
        <v>62.7</v>
      </c>
      <c r="BC61" s="460">
        <v>74.099999999999994</v>
      </c>
      <c r="BD61" s="355">
        <v>86.6</v>
      </c>
      <c r="BE61" s="355">
        <v>73</v>
      </c>
      <c r="BF61" s="355">
        <v>92.4</v>
      </c>
      <c r="BG61" s="355">
        <v>73.900000000000006</v>
      </c>
      <c r="BH61" s="355">
        <v>73.8</v>
      </c>
      <c r="BI61" s="361">
        <v>91</v>
      </c>
      <c r="BJ61" s="355">
        <v>79</v>
      </c>
      <c r="BK61" s="361">
        <v>79.8</v>
      </c>
      <c r="BL61" s="361">
        <v>65</v>
      </c>
      <c r="BM61" s="460">
        <v>73.599999999999994</v>
      </c>
      <c r="BN61" s="33">
        <v>85.9</v>
      </c>
      <c r="BO61" s="33">
        <v>79</v>
      </c>
      <c r="BP61" s="33">
        <v>92.4</v>
      </c>
      <c r="BQ61" s="33">
        <v>73.7</v>
      </c>
      <c r="BR61" s="33">
        <v>72.099999999999994</v>
      </c>
      <c r="BS61" s="33">
        <v>90.5</v>
      </c>
      <c r="BT61" s="33">
        <v>78.599999999999994</v>
      </c>
      <c r="BU61" s="33">
        <v>77.900000000000006</v>
      </c>
      <c r="BV61" s="33">
        <v>65.8</v>
      </c>
      <c r="BW61" s="33">
        <v>70.2</v>
      </c>
      <c r="BX61" s="33">
        <v>70</v>
      </c>
      <c r="BY61" s="462" t="s">
        <v>47</v>
      </c>
      <c r="BZ61" s="361">
        <v>86.5</v>
      </c>
      <c r="CA61" s="361">
        <v>80</v>
      </c>
      <c r="CB61" s="361">
        <v>93.2</v>
      </c>
      <c r="CC61" s="361">
        <v>75.400000000000006</v>
      </c>
      <c r="CD61" s="361">
        <v>75</v>
      </c>
      <c r="CE61" s="361">
        <v>90.6</v>
      </c>
      <c r="CF61" s="361">
        <v>79.5</v>
      </c>
      <c r="CG61" s="361">
        <v>79.900000000000006</v>
      </c>
      <c r="CH61" s="361">
        <v>68.599999999999994</v>
      </c>
      <c r="CI61" s="361">
        <v>70.7</v>
      </c>
      <c r="CJ61" s="361">
        <v>70</v>
      </c>
      <c r="CK61" s="460">
        <v>53</v>
      </c>
      <c r="CL61">
        <v>87.4</v>
      </c>
      <c r="CM61">
        <v>91.4</v>
      </c>
      <c r="CN61">
        <v>76.5</v>
      </c>
      <c r="CO61">
        <v>77.2</v>
      </c>
      <c r="CP61">
        <v>92.7</v>
      </c>
      <c r="CQ61">
        <v>78</v>
      </c>
      <c r="CR61">
        <v>81.400000000000006</v>
      </c>
      <c r="CS61">
        <v>72.8</v>
      </c>
      <c r="CT61">
        <v>69</v>
      </c>
      <c r="CU61">
        <v>79.599999999999994</v>
      </c>
      <c r="CV61">
        <v>70</v>
      </c>
      <c r="CW61">
        <v>56</v>
      </c>
    </row>
    <row r="62" spans="1:101">
      <c r="A62" s="2" t="s">
        <v>85</v>
      </c>
      <c r="B62" s="385">
        <v>77</v>
      </c>
      <c r="C62" s="385">
        <v>66</v>
      </c>
      <c r="D62" s="385">
        <v>75</v>
      </c>
      <c r="E62" s="385">
        <v>67</v>
      </c>
      <c r="F62" s="385">
        <v>67</v>
      </c>
      <c r="G62" s="385">
        <v>82</v>
      </c>
      <c r="H62" s="385">
        <v>66</v>
      </c>
      <c r="I62" s="385">
        <v>68</v>
      </c>
      <c r="J62" s="386">
        <v>58</v>
      </c>
      <c r="K62" s="385">
        <v>77</v>
      </c>
      <c r="L62" s="385">
        <v>58</v>
      </c>
      <c r="M62" s="385">
        <v>79</v>
      </c>
      <c r="N62" s="385">
        <v>67</v>
      </c>
      <c r="O62" s="385">
        <v>67</v>
      </c>
      <c r="P62" s="385">
        <v>82</v>
      </c>
      <c r="Q62" s="385">
        <v>66</v>
      </c>
      <c r="R62" s="385">
        <v>69</v>
      </c>
      <c r="S62" s="386">
        <v>59</v>
      </c>
      <c r="T62" s="355">
        <v>79.7</v>
      </c>
      <c r="U62" s="355">
        <v>74</v>
      </c>
      <c r="V62" s="355">
        <v>85</v>
      </c>
      <c r="W62" s="355">
        <v>69</v>
      </c>
      <c r="X62" s="355">
        <v>72</v>
      </c>
      <c r="Y62" s="355">
        <v>83.9</v>
      </c>
      <c r="Z62" s="355">
        <v>69.3</v>
      </c>
      <c r="AA62" s="361">
        <v>73</v>
      </c>
      <c r="AB62" s="361">
        <v>59</v>
      </c>
      <c r="AC62" s="454">
        <v>80.8</v>
      </c>
      <c r="AD62" s="361">
        <v>57</v>
      </c>
      <c r="AE62" s="361">
        <v>88</v>
      </c>
      <c r="AF62" s="361">
        <v>72</v>
      </c>
      <c r="AG62" s="361">
        <v>72</v>
      </c>
      <c r="AH62" s="361">
        <v>85</v>
      </c>
      <c r="AI62" s="361">
        <v>71.099999999999994</v>
      </c>
      <c r="AJ62" s="361">
        <v>72</v>
      </c>
      <c r="AK62" s="460">
        <v>60</v>
      </c>
      <c r="AL62" s="361">
        <v>83.2</v>
      </c>
      <c r="AM62" s="361">
        <v>65</v>
      </c>
      <c r="AN62" s="361">
        <v>87</v>
      </c>
      <c r="AO62" s="361">
        <v>76</v>
      </c>
      <c r="AP62" s="361">
        <v>77</v>
      </c>
      <c r="AQ62" s="361">
        <v>86.6</v>
      </c>
      <c r="AR62" s="361">
        <v>75.599999999999994</v>
      </c>
      <c r="AS62" s="361">
        <v>77</v>
      </c>
      <c r="AT62" s="361">
        <v>68</v>
      </c>
      <c r="AU62" s="454">
        <v>82.8</v>
      </c>
      <c r="AV62" s="361">
        <v>78</v>
      </c>
      <c r="AW62" s="361">
        <v>91</v>
      </c>
      <c r="AX62" s="361">
        <v>79</v>
      </c>
      <c r="AY62" s="361">
        <v>81</v>
      </c>
      <c r="AZ62" s="361">
        <v>88.4</v>
      </c>
      <c r="BA62" s="361">
        <v>74.8</v>
      </c>
      <c r="BB62" s="361">
        <v>74</v>
      </c>
      <c r="BC62" s="460">
        <v>59</v>
      </c>
      <c r="BD62" s="355">
        <v>84.1</v>
      </c>
      <c r="BE62" s="355">
        <v>73</v>
      </c>
      <c r="BF62" s="355">
        <v>88</v>
      </c>
      <c r="BG62" s="355">
        <v>76</v>
      </c>
      <c r="BH62" s="355">
        <v>81</v>
      </c>
      <c r="BI62" s="361">
        <v>87.7</v>
      </c>
      <c r="BJ62" s="355">
        <v>79</v>
      </c>
      <c r="BK62" s="361">
        <v>76</v>
      </c>
      <c r="BL62" s="361">
        <v>72</v>
      </c>
      <c r="BM62" s="460">
        <v>63</v>
      </c>
      <c r="BN62" s="33">
        <v>84</v>
      </c>
      <c r="BO62" s="33">
        <v>69</v>
      </c>
      <c r="BP62" s="33">
        <v>91</v>
      </c>
      <c r="BQ62" s="33">
        <v>77</v>
      </c>
      <c r="BR62" s="33">
        <v>83</v>
      </c>
      <c r="BS62" s="33">
        <v>87.3</v>
      </c>
      <c r="BT62" s="33">
        <v>78</v>
      </c>
      <c r="BU62" s="33">
        <v>77</v>
      </c>
      <c r="BV62" s="33">
        <v>72</v>
      </c>
      <c r="BW62" s="33">
        <v>62</v>
      </c>
      <c r="BX62" s="33">
        <v>57</v>
      </c>
      <c r="BY62" s="462" t="s">
        <v>146</v>
      </c>
      <c r="BZ62" s="361">
        <v>83.9</v>
      </c>
      <c r="CA62" s="361">
        <v>70</v>
      </c>
      <c r="CB62" s="361">
        <v>88</v>
      </c>
      <c r="CC62" s="361">
        <v>76.099999999999994</v>
      </c>
      <c r="CD62" s="361">
        <v>81</v>
      </c>
      <c r="CE62" s="361">
        <v>88.2</v>
      </c>
      <c r="CF62" s="361">
        <v>80</v>
      </c>
      <c r="CG62" s="361">
        <v>76.7</v>
      </c>
      <c r="CH62" s="361">
        <v>69</v>
      </c>
      <c r="CI62" s="361">
        <v>64</v>
      </c>
      <c r="CJ62" s="361">
        <v>65</v>
      </c>
      <c r="CK62" s="460">
        <v>50</v>
      </c>
      <c r="CL62">
        <v>83.6</v>
      </c>
      <c r="CM62">
        <v>87.9</v>
      </c>
      <c r="CN62">
        <v>80</v>
      </c>
      <c r="CO62">
        <v>75.900000000000006</v>
      </c>
      <c r="CP62">
        <v>91</v>
      </c>
      <c r="CQ62">
        <v>69</v>
      </c>
      <c r="CR62">
        <v>77</v>
      </c>
      <c r="CS62">
        <v>63</v>
      </c>
      <c r="CT62">
        <v>69</v>
      </c>
      <c r="CU62">
        <v>75.900000000000006</v>
      </c>
      <c r="CV62">
        <v>57</v>
      </c>
      <c r="CW62">
        <v>57</v>
      </c>
    </row>
    <row r="63" spans="1:101">
      <c r="A63" s="6" t="s">
        <v>86</v>
      </c>
      <c r="B63" s="387">
        <v>87</v>
      </c>
      <c r="C63" s="387" t="s">
        <v>137</v>
      </c>
      <c r="D63" s="387">
        <v>93</v>
      </c>
      <c r="E63" s="387">
        <v>84</v>
      </c>
      <c r="F63" s="387">
        <v>84</v>
      </c>
      <c r="G63" s="387">
        <v>88</v>
      </c>
      <c r="H63" s="387">
        <v>77</v>
      </c>
      <c r="I63" s="387">
        <v>82</v>
      </c>
      <c r="J63" s="388">
        <v>69</v>
      </c>
      <c r="K63" s="387">
        <v>88</v>
      </c>
      <c r="L63" s="387" t="s">
        <v>137</v>
      </c>
      <c r="M63" s="387">
        <v>94</v>
      </c>
      <c r="N63" s="387">
        <v>86</v>
      </c>
      <c r="O63" s="387">
        <v>72</v>
      </c>
      <c r="P63" s="387">
        <v>88</v>
      </c>
      <c r="Q63" s="387">
        <v>77</v>
      </c>
      <c r="R63" s="387">
        <v>75</v>
      </c>
      <c r="S63" s="388">
        <v>71</v>
      </c>
      <c r="T63" s="357">
        <v>86.6</v>
      </c>
      <c r="U63" s="364" t="s">
        <v>147</v>
      </c>
      <c r="V63" s="357">
        <v>89</v>
      </c>
      <c r="W63" s="357">
        <v>83</v>
      </c>
      <c r="X63" s="357">
        <v>73</v>
      </c>
      <c r="Y63" s="362">
        <v>87.2</v>
      </c>
      <c r="Z63" s="357">
        <v>75</v>
      </c>
      <c r="AA63" s="363">
        <v>63</v>
      </c>
      <c r="AB63" s="363">
        <v>68</v>
      </c>
      <c r="AC63" s="455">
        <v>87.8</v>
      </c>
      <c r="AD63" s="30" t="s">
        <v>148</v>
      </c>
      <c r="AE63" s="363">
        <v>90</v>
      </c>
      <c r="AF63" s="363">
        <v>78</v>
      </c>
      <c r="AG63" s="363">
        <v>75</v>
      </c>
      <c r="AH63" s="363">
        <v>88.6</v>
      </c>
      <c r="AI63" s="363">
        <v>78</v>
      </c>
      <c r="AJ63" s="363">
        <v>69</v>
      </c>
      <c r="AK63" s="422">
        <v>70</v>
      </c>
      <c r="AL63" s="361">
        <v>87.7</v>
      </c>
      <c r="AM63" s="8" t="s">
        <v>149</v>
      </c>
      <c r="AN63" s="361">
        <v>76</v>
      </c>
      <c r="AO63" s="361">
        <v>82</v>
      </c>
      <c r="AP63" s="361">
        <v>81</v>
      </c>
      <c r="AQ63" s="361">
        <v>88.5</v>
      </c>
      <c r="AR63" s="361">
        <v>78</v>
      </c>
      <c r="AS63" s="361">
        <v>69</v>
      </c>
      <c r="AT63" s="361">
        <v>72</v>
      </c>
      <c r="AU63" s="454">
        <v>87.7</v>
      </c>
      <c r="AV63" s="8" t="s">
        <v>131</v>
      </c>
      <c r="AW63" s="361">
        <v>83</v>
      </c>
      <c r="AX63" s="361">
        <v>89</v>
      </c>
      <c r="AY63" s="361">
        <v>71</v>
      </c>
      <c r="AZ63" s="361">
        <v>88.4</v>
      </c>
      <c r="BA63" s="361">
        <v>80</v>
      </c>
      <c r="BB63" s="361">
        <v>68</v>
      </c>
      <c r="BC63" s="460">
        <v>72</v>
      </c>
      <c r="BD63" s="473">
        <v>89.1</v>
      </c>
      <c r="BE63" s="364" t="s">
        <v>134</v>
      </c>
      <c r="BF63" s="357">
        <v>82</v>
      </c>
      <c r="BG63" s="363">
        <v>90</v>
      </c>
      <c r="BH63" s="363">
        <v>77</v>
      </c>
      <c r="BI63" s="363">
        <v>89.8</v>
      </c>
      <c r="BJ63" s="357">
        <v>83</v>
      </c>
      <c r="BK63" s="363">
        <v>81</v>
      </c>
      <c r="BL63" s="363">
        <v>66</v>
      </c>
      <c r="BM63" s="422">
        <v>76</v>
      </c>
      <c r="BN63" s="33">
        <v>85.1</v>
      </c>
      <c r="BO63" s="33" t="s">
        <v>134</v>
      </c>
      <c r="BP63" s="33">
        <v>72</v>
      </c>
      <c r="BQ63" s="33">
        <v>79</v>
      </c>
      <c r="BR63" s="33">
        <v>70</v>
      </c>
      <c r="BS63" s="33">
        <v>86.2</v>
      </c>
      <c r="BT63" s="33">
        <v>80</v>
      </c>
      <c r="BU63" s="33">
        <v>76</v>
      </c>
      <c r="BV63" s="33">
        <v>58</v>
      </c>
      <c r="BW63" s="33">
        <v>68</v>
      </c>
      <c r="BX63" s="33">
        <v>60</v>
      </c>
      <c r="BY63" s="462" t="s">
        <v>47</v>
      </c>
      <c r="BZ63" s="361">
        <v>84.5</v>
      </c>
      <c r="CA63" s="8" t="s">
        <v>134</v>
      </c>
      <c r="CB63" s="361">
        <v>83</v>
      </c>
      <c r="CC63" s="361">
        <v>78</v>
      </c>
      <c r="CD63" s="361">
        <v>71</v>
      </c>
      <c r="CE63" s="361">
        <v>85.7</v>
      </c>
      <c r="CF63" s="361">
        <v>75</v>
      </c>
      <c r="CG63" s="361">
        <v>76</v>
      </c>
      <c r="CH63" s="361">
        <v>63</v>
      </c>
      <c r="CI63" s="361">
        <v>71</v>
      </c>
      <c r="CJ63" s="361">
        <v>68</v>
      </c>
      <c r="CK63" s="51" t="s">
        <v>47</v>
      </c>
      <c r="CL63">
        <v>83.1</v>
      </c>
      <c r="CM63">
        <v>84.6</v>
      </c>
      <c r="CN63">
        <v>70</v>
      </c>
      <c r="CO63">
        <v>82</v>
      </c>
      <c r="CP63">
        <v>74</v>
      </c>
      <c r="CQ63" s="523" t="s">
        <v>150</v>
      </c>
      <c r="CR63">
        <v>76</v>
      </c>
      <c r="CS63">
        <v>69</v>
      </c>
      <c r="CT63">
        <v>49</v>
      </c>
      <c r="CU63">
        <v>75</v>
      </c>
      <c r="CV63">
        <v>55</v>
      </c>
      <c r="CW63" s="361" t="s">
        <v>47</v>
      </c>
    </row>
    <row r="64" spans="1:101">
      <c r="A64" s="73" t="s">
        <v>87</v>
      </c>
      <c r="B64" s="387">
        <v>59</v>
      </c>
      <c r="C64" s="387" t="s">
        <v>134</v>
      </c>
      <c r="D64" s="387" t="s">
        <v>134</v>
      </c>
      <c r="E64" s="387">
        <v>55</v>
      </c>
      <c r="F64" s="387">
        <v>58</v>
      </c>
      <c r="G64" s="387">
        <v>85</v>
      </c>
      <c r="H64" s="387">
        <v>58</v>
      </c>
      <c r="I64" s="387">
        <v>53</v>
      </c>
      <c r="J64" s="388">
        <v>39</v>
      </c>
      <c r="K64" s="389">
        <v>59</v>
      </c>
      <c r="L64" s="389" t="s">
        <v>134</v>
      </c>
      <c r="M64" s="389">
        <v>74</v>
      </c>
      <c r="N64" s="389">
        <v>54</v>
      </c>
      <c r="O64" s="389">
        <v>58</v>
      </c>
      <c r="P64" s="389">
        <v>86</v>
      </c>
      <c r="Q64" s="389">
        <v>70</v>
      </c>
      <c r="R64" s="389">
        <v>52</v>
      </c>
      <c r="S64" s="390">
        <v>44</v>
      </c>
      <c r="T64" s="358">
        <v>62.3</v>
      </c>
      <c r="U64" s="369" t="s">
        <v>134</v>
      </c>
      <c r="V64" s="358">
        <v>86</v>
      </c>
      <c r="W64" s="358">
        <v>62</v>
      </c>
      <c r="X64" s="358">
        <v>60.7</v>
      </c>
      <c r="Y64" s="358">
        <v>85</v>
      </c>
      <c r="Z64" s="358">
        <v>58.9</v>
      </c>
      <c r="AA64" s="293">
        <v>52</v>
      </c>
      <c r="AB64" s="293">
        <v>41</v>
      </c>
      <c r="AC64" s="455">
        <v>61.4</v>
      </c>
      <c r="AD64" s="30" t="s">
        <v>134</v>
      </c>
      <c r="AE64" s="30" t="s">
        <v>134</v>
      </c>
      <c r="AF64" s="363">
        <v>65</v>
      </c>
      <c r="AG64" s="363">
        <v>59.7</v>
      </c>
      <c r="AH64" s="363">
        <v>85</v>
      </c>
      <c r="AI64" s="363">
        <v>60.1</v>
      </c>
      <c r="AJ64" s="363">
        <v>64</v>
      </c>
      <c r="AK64" s="422">
        <v>41</v>
      </c>
      <c r="AL64" s="293">
        <v>68.5</v>
      </c>
      <c r="AM64" s="78" t="s">
        <v>134</v>
      </c>
      <c r="AN64" s="78">
        <v>79</v>
      </c>
      <c r="AO64" s="293">
        <v>68</v>
      </c>
      <c r="AP64" s="293">
        <v>67.099999999999994</v>
      </c>
      <c r="AQ64" s="293">
        <v>86</v>
      </c>
      <c r="AR64" s="293">
        <v>68.2</v>
      </c>
      <c r="AS64" s="293">
        <v>62</v>
      </c>
      <c r="AT64" s="293">
        <v>46</v>
      </c>
      <c r="AU64" s="466">
        <v>69.2</v>
      </c>
      <c r="AV64" s="78" t="s">
        <v>131</v>
      </c>
      <c r="AW64" s="78">
        <v>77</v>
      </c>
      <c r="AX64" s="293">
        <v>69</v>
      </c>
      <c r="AY64" s="293">
        <v>67.7</v>
      </c>
      <c r="AZ64" s="293">
        <v>91</v>
      </c>
      <c r="BA64" s="293">
        <v>69.3</v>
      </c>
      <c r="BB64" s="293">
        <v>64</v>
      </c>
      <c r="BC64" s="464">
        <v>50</v>
      </c>
      <c r="BD64" s="473">
        <v>73.2</v>
      </c>
      <c r="BE64" s="474" t="s">
        <v>134</v>
      </c>
      <c r="BF64" s="357">
        <v>78</v>
      </c>
      <c r="BG64" s="357">
        <v>72</v>
      </c>
      <c r="BH64" s="357">
        <v>72.400000000000006</v>
      </c>
      <c r="BI64" s="363">
        <v>85</v>
      </c>
      <c r="BJ64" s="357" t="s">
        <v>151</v>
      </c>
      <c r="BK64" s="363">
        <v>72.900000000000006</v>
      </c>
      <c r="BL64" s="363">
        <v>63</v>
      </c>
      <c r="BM64" s="422">
        <v>53</v>
      </c>
      <c r="BN64" s="492">
        <v>68.5</v>
      </c>
      <c r="BO64" s="493" t="s">
        <v>134</v>
      </c>
      <c r="BP64" s="30">
        <v>88</v>
      </c>
      <c r="BQ64" s="30">
        <v>65</v>
      </c>
      <c r="BR64" s="30">
        <v>67</v>
      </c>
      <c r="BS64" s="30">
        <v>89</v>
      </c>
      <c r="BT64" s="30" t="s">
        <v>132</v>
      </c>
      <c r="BU64" s="30">
        <v>58.9</v>
      </c>
      <c r="BV64" s="30">
        <v>56</v>
      </c>
      <c r="BW64" s="30">
        <v>47</v>
      </c>
      <c r="BX64" s="30">
        <v>44</v>
      </c>
      <c r="BY64" s="509">
        <v>46</v>
      </c>
      <c r="BZ64" s="361">
        <v>68.900000000000006</v>
      </c>
      <c r="CA64" s="8" t="s">
        <v>134</v>
      </c>
      <c r="CB64" s="361">
        <v>90</v>
      </c>
      <c r="CC64" s="361">
        <v>60</v>
      </c>
      <c r="CD64" s="361">
        <v>68.7</v>
      </c>
      <c r="CE64" s="361">
        <v>93</v>
      </c>
      <c r="CF64" s="361">
        <v>79</v>
      </c>
      <c r="CG64" s="361">
        <v>58.6</v>
      </c>
      <c r="CH64" s="361">
        <v>51</v>
      </c>
      <c r="CI64" s="361">
        <v>51</v>
      </c>
      <c r="CJ64" s="361">
        <v>49</v>
      </c>
      <c r="CK64" s="460">
        <v>45</v>
      </c>
      <c r="CL64">
        <v>73</v>
      </c>
      <c r="CM64">
        <v>93</v>
      </c>
      <c r="CN64">
        <v>72.900000000000006</v>
      </c>
      <c r="CO64">
        <v>64</v>
      </c>
      <c r="CP64">
        <v>88</v>
      </c>
      <c r="CQ64" t="s">
        <v>150</v>
      </c>
      <c r="CR64" t="s">
        <v>151</v>
      </c>
      <c r="CS64">
        <v>56</v>
      </c>
      <c r="CT64">
        <v>56</v>
      </c>
      <c r="CU64">
        <v>62</v>
      </c>
      <c r="CV64">
        <v>55</v>
      </c>
      <c r="CW64">
        <v>53</v>
      </c>
    </row>
    <row r="65" spans="2:85">
      <c r="S65" s="76"/>
    </row>
    <row r="66" spans="2:85" ht="14.25" customHeight="1" thickBot="1">
      <c r="S66" s="76"/>
      <c r="AM66" s="659" t="s">
        <v>152</v>
      </c>
      <c r="AN66" s="659"/>
      <c r="AO66" s="659"/>
      <c r="AP66" s="659"/>
      <c r="AQ66" s="659"/>
      <c r="AR66" s="659"/>
      <c r="AS66" s="659"/>
      <c r="AT66" s="659"/>
      <c r="AU66" s="659"/>
      <c r="AV66" s="659"/>
      <c r="AW66" s="659"/>
      <c r="AX66" t="s">
        <v>153</v>
      </c>
      <c r="CG66" s="517" t="s">
        <v>154</v>
      </c>
    </row>
    <row r="67" spans="2:85" ht="21" customHeight="1">
      <c r="B67" s="580" t="s">
        <v>155</v>
      </c>
      <c r="C67" s="581"/>
      <c r="D67" s="581"/>
      <c r="E67" s="581"/>
      <c r="F67" s="581"/>
      <c r="G67" s="581"/>
      <c r="H67" s="581"/>
      <c r="I67" s="581"/>
      <c r="J67" s="581"/>
      <c r="K67" s="580" t="s">
        <v>155</v>
      </c>
      <c r="L67" s="581"/>
      <c r="M67" s="581"/>
      <c r="N67" s="581"/>
      <c r="O67" s="581"/>
      <c r="P67" s="581"/>
      <c r="Q67" s="581"/>
      <c r="R67" s="581"/>
      <c r="S67" s="581"/>
      <c r="T67" s="2" t="s">
        <v>152</v>
      </c>
      <c r="AC67" s="591" t="s">
        <v>156</v>
      </c>
      <c r="AD67" s="591"/>
      <c r="AE67" s="591"/>
      <c r="AF67" s="591"/>
      <c r="AG67" s="591"/>
      <c r="AH67" s="591"/>
      <c r="AI67" s="591"/>
      <c r="AJ67" s="591"/>
      <c r="AK67" s="591"/>
      <c r="AL67" s="591"/>
      <c r="AM67" s="593" t="s">
        <v>157</v>
      </c>
      <c r="AN67" s="593"/>
      <c r="AO67" s="593"/>
      <c r="AP67" s="593"/>
      <c r="AQ67" s="593"/>
      <c r="AR67" s="593"/>
      <c r="AS67" s="593"/>
      <c r="AT67" s="593"/>
      <c r="AU67" s="593"/>
      <c r="AV67" s="593"/>
      <c r="AW67" s="593"/>
    </row>
    <row r="68" spans="2:85" ht="108" customHeight="1">
      <c r="B68" s="576" t="s">
        <v>158</v>
      </c>
      <c r="C68" s="577"/>
      <c r="D68" s="577"/>
      <c r="E68" s="577"/>
      <c r="F68" s="577"/>
      <c r="G68" s="577"/>
      <c r="H68" s="577"/>
      <c r="I68" s="577"/>
      <c r="J68" s="577"/>
      <c r="K68" s="576" t="s">
        <v>158</v>
      </c>
      <c r="L68" s="577"/>
      <c r="M68" s="577"/>
      <c r="N68" s="577"/>
      <c r="O68" s="577"/>
      <c r="P68" s="577"/>
      <c r="Q68" s="577"/>
      <c r="R68" s="577"/>
      <c r="S68" s="577"/>
      <c r="T68" s="374" t="s">
        <v>157</v>
      </c>
      <c r="AC68" s="591" t="s">
        <v>159</v>
      </c>
      <c r="AD68" s="591"/>
      <c r="AE68" s="591"/>
      <c r="AF68" s="591"/>
      <c r="AG68" s="591"/>
      <c r="AH68" s="591"/>
      <c r="AI68" s="591"/>
      <c r="AJ68" s="591"/>
      <c r="AK68" s="591"/>
      <c r="AL68" s="591"/>
      <c r="AM68" s="17" t="s">
        <v>160</v>
      </c>
      <c r="AN68" s="2"/>
      <c r="AO68" s="2"/>
      <c r="AP68" s="2"/>
      <c r="AQ68" s="2"/>
      <c r="AR68" s="2"/>
      <c r="AS68" s="2"/>
      <c r="AT68" s="2"/>
      <c r="AU68" s="2"/>
      <c r="AV68" s="2"/>
      <c r="AW68" s="2"/>
      <c r="BZ68" s="3" t="s">
        <v>161</v>
      </c>
    </row>
    <row r="69" spans="2:85" ht="15" customHeight="1">
      <c r="B69" s="576" t="s">
        <v>157</v>
      </c>
      <c r="C69" s="577"/>
      <c r="D69" s="577"/>
      <c r="E69" s="577"/>
      <c r="F69" s="577"/>
      <c r="G69" s="577"/>
      <c r="H69" s="577"/>
      <c r="I69" s="577"/>
      <c r="J69" s="577"/>
      <c r="K69" s="576" t="s">
        <v>157</v>
      </c>
      <c r="L69" s="577"/>
      <c r="M69" s="577"/>
      <c r="N69" s="577"/>
      <c r="O69" s="577"/>
      <c r="P69" s="577"/>
      <c r="Q69" s="577"/>
      <c r="R69" s="577"/>
      <c r="S69" s="577"/>
      <c r="T69" s="368" t="s">
        <v>160</v>
      </c>
      <c r="AC69" s="578" t="s">
        <v>162</v>
      </c>
      <c r="AD69" s="578"/>
      <c r="AE69" s="578"/>
      <c r="AF69" s="578"/>
      <c r="AG69" s="578"/>
      <c r="AH69" s="578"/>
      <c r="AI69" s="578"/>
      <c r="AJ69" s="578"/>
      <c r="AK69" s="578"/>
      <c r="AL69" s="578"/>
      <c r="AM69" s="590" t="s">
        <v>163</v>
      </c>
      <c r="AN69" s="590"/>
      <c r="AO69" s="590"/>
      <c r="AP69" s="590"/>
      <c r="AQ69" s="590"/>
      <c r="AR69" s="590"/>
      <c r="AS69" s="590"/>
      <c r="AT69" s="590"/>
      <c r="AU69" s="590"/>
      <c r="AV69" s="590"/>
      <c r="AW69" s="590"/>
    </row>
    <row r="70" spans="2:85" ht="12.75" customHeight="1">
      <c r="B70" s="76" t="s">
        <v>160</v>
      </c>
      <c r="J70" s="367"/>
      <c r="K70" s="76" t="s">
        <v>160</v>
      </c>
      <c r="T70" s="589" t="s">
        <v>164</v>
      </c>
      <c r="U70" s="590"/>
      <c r="V70" s="590"/>
      <c r="W70" s="590"/>
      <c r="X70" s="590"/>
      <c r="Y70" s="590"/>
      <c r="Z70" s="590"/>
      <c r="AA70" s="590"/>
      <c r="AB70" s="590"/>
      <c r="AC70" s="2" t="s">
        <v>165</v>
      </c>
      <c r="AD70" s="2"/>
      <c r="AE70" s="2"/>
      <c r="AF70" s="2"/>
      <c r="AG70" s="2"/>
      <c r="AH70" s="2"/>
      <c r="AI70" s="2"/>
      <c r="AJ70" s="2"/>
      <c r="AK70" s="2"/>
      <c r="AL70" s="2"/>
      <c r="AM70" s="590" t="s">
        <v>166</v>
      </c>
      <c r="AN70" s="590"/>
      <c r="AO70" s="590"/>
      <c r="AP70" s="590"/>
      <c r="AQ70" s="590"/>
      <c r="AR70" s="590"/>
      <c r="AS70" s="590"/>
      <c r="AT70" s="590"/>
      <c r="AU70" s="590"/>
      <c r="AV70" s="590"/>
      <c r="AW70" s="590"/>
    </row>
    <row r="71" spans="2:85" ht="15" customHeight="1">
      <c r="B71" s="578" t="s">
        <v>167</v>
      </c>
      <c r="C71" s="577"/>
      <c r="D71" s="577"/>
      <c r="E71" s="577"/>
      <c r="F71" s="577"/>
      <c r="G71" s="577"/>
      <c r="H71" s="577"/>
      <c r="I71" s="577"/>
      <c r="J71" s="579"/>
      <c r="K71" s="578" t="s">
        <v>167</v>
      </c>
      <c r="L71" s="577"/>
      <c r="M71" s="577"/>
      <c r="N71" s="577"/>
      <c r="O71" s="577"/>
      <c r="P71" s="577"/>
      <c r="Q71" s="577"/>
      <c r="R71" s="577"/>
      <c r="S71" s="579"/>
      <c r="T71" s="588" t="s">
        <v>168</v>
      </c>
      <c r="U71" s="551"/>
      <c r="V71" s="551"/>
      <c r="W71" s="551"/>
      <c r="X71" s="551"/>
      <c r="Y71" s="551"/>
      <c r="Z71" s="551"/>
      <c r="AA71" s="551"/>
      <c r="AB71" s="551"/>
      <c r="AC71" s="374"/>
      <c r="AD71" s="374"/>
      <c r="AE71" s="374"/>
      <c r="AF71" s="374"/>
      <c r="AG71" s="374"/>
      <c r="AH71" s="374"/>
      <c r="AI71" s="374"/>
      <c r="AJ71" s="374"/>
      <c r="AK71" s="374"/>
      <c r="AL71" s="374"/>
      <c r="AM71" s="551" t="s">
        <v>169</v>
      </c>
      <c r="AN71" s="551"/>
      <c r="AO71" s="551"/>
      <c r="AP71" s="551"/>
      <c r="AQ71" s="551"/>
      <c r="AR71" s="551"/>
      <c r="AS71" s="551"/>
      <c r="AT71" s="551"/>
      <c r="AU71" s="551"/>
      <c r="AV71" s="551"/>
      <c r="AW71" s="551"/>
    </row>
    <row r="72" spans="2:85" ht="15" customHeight="1">
      <c r="B72" s="578" t="s">
        <v>170</v>
      </c>
      <c r="C72" s="577"/>
      <c r="D72" s="577"/>
      <c r="E72" s="577"/>
      <c r="F72" s="577"/>
      <c r="G72" s="577"/>
      <c r="H72" s="577"/>
      <c r="I72" s="577"/>
      <c r="J72" s="577"/>
      <c r="K72" s="578" t="s">
        <v>171</v>
      </c>
      <c r="L72" s="577"/>
      <c r="M72" s="577"/>
      <c r="N72" s="577"/>
      <c r="O72" s="577"/>
      <c r="P72" s="577"/>
      <c r="Q72" s="577"/>
      <c r="R72" s="577"/>
      <c r="S72" s="577"/>
      <c r="T72" s="552" t="s">
        <v>172</v>
      </c>
      <c r="U72" s="552"/>
      <c r="V72" s="552"/>
      <c r="W72" s="552"/>
      <c r="X72" s="552"/>
      <c r="Y72" s="552"/>
      <c r="Z72" s="552"/>
      <c r="AA72" s="552"/>
      <c r="AB72" s="552"/>
      <c r="AC72" s="368"/>
      <c r="AD72" s="2"/>
      <c r="AE72" s="2"/>
      <c r="AF72" s="2"/>
      <c r="AG72" s="365"/>
      <c r="AH72" s="2"/>
      <c r="AI72" s="2"/>
      <c r="AJ72" s="2"/>
      <c r="AK72" s="2"/>
      <c r="AL72" s="2"/>
      <c r="AM72" s="2"/>
    </row>
    <row r="73" spans="2:85" ht="15" customHeight="1">
      <c r="B73" s="382" t="s">
        <v>173</v>
      </c>
      <c r="C73" s="383"/>
      <c r="D73" s="383"/>
      <c r="E73" s="383"/>
      <c r="F73" s="383"/>
      <c r="G73" s="383"/>
      <c r="H73" s="383"/>
      <c r="I73" s="383"/>
      <c r="J73" s="383"/>
      <c r="K73" s="578" t="s">
        <v>174</v>
      </c>
      <c r="L73" s="577"/>
      <c r="M73" s="577"/>
      <c r="N73" s="577"/>
      <c r="O73" s="577"/>
      <c r="P73" s="577"/>
      <c r="Q73" s="577"/>
      <c r="R73" s="577"/>
      <c r="S73" s="577"/>
      <c r="T73" s="551" t="s">
        <v>175</v>
      </c>
      <c r="U73" s="551"/>
      <c r="V73" s="551"/>
      <c r="W73" s="551"/>
      <c r="X73" s="551"/>
      <c r="Y73" s="551"/>
      <c r="Z73" s="551"/>
      <c r="AA73" s="551"/>
      <c r="AB73" s="551"/>
      <c r="AC73" s="551"/>
      <c r="AD73" s="551"/>
      <c r="AE73" s="551"/>
      <c r="AF73" s="551"/>
      <c r="AG73" s="551"/>
      <c r="AH73" s="551"/>
      <c r="AI73" s="551"/>
      <c r="AJ73" s="551"/>
      <c r="AK73" s="551"/>
      <c r="AL73" s="551"/>
      <c r="AM73" s="551"/>
    </row>
    <row r="74" spans="2:85" ht="117.6" customHeight="1">
      <c r="B74" s="381" t="s">
        <v>176</v>
      </c>
      <c r="C74" s="381" t="s">
        <v>176</v>
      </c>
      <c r="D74" s="381" t="s">
        <v>176</v>
      </c>
      <c r="E74" s="381" t="s">
        <v>176</v>
      </c>
      <c r="F74" s="381" t="s">
        <v>176</v>
      </c>
      <c r="G74" s="381" t="s">
        <v>176</v>
      </c>
      <c r="H74" s="381" t="s">
        <v>176</v>
      </c>
      <c r="I74" s="381" t="s">
        <v>176</v>
      </c>
      <c r="J74" s="381" t="s">
        <v>176</v>
      </c>
      <c r="K74" s="576" t="s">
        <v>176</v>
      </c>
      <c r="L74" s="577"/>
      <c r="M74" s="577"/>
      <c r="N74" s="577"/>
      <c r="O74" s="577"/>
      <c r="P74" s="577"/>
      <c r="Q74" s="577"/>
      <c r="R74" s="577"/>
      <c r="S74" s="577"/>
      <c r="T74" s="551" t="s">
        <v>177</v>
      </c>
      <c r="U74" s="551"/>
      <c r="V74" s="551"/>
      <c r="W74" s="551"/>
      <c r="X74" s="551"/>
      <c r="Y74" s="551"/>
      <c r="Z74" s="551"/>
      <c r="AA74" s="551"/>
      <c r="AB74" s="551"/>
      <c r="AC74" s="551"/>
      <c r="AD74" s="551"/>
      <c r="AE74" s="551"/>
      <c r="AF74" s="551"/>
      <c r="AG74" s="551"/>
      <c r="AH74" s="551"/>
      <c r="AI74" s="551"/>
      <c r="AJ74" s="551"/>
      <c r="AK74" s="551"/>
      <c r="AL74" s="551"/>
      <c r="AM74" s="551"/>
    </row>
    <row r="75" spans="2:85" ht="30" customHeight="1">
      <c r="B75" s="381" t="s">
        <v>178</v>
      </c>
      <c r="C75" s="499"/>
      <c r="D75" s="499"/>
      <c r="E75" s="499"/>
      <c r="F75" s="499"/>
      <c r="G75" s="499"/>
      <c r="H75" s="499"/>
      <c r="I75" s="499"/>
      <c r="J75" s="499"/>
      <c r="K75" s="576" t="s">
        <v>179</v>
      </c>
      <c r="L75" s="577"/>
      <c r="M75" s="577"/>
      <c r="N75" s="577"/>
      <c r="O75" s="577"/>
      <c r="P75" s="577"/>
      <c r="Q75" s="577"/>
      <c r="R75" s="577"/>
      <c r="S75" s="577"/>
      <c r="T75" s="26"/>
      <c r="U75" s="26"/>
      <c r="V75" s="26"/>
      <c r="W75" s="26"/>
      <c r="X75" s="26"/>
      <c r="Y75" s="26"/>
      <c r="Z75" s="26"/>
      <c r="AA75" s="26"/>
      <c r="AB75" s="26"/>
      <c r="AC75" s="26"/>
      <c r="AD75" s="26"/>
      <c r="AE75" s="26"/>
      <c r="AF75" s="26"/>
      <c r="AG75" s="26"/>
      <c r="AH75" s="26"/>
      <c r="AI75" s="26"/>
      <c r="AJ75" s="26"/>
      <c r="AK75" s="26"/>
      <c r="AL75" s="26"/>
      <c r="AM75" s="26"/>
    </row>
    <row r="76" spans="2:85" ht="30" customHeight="1">
      <c r="B76" s="76" t="s">
        <v>180</v>
      </c>
      <c r="K76" s="76" t="s">
        <v>181</v>
      </c>
    </row>
    <row r="77" spans="2:85" ht="56.25" customHeight="1"/>
    <row r="78" spans="2:85" ht="61.5" customHeight="1"/>
    <row r="79" spans="2:85" ht="38.25" customHeight="1"/>
  </sheetData>
  <mergeCells count="37">
    <mergeCell ref="BD3:BM3"/>
    <mergeCell ref="AM70:AW70"/>
    <mergeCell ref="AM71:AW71"/>
    <mergeCell ref="AL3:AT3"/>
    <mergeCell ref="T73:AM73"/>
    <mergeCell ref="AU3:BC3"/>
    <mergeCell ref="T74:AM74"/>
    <mergeCell ref="T72:AB72"/>
    <mergeCell ref="AM66:AW66"/>
    <mergeCell ref="AM67:AW67"/>
    <mergeCell ref="AM69:AW69"/>
    <mergeCell ref="B72:J72"/>
    <mergeCell ref="K3:S3"/>
    <mergeCell ref="T2:AC2"/>
    <mergeCell ref="T3:AB3"/>
    <mergeCell ref="T71:AB71"/>
    <mergeCell ref="T70:AB70"/>
    <mergeCell ref="AC67:AL67"/>
    <mergeCell ref="AC68:AL68"/>
    <mergeCell ref="AC69:AL69"/>
    <mergeCell ref="AC3:AK3"/>
    <mergeCell ref="CL3:CX3"/>
    <mergeCell ref="BZ3:CK3"/>
    <mergeCell ref="BN3:BY3"/>
    <mergeCell ref="B3:J3"/>
    <mergeCell ref="K75:S75"/>
    <mergeCell ref="K74:S74"/>
    <mergeCell ref="K72:S72"/>
    <mergeCell ref="K73:S73"/>
    <mergeCell ref="K71:S71"/>
    <mergeCell ref="K69:S69"/>
    <mergeCell ref="K68:S68"/>
    <mergeCell ref="K67:S67"/>
    <mergeCell ref="B67:J67"/>
    <mergeCell ref="B68:J68"/>
    <mergeCell ref="B69:J69"/>
    <mergeCell ref="B71:J71"/>
  </mergeCells>
  <hyperlinks>
    <hyperlink ref="K71" r:id="rId1" location="r1" display="http://nces.ed.gov/pubs2014/2014391/tables/table_02.asp - r1" xr:uid="{00000000-0004-0000-0A00-000000000000}"/>
    <hyperlink ref="K72" r:id="rId2" location="r2" display="http://nces.ed.gov/pubs2014/2014391/tables/table_02.asp - r2" xr:uid="{00000000-0004-0000-0A00-000001000000}"/>
    <hyperlink ref="K73" r:id="rId3" location="r3" display="http://nces.ed.gov/pubs2014/2014391/tables/table_02.asp - r3" xr:uid="{00000000-0004-0000-0A00-000002000000}"/>
    <hyperlink ref="B71" r:id="rId4" location="r1" display="http://nces.ed.gov/pubs2014/2014391/tables/table_02.asp - r1" xr:uid="{00000000-0004-0000-0A00-000003000000}"/>
    <hyperlink ref="AC69" r:id="rId5" display="https://nces.ed.gov/ccd/ccddata.asp" xr:uid="{00000000-0004-0000-0A00-000004000000}"/>
  </hyperlinks>
  <pageMargins left="0.7" right="0.7" top="0.75" bottom="0.75" header="0.3" footer="0.3"/>
  <pageSetup orientation="portrait" r:id="rId6"/>
  <legacyDrawing r:id="rId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codeName="Sheet1">
    <tabColor rgb="FF003399"/>
    <pageSetUpPr autoPageBreaks="0" fitToPage="1"/>
  </sheetPr>
  <dimension ref="A1:CF326"/>
  <sheetViews>
    <sheetView zoomScale="70" zoomScaleNormal="70" workbookViewId="0">
      <pane xSplit="1" ySplit="5" topLeftCell="BC21" activePane="bottomRight" state="frozen"/>
      <selection pane="bottomRight" activeCell="BJ56" sqref="BJ56:BJ65"/>
      <selection pane="bottomLeft" activeCell="A6" sqref="A6"/>
      <selection pane="topRight" activeCell="B1" sqref="B1"/>
    </sheetView>
  </sheetViews>
  <sheetFormatPr defaultColWidth="11.42578125" defaultRowHeight="12.6"/>
  <cols>
    <col min="1" max="1" width="20.7109375" style="76" customWidth="1"/>
    <col min="2" max="2" width="10.42578125" style="8" bestFit="1" customWidth="1"/>
    <col min="3" max="3" width="10.140625" style="8" customWidth="1"/>
    <col min="4" max="4" width="10.140625" style="2" customWidth="1"/>
    <col min="5" max="60" width="10.140625" style="29" customWidth="1"/>
    <col min="61" max="62" width="10.42578125" style="29" bestFit="1" customWidth="1"/>
    <col min="63" max="74" width="11" style="29" customWidth="1"/>
    <col min="75" max="16384" width="11.42578125" style="29"/>
  </cols>
  <sheetData>
    <row r="1" spans="1:84" ht="12.95">
      <c r="A1" s="44" t="s">
        <v>182</v>
      </c>
    </row>
    <row r="2" spans="1:84">
      <c r="B2" s="3"/>
      <c r="E2" s="32"/>
    </row>
    <row r="3" spans="1:84">
      <c r="B3" s="84"/>
      <c r="C3" s="115"/>
      <c r="D3" s="84"/>
      <c r="E3" s="84"/>
      <c r="F3" s="84"/>
      <c r="G3" s="84"/>
      <c r="H3" s="115"/>
      <c r="I3" s="84"/>
      <c r="J3" s="84"/>
      <c r="K3" s="84"/>
      <c r="L3" s="84"/>
      <c r="M3" s="84"/>
      <c r="N3" s="84"/>
      <c r="O3" s="84"/>
      <c r="P3" s="84"/>
      <c r="Q3" s="118"/>
      <c r="R3" s="31"/>
      <c r="S3" s="31"/>
      <c r="T3" s="31"/>
      <c r="U3" s="31"/>
      <c r="V3" s="31"/>
      <c r="W3" s="118"/>
      <c r="X3" s="31"/>
      <c r="Y3" s="31"/>
      <c r="Z3" s="31"/>
      <c r="AA3" s="31"/>
      <c r="AB3" s="31"/>
      <c r="AC3" s="118"/>
      <c r="AD3" s="31"/>
      <c r="AE3" s="31"/>
      <c r="AF3" s="31"/>
      <c r="AG3" s="31"/>
      <c r="AH3" s="31"/>
      <c r="BA3" s="31"/>
      <c r="BB3" s="31"/>
      <c r="BC3" s="31"/>
      <c r="BD3" s="31"/>
      <c r="BE3" s="31"/>
      <c r="BF3" s="31"/>
      <c r="BG3" s="31"/>
      <c r="BH3" s="31"/>
      <c r="BI3" s="31"/>
      <c r="BJ3" s="31"/>
      <c r="BK3" s="425" t="s">
        <v>183</v>
      </c>
      <c r="BL3" s="425"/>
      <c r="BM3" s="425"/>
      <c r="BN3" s="425"/>
      <c r="BO3" s="425"/>
      <c r="BP3" s="425"/>
      <c r="BQ3" s="425"/>
      <c r="BR3" s="425"/>
      <c r="BS3" s="425"/>
      <c r="BT3" s="425"/>
      <c r="BU3" s="425"/>
      <c r="BV3" s="425"/>
      <c r="BW3" s="338"/>
    </row>
    <row r="4" spans="1:84">
      <c r="A4" s="205"/>
      <c r="B4" s="201">
        <v>1960</v>
      </c>
      <c r="C4" s="202">
        <v>1961</v>
      </c>
      <c r="D4" s="201">
        <v>1962</v>
      </c>
      <c r="E4" s="202">
        <v>1963</v>
      </c>
      <c r="F4" s="201">
        <v>1964</v>
      </c>
      <c r="G4" s="201">
        <v>1965</v>
      </c>
      <c r="H4" s="202">
        <v>1966</v>
      </c>
      <c r="I4" s="201">
        <v>1967</v>
      </c>
      <c r="J4" s="201">
        <v>1968</v>
      </c>
      <c r="K4" s="201">
        <v>1969</v>
      </c>
      <c r="L4" s="201">
        <v>1970</v>
      </c>
      <c r="M4" s="201">
        <v>1971</v>
      </c>
      <c r="N4" s="201">
        <v>1972</v>
      </c>
      <c r="O4" s="201">
        <v>1973</v>
      </c>
      <c r="P4" s="201">
        <v>1974</v>
      </c>
      <c r="Q4" s="426">
        <v>1975</v>
      </c>
      <c r="R4" s="426">
        <v>1976</v>
      </c>
      <c r="S4" s="426">
        <v>1977</v>
      </c>
      <c r="T4" s="426">
        <v>1978</v>
      </c>
      <c r="U4" s="426">
        <v>1979</v>
      </c>
      <c r="V4" s="426">
        <v>1980</v>
      </c>
      <c r="W4" s="426">
        <v>1981</v>
      </c>
      <c r="X4" s="426">
        <v>1982</v>
      </c>
      <c r="Y4" s="426">
        <v>1983</v>
      </c>
      <c r="Z4" s="426">
        <v>1984</v>
      </c>
      <c r="AA4" s="426">
        <v>1985</v>
      </c>
      <c r="AB4" s="426">
        <v>1986</v>
      </c>
      <c r="AC4" s="426">
        <v>1987</v>
      </c>
      <c r="AD4" s="426">
        <v>1988</v>
      </c>
      <c r="AE4" s="426">
        <v>1989</v>
      </c>
      <c r="AF4" s="426">
        <v>1990</v>
      </c>
      <c r="AG4" s="426">
        <v>1991</v>
      </c>
      <c r="AH4" s="426">
        <v>1992</v>
      </c>
      <c r="AI4" s="201">
        <v>1993</v>
      </c>
      <c r="AJ4" s="201">
        <v>1994</v>
      </c>
      <c r="AK4" s="201">
        <v>1995</v>
      </c>
      <c r="AL4" s="201">
        <v>1996</v>
      </c>
      <c r="AM4" s="201">
        <v>1997</v>
      </c>
      <c r="AN4" s="201">
        <v>1998</v>
      </c>
      <c r="AO4" s="201">
        <v>1999</v>
      </c>
      <c r="AP4" s="201">
        <v>2000</v>
      </c>
      <c r="AQ4" s="201">
        <v>2001</v>
      </c>
      <c r="AR4" s="201">
        <v>2002</v>
      </c>
      <c r="AS4" s="201">
        <v>2003</v>
      </c>
      <c r="AT4" s="201">
        <v>2004</v>
      </c>
      <c r="AU4" s="201">
        <v>2005</v>
      </c>
      <c r="AV4" s="201">
        <v>2006</v>
      </c>
      <c r="AW4" s="201">
        <v>2007</v>
      </c>
      <c r="AX4" s="201">
        <v>2008</v>
      </c>
      <c r="AY4" s="201">
        <v>2009</v>
      </c>
      <c r="AZ4" s="201">
        <v>2010</v>
      </c>
      <c r="BA4" s="427">
        <v>2011</v>
      </c>
      <c r="BB4" s="427">
        <v>2012</v>
      </c>
      <c r="BC4" s="427">
        <v>2013</v>
      </c>
      <c r="BD4" s="427">
        <v>2014</v>
      </c>
      <c r="BE4" s="427">
        <v>2015</v>
      </c>
      <c r="BF4" s="427">
        <v>2016</v>
      </c>
      <c r="BG4" s="495">
        <v>2017</v>
      </c>
      <c r="BH4" s="495">
        <v>2018</v>
      </c>
      <c r="BI4" s="495">
        <v>2019</v>
      </c>
      <c r="BJ4" s="495">
        <v>2020</v>
      </c>
      <c r="BK4" s="192">
        <v>2011</v>
      </c>
      <c r="BL4" s="193">
        <v>2012</v>
      </c>
      <c r="BM4" s="193">
        <v>2013</v>
      </c>
      <c r="BN4" s="193">
        <v>2014</v>
      </c>
      <c r="BO4" s="193">
        <v>2015</v>
      </c>
      <c r="BP4" s="193">
        <v>2016</v>
      </c>
      <c r="BQ4" s="193">
        <v>2017</v>
      </c>
      <c r="BR4" s="193">
        <v>2018</v>
      </c>
      <c r="BS4" s="193">
        <v>2019</v>
      </c>
      <c r="BT4" s="193">
        <v>2020</v>
      </c>
      <c r="BU4" s="193">
        <v>2021</v>
      </c>
      <c r="BV4" s="193">
        <v>2022</v>
      </c>
      <c r="BW4" s="339">
        <v>2023</v>
      </c>
    </row>
    <row r="5" spans="1:84" s="32" customFormat="1">
      <c r="A5" s="24"/>
      <c r="B5" s="125" t="s">
        <v>184</v>
      </c>
      <c r="C5" s="204" t="s">
        <v>185</v>
      </c>
      <c r="D5" s="125" t="s">
        <v>186</v>
      </c>
      <c r="E5" s="125" t="s">
        <v>187</v>
      </c>
      <c r="F5" s="125" t="s">
        <v>188</v>
      </c>
      <c r="G5" s="125" t="s">
        <v>189</v>
      </c>
      <c r="H5" s="204" t="s">
        <v>190</v>
      </c>
      <c r="I5" s="125" t="s">
        <v>191</v>
      </c>
      <c r="J5" s="125" t="s">
        <v>192</v>
      </c>
      <c r="K5" s="125" t="s">
        <v>193</v>
      </c>
      <c r="L5" s="125" t="s">
        <v>194</v>
      </c>
      <c r="M5" s="125" t="s">
        <v>195</v>
      </c>
      <c r="N5" s="125" t="s">
        <v>196</v>
      </c>
      <c r="O5" s="125" t="s">
        <v>197</v>
      </c>
      <c r="P5" s="125" t="s">
        <v>198</v>
      </c>
      <c r="Q5" s="428" t="s">
        <v>199</v>
      </c>
      <c r="R5" s="429" t="s">
        <v>200</v>
      </c>
      <c r="S5" s="429" t="s">
        <v>201</v>
      </c>
      <c r="T5" s="429" t="s">
        <v>202</v>
      </c>
      <c r="U5" s="429" t="s">
        <v>203</v>
      </c>
      <c r="V5" s="429" t="s">
        <v>204</v>
      </c>
      <c r="W5" s="428" t="s">
        <v>205</v>
      </c>
      <c r="X5" s="91" t="s">
        <v>206</v>
      </c>
      <c r="Y5" s="91" t="s">
        <v>207</v>
      </c>
      <c r="Z5" s="91" t="s">
        <v>208</v>
      </c>
      <c r="AA5" s="91" t="s">
        <v>209</v>
      </c>
      <c r="AB5" s="91" t="s">
        <v>210</v>
      </c>
      <c r="AC5" s="428" t="s">
        <v>211</v>
      </c>
      <c r="AD5" s="91" t="s">
        <v>212</v>
      </c>
      <c r="AE5" s="91" t="s">
        <v>213</v>
      </c>
      <c r="AF5" s="91" t="s">
        <v>214</v>
      </c>
      <c r="AG5" s="91" t="s">
        <v>215</v>
      </c>
      <c r="AH5" s="91" t="s">
        <v>216</v>
      </c>
      <c r="AI5" s="54" t="s">
        <v>217</v>
      </c>
      <c r="AJ5" s="54" t="s">
        <v>218</v>
      </c>
      <c r="AK5" s="54" t="s">
        <v>219</v>
      </c>
      <c r="AL5" s="54" t="s">
        <v>220</v>
      </c>
      <c r="AM5" s="54" t="s">
        <v>221</v>
      </c>
      <c r="AN5" s="54" t="s">
        <v>222</v>
      </c>
      <c r="AO5" s="54" t="s">
        <v>223</v>
      </c>
      <c r="AP5" s="54" t="s">
        <v>224</v>
      </c>
      <c r="AQ5" s="54" t="s">
        <v>225</v>
      </c>
      <c r="AR5" s="54" t="s">
        <v>226</v>
      </c>
      <c r="AS5" s="54" t="s">
        <v>227</v>
      </c>
      <c r="AT5" s="54" t="s">
        <v>228</v>
      </c>
      <c r="AU5" s="54" t="s">
        <v>229</v>
      </c>
      <c r="AV5" s="54" t="s">
        <v>230</v>
      </c>
      <c r="AW5" s="54" t="s">
        <v>231</v>
      </c>
      <c r="AX5" s="54" t="s">
        <v>30</v>
      </c>
      <c r="AY5" s="54" t="s">
        <v>232</v>
      </c>
      <c r="AZ5" s="54" t="s">
        <v>233</v>
      </c>
      <c r="BA5" s="54" t="s">
        <v>95</v>
      </c>
      <c r="BB5" s="54" t="s">
        <v>96</v>
      </c>
      <c r="BC5" s="54" t="s">
        <v>97</v>
      </c>
      <c r="BD5" s="54" t="s">
        <v>98</v>
      </c>
      <c r="BE5" s="54" t="s">
        <v>99</v>
      </c>
      <c r="BF5" s="54" t="s">
        <v>100</v>
      </c>
      <c r="BG5" s="54" t="s">
        <v>101</v>
      </c>
      <c r="BH5" s="54" t="s">
        <v>29</v>
      </c>
      <c r="BI5" s="54" t="s">
        <v>28</v>
      </c>
      <c r="BJ5" s="54" t="s">
        <v>27</v>
      </c>
      <c r="BK5" s="192" t="s">
        <v>234</v>
      </c>
      <c r="BL5" s="193" t="s">
        <v>235</v>
      </c>
      <c r="BM5" s="193" t="s">
        <v>236</v>
      </c>
      <c r="BN5" s="193" t="s">
        <v>237</v>
      </c>
      <c r="BO5" s="193" t="s">
        <v>238</v>
      </c>
      <c r="BP5" s="193" t="s">
        <v>239</v>
      </c>
      <c r="BQ5" s="193" t="s">
        <v>240</v>
      </c>
      <c r="BR5" s="193" t="s">
        <v>29</v>
      </c>
      <c r="BS5" s="193" t="s">
        <v>241</v>
      </c>
      <c r="BT5" s="193" t="s">
        <v>27</v>
      </c>
      <c r="BU5" s="193" t="s">
        <v>242</v>
      </c>
      <c r="BV5" s="193" t="s">
        <v>243</v>
      </c>
      <c r="BW5" s="193" t="s">
        <v>244</v>
      </c>
    </row>
    <row r="6" spans="1:84">
      <c r="A6" s="176" t="s">
        <v>31</v>
      </c>
      <c r="B6" s="430">
        <f t="shared" ref="B6:BS6" si="0">+B7+B25+B40+B54+B65</f>
        <v>1627050</v>
      </c>
      <c r="C6" s="430">
        <f t="shared" si="0"/>
        <v>1656588</v>
      </c>
      <c r="D6" s="430">
        <f t="shared" si="0"/>
        <v>1686126</v>
      </c>
      <c r="E6" s="430">
        <f t="shared" si="0"/>
        <v>1710844</v>
      </c>
      <c r="F6" s="430">
        <f t="shared" si="0"/>
        <v>2020680</v>
      </c>
      <c r="G6" s="430">
        <f t="shared" si="0"/>
        <v>2362100</v>
      </c>
      <c r="H6" s="430">
        <f t="shared" si="0"/>
        <v>2407407.8000000003</v>
      </c>
      <c r="I6" s="430">
        <f t="shared" si="0"/>
        <v>2452715.5999999996</v>
      </c>
      <c r="J6" s="430">
        <f t="shared" si="0"/>
        <v>2498023.4000000004</v>
      </c>
      <c r="K6" s="430">
        <f t="shared" si="0"/>
        <v>2543331.1999999997</v>
      </c>
      <c r="L6" s="430">
        <f t="shared" si="0"/>
        <v>2588639</v>
      </c>
      <c r="M6" s="430">
        <f t="shared" si="0"/>
        <v>2637642</v>
      </c>
      <c r="N6" s="430">
        <f t="shared" si="0"/>
        <v>2699553</v>
      </c>
      <c r="O6" s="430">
        <f t="shared" si="0"/>
        <v>2728822</v>
      </c>
      <c r="P6" s="430">
        <f t="shared" si="0"/>
        <v>2763317</v>
      </c>
      <c r="Q6" s="430">
        <f t="shared" si="0"/>
        <v>2822502</v>
      </c>
      <c r="R6" s="430">
        <f t="shared" si="0"/>
        <v>2837129</v>
      </c>
      <c r="S6" s="430">
        <f t="shared" si="0"/>
        <v>2837340</v>
      </c>
      <c r="T6" s="430">
        <f t="shared" si="0"/>
        <v>2824636</v>
      </c>
      <c r="U6" s="430">
        <f t="shared" si="0"/>
        <v>2801152</v>
      </c>
      <c r="V6" s="430">
        <f t="shared" si="0"/>
        <v>2747678</v>
      </c>
      <c r="W6" s="430">
        <f t="shared" si="0"/>
        <v>2725285</v>
      </c>
      <c r="X6" s="430">
        <f t="shared" si="0"/>
        <v>2704758</v>
      </c>
      <c r="Y6" s="430">
        <f t="shared" si="0"/>
        <v>2597604</v>
      </c>
      <c r="Z6" s="430">
        <f t="shared" si="0"/>
        <v>2494797</v>
      </c>
      <c r="AA6" s="430">
        <f t="shared" si="0"/>
        <v>2413917</v>
      </c>
      <c r="AB6" s="430">
        <f t="shared" si="0"/>
        <v>2382616</v>
      </c>
      <c r="AC6" s="430">
        <f t="shared" si="0"/>
        <v>2428803</v>
      </c>
      <c r="AD6" s="430">
        <f t="shared" si="0"/>
        <v>2500191</v>
      </c>
      <c r="AE6" s="430">
        <f t="shared" si="0"/>
        <v>2458800</v>
      </c>
      <c r="AF6" s="430">
        <f t="shared" si="0"/>
        <v>2320337</v>
      </c>
      <c r="AG6" s="430">
        <f t="shared" si="0"/>
        <v>2234893</v>
      </c>
      <c r="AH6" s="430">
        <f t="shared" si="0"/>
        <v>2226016</v>
      </c>
      <c r="AI6" s="430">
        <f t="shared" si="0"/>
        <v>2233241</v>
      </c>
      <c r="AJ6" s="430">
        <f t="shared" si="0"/>
        <v>2220849</v>
      </c>
      <c r="AK6" s="430">
        <f t="shared" si="0"/>
        <v>2273541</v>
      </c>
      <c r="AL6" s="430">
        <f t="shared" si="0"/>
        <v>2273109</v>
      </c>
      <c r="AM6" s="430">
        <f t="shared" si="0"/>
        <v>2358403</v>
      </c>
      <c r="AN6" s="430">
        <f t="shared" si="0"/>
        <v>2439050</v>
      </c>
      <c r="AO6" s="430">
        <f t="shared" si="0"/>
        <v>2485630</v>
      </c>
      <c r="AP6" s="430">
        <f t="shared" si="0"/>
        <v>2553844</v>
      </c>
      <c r="AQ6" s="430">
        <f t="shared" si="0"/>
        <v>2569200</v>
      </c>
      <c r="AR6" s="430">
        <f t="shared" si="0"/>
        <v>2621534</v>
      </c>
      <c r="AS6" s="430">
        <f t="shared" si="0"/>
        <v>2719947</v>
      </c>
      <c r="AT6" s="430">
        <f t="shared" si="0"/>
        <v>2753438</v>
      </c>
      <c r="AU6" s="430">
        <f t="shared" si="0"/>
        <v>2799250</v>
      </c>
      <c r="AV6" s="430">
        <f t="shared" si="0"/>
        <v>2815544</v>
      </c>
      <c r="AW6" s="430">
        <f t="shared" si="0"/>
        <v>2893045</v>
      </c>
      <c r="AX6" s="430">
        <f t="shared" si="0"/>
        <v>3001337</v>
      </c>
      <c r="AY6" s="430">
        <f t="shared" si="0"/>
        <v>3039015</v>
      </c>
      <c r="AZ6" s="430">
        <f t="shared" si="0"/>
        <v>3128022</v>
      </c>
      <c r="BA6" s="430">
        <f t="shared" si="0"/>
        <v>3144100</v>
      </c>
      <c r="BB6" s="430">
        <f t="shared" si="0"/>
        <v>3149185</v>
      </c>
      <c r="BC6" s="430">
        <f t="shared" si="0"/>
        <v>3169257</v>
      </c>
      <c r="BD6" s="430">
        <f t="shared" si="0"/>
        <v>3045107.1260000002</v>
      </c>
      <c r="BE6" s="430">
        <f t="shared" si="0"/>
        <v>3068064.8229999994</v>
      </c>
      <c r="BF6" s="430">
        <f>+BF7+BF25+BF40+BF54+BF65</f>
        <v>3121760.2760000001</v>
      </c>
      <c r="BG6" s="430">
        <f>+BG7+BG25+BG40+BG54+BG65</f>
        <v>3308209</v>
      </c>
      <c r="BH6" s="430">
        <f>+BH7+BH25+BH40+BH54+BH65</f>
        <v>3386371</v>
      </c>
      <c r="BI6" s="430">
        <f>+BI7+BI25+BI40+BI54+BI65</f>
        <v>3402185</v>
      </c>
      <c r="BJ6" s="430">
        <f>+BJ7+BJ25+BJ40+BJ54+BJ65</f>
        <v>3361810</v>
      </c>
      <c r="BK6" s="431">
        <f t="shared" si="0"/>
        <v>3121650</v>
      </c>
      <c r="BL6" s="140">
        <f t="shared" si="0"/>
        <v>3103700</v>
      </c>
      <c r="BM6" s="140">
        <f t="shared" si="0"/>
        <v>3110180</v>
      </c>
      <c r="BN6" s="140">
        <f t="shared" si="0"/>
        <v>3070450</v>
      </c>
      <c r="BO6" s="140">
        <f t="shared" si="0"/>
        <v>3031450</v>
      </c>
      <c r="BP6" s="140">
        <f t="shared" si="0"/>
        <v>3047840</v>
      </c>
      <c r="BQ6" s="140">
        <f t="shared" si="0"/>
        <v>3066390</v>
      </c>
      <c r="BR6" s="140">
        <f t="shared" si="0"/>
        <v>3106030</v>
      </c>
      <c r="BS6" s="140">
        <f t="shared" si="0"/>
        <v>3100980</v>
      </c>
      <c r="BT6" s="140">
        <f t="shared" ref="BT6:BW6" si="1">+BT7+BT25+BT40+BT54+BT65</f>
        <v>3085700</v>
      </c>
      <c r="BU6" s="140">
        <f t="shared" si="1"/>
        <v>3115190</v>
      </c>
      <c r="BV6" s="140">
        <f t="shared" si="1"/>
        <v>3130480</v>
      </c>
      <c r="BW6" s="140">
        <f t="shared" si="1"/>
        <v>3146620</v>
      </c>
      <c r="BX6" s="97"/>
      <c r="BY6" s="97"/>
      <c r="BZ6" s="97"/>
      <c r="CA6" s="97"/>
      <c r="CB6" s="97"/>
      <c r="CC6" s="97"/>
      <c r="CD6" s="97"/>
      <c r="CE6" s="97"/>
      <c r="CF6" s="97"/>
    </row>
    <row r="7" spans="1:84">
      <c r="A7" s="112" t="s">
        <v>32</v>
      </c>
      <c r="B7" s="95">
        <f>SUM(B9:B24)</f>
        <v>475142</v>
      </c>
      <c r="C7" s="95">
        <f t="shared" ref="C7:BT7" si="2">SUM(C9:C24)</f>
        <v>490828.5</v>
      </c>
      <c r="D7" s="95">
        <f t="shared" si="2"/>
        <v>506515</v>
      </c>
      <c r="E7" s="95">
        <f t="shared" si="2"/>
        <v>513108</v>
      </c>
      <c r="F7" s="95">
        <f t="shared" si="2"/>
        <v>596433</v>
      </c>
      <c r="G7" s="95">
        <f t="shared" si="2"/>
        <v>713392</v>
      </c>
      <c r="H7" s="95">
        <f t="shared" si="2"/>
        <v>725867.8</v>
      </c>
      <c r="I7" s="95">
        <f t="shared" si="2"/>
        <v>738343.6</v>
      </c>
      <c r="J7" s="95">
        <f t="shared" si="2"/>
        <v>750819.39999999991</v>
      </c>
      <c r="K7" s="95">
        <f t="shared" si="2"/>
        <v>763295.2</v>
      </c>
      <c r="L7" s="95">
        <f t="shared" si="2"/>
        <v>775771</v>
      </c>
      <c r="M7" s="95">
        <f t="shared" si="2"/>
        <v>792778</v>
      </c>
      <c r="N7" s="95">
        <f t="shared" si="2"/>
        <v>813993</v>
      </c>
      <c r="O7" s="95">
        <f t="shared" si="2"/>
        <v>818254</v>
      </c>
      <c r="P7" s="95">
        <f t="shared" si="2"/>
        <v>819399</v>
      </c>
      <c r="Q7" s="95">
        <f t="shared" si="2"/>
        <v>845964</v>
      </c>
      <c r="R7" s="95">
        <f t="shared" si="2"/>
        <v>852473</v>
      </c>
      <c r="S7" s="95">
        <f t="shared" si="2"/>
        <v>857866</v>
      </c>
      <c r="T7" s="95">
        <f t="shared" si="2"/>
        <v>862329</v>
      </c>
      <c r="U7" s="95">
        <f t="shared" si="2"/>
        <v>861172</v>
      </c>
      <c r="V7" s="95">
        <f t="shared" si="2"/>
        <v>860273</v>
      </c>
      <c r="W7" s="95">
        <f t="shared" si="2"/>
        <v>863220</v>
      </c>
      <c r="X7" s="95">
        <f t="shared" si="2"/>
        <v>865692</v>
      </c>
      <c r="Y7" s="95">
        <f t="shared" si="2"/>
        <v>837506</v>
      </c>
      <c r="Z7" s="95">
        <f t="shared" si="2"/>
        <v>808097</v>
      </c>
      <c r="AA7" s="95">
        <f t="shared" si="2"/>
        <v>785505</v>
      </c>
      <c r="AB7" s="95">
        <f t="shared" si="2"/>
        <v>787049</v>
      </c>
      <c r="AC7" s="95">
        <f t="shared" si="2"/>
        <v>803506</v>
      </c>
      <c r="AD7" s="95">
        <f t="shared" si="2"/>
        <v>829650</v>
      </c>
      <c r="AE7" s="95">
        <f t="shared" si="2"/>
        <v>833427</v>
      </c>
      <c r="AF7" s="95">
        <f t="shared" si="2"/>
        <v>792759</v>
      </c>
      <c r="AG7" s="95">
        <f t="shared" si="2"/>
        <v>776899</v>
      </c>
      <c r="AH7" s="95">
        <f t="shared" si="2"/>
        <v>759366</v>
      </c>
      <c r="AI7" s="95">
        <f t="shared" si="2"/>
        <v>751534</v>
      </c>
      <c r="AJ7" s="95">
        <f t="shared" si="2"/>
        <v>744872</v>
      </c>
      <c r="AK7" s="95">
        <f t="shared" si="2"/>
        <v>767763</v>
      </c>
      <c r="AL7" s="95">
        <f t="shared" si="2"/>
        <v>763577</v>
      </c>
      <c r="AM7" s="95">
        <f t="shared" si="2"/>
        <v>786290</v>
      </c>
      <c r="AN7" s="95">
        <f t="shared" si="2"/>
        <v>818595</v>
      </c>
      <c r="AO7" s="95">
        <f t="shared" si="2"/>
        <v>832611</v>
      </c>
      <c r="AP7" s="95">
        <f t="shared" si="2"/>
        <v>858803</v>
      </c>
      <c r="AQ7" s="95">
        <f t="shared" si="2"/>
        <v>863885</v>
      </c>
      <c r="AR7" s="95">
        <f t="shared" si="2"/>
        <v>887553</v>
      </c>
      <c r="AS7" s="95">
        <f t="shared" si="2"/>
        <v>927751</v>
      </c>
      <c r="AT7" s="95">
        <f t="shared" si="2"/>
        <v>943777</v>
      </c>
      <c r="AU7" s="95">
        <f t="shared" si="2"/>
        <v>950425</v>
      </c>
      <c r="AV7" s="95">
        <f t="shared" si="2"/>
        <v>959177</v>
      </c>
      <c r="AW7" s="95">
        <f t="shared" si="2"/>
        <v>983857</v>
      </c>
      <c r="AX7" s="95">
        <f t="shared" si="2"/>
        <v>1028421</v>
      </c>
      <c r="AY7" s="95">
        <f t="shared" si="2"/>
        <v>1064753</v>
      </c>
      <c r="AZ7" s="95">
        <f>SUM(AZ9:AZ24)</f>
        <v>1101168</v>
      </c>
      <c r="BA7" s="95">
        <f>SUM(BA9:BA24)</f>
        <v>1115937</v>
      </c>
      <c r="BB7" s="95">
        <f>SUM(BB9:BB24)</f>
        <v>1117540</v>
      </c>
      <c r="BC7" s="95">
        <f>SUM(BC9:BC24)</f>
        <v>1135004</v>
      </c>
      <c r="BD7" s="95">
        <f t="shared" ref="BD7:BE7" si="3">SUM(BD9:BD24)</f>
        <v>1108134.8159999999</v>
      </c>
      <c r="BE7" s="95">
        <f t="shared" si="3"/>
        <v>1139682.4879999999</v>
      </c>
      <c r="BF7" s="95">
        <f>SUM(BF9:BF24)</f>
        <v>1169028.2789999999</v>
      </c>
      <c r="BG7" s="95">
        <f>SUM(BG9:BG24)</f>
        <v>1243202</v>
      </c>
      <c r="BH7" s="95">
        <f>SUM(BH9:BH24)</f>
        <v>1284553</v>
      </c>
      <c r="BI7" s="95">
        <f>SUM(BI9:BI24)</f>
        <v>1298191</v>
      </c>
      <c r="BJ7" s="95">
        <f>SUM(BJ9:BJ24)</f>
        <v>1283860</v>
      </c>
      <c r="BK7" s="432">
        <f t="shared" si="2"/>
        <v>1103910</v>
      </c>
      <c r="BL7" s="141">
        <f t="shared" si="2"/>
        <v>1101650</v>
      </c>
      <c r="BM7" s="141">
        <f t="shared" si="2"/>
        <v>1118400</v>
      </c>
      <c r="BN7" s="141">
        <f t="shared" si="2"/>
        <v>1115180</v>
      </c>
      <c r="BO7" s="141">
        <f t="shared" si="2"/>
        <v>1113250</v>
      </c>
      <c r="BP7" s="141">
        <f t="shared" si="2"/>
        <v>1127510</v>
      </c>
      <c r="BQ7" s="141">
        <f t="shared" si="2"/>
        <v>1143450</v>
      </c>
      <c r="BR7" s="141">
        <f t="shared" si="2"/>
        <v>1169200</v>
      </c>
      <c r="BS7" s="141">
        <f t="shared" si="2"/>
        <v>1175080</v>
      </c>
      <c r="BT7" s="141">
        <f t="shared" si="2"/>
        <v>1168510</v>
      </c>
      <c r="BU7" s="141">
        <f t="shared" ref="BU7:BW7" si="4">SUM(BU9:BU24)</f>
        <v>1175190</v>
      </c>
      <c r="BV7" s="141">
        <f t="shared" si="4"/>
        <v>1178920</v>
      </c>
      <c r="BW7" s="141">
        <f t="shared" si="4"/>
        <v>1195900</v>
      </c>
      <c r="BX7" s="97"/>
      <c r="BY7" s="97"/>
      <c r="BZ7" s="97"/>
      <c r="CA7" s="97"/>
      <c r="CB7" s="97"/>
      <c r="CC7" s="97"/>
      <c r="CD7" s="97"/>
      <c r="CE7" s="97"/>
      <c r="CF7" s="97"/>
    </row>
    <row r="8" spans="1:84">
      <c r="A8" s="113" t="s">
        <v>129</v>
      </c>
      <c r="B8" s="98"/>
      <c r="C8" s="95"/>
      <c r="D8" s="97"/>
      <c r="E8" s="97"/>
      <c r="F8" s="97"/>
      <c r="G8" s="97"/>
      <c r="H8" s="95"/>
      <c r="I8" s="97"/>
      <c r="J8" s="97"/>
      <c r="K8" s="97"/>
      <c r="L8" s="97"/>
      <c r="M8" s="97"/>
      <c r="N8" s="99"/>
      <c r="O8" s="97"/>
      <c r="P8" s="99"/>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142"/>
      <c r="BL8" s="143"/>
      <c r="BM8" s="143"/>
      <c r="BN8" s="143"/>
      <c r="BO8" s="143"/>
      <c r="BP8" s="143"/>
      <c r="BQ8" s="143"/>
      <c r="BR8" s="143"/>
      <c r="BS8" s="143"/>
      <c r="BT8" s="143"/>
      <c r="BU8" s="143"/>
      <c r="BV8" s="143"/>
      <c r="BW8" s="143"/>
      <c r="BX8" s="97"/>
      <c r="BY8" s="97"/>
      <c r="BZ8" s="97"/>
      <c r="CA8" s="97"/>
      <c r="CB8" s="97"/>
      <c r="CC8" s="97"/>
      <c r="CD8" s="97"/>
      <c r="CE8" s="97"/>
      <c r="CF8" s="97"/>
    </row>
    <row r="9" spans="1:84">
      <c r="A9" s="112" t="s">
        <v>33</v>
      </c>
      <c r="B9" s="98">
        <v>31690</v>
      </c>
      <c r="C9" s="95">
        <f t="shared" ref="C9:C24" si="5">((D9-B9)/2)+B9</f>
        <v>31072.5</v>
      </c>
      <c r="D9" s="97">
        <v>30455</v>
      </c>
      <c r="E9" s="97">
        <v>32351</v>
      </c>
      <c r="F9" s="97">
        <v>36252</v>
      </c>
      <c r="G9" s="97">
        <v>45424</v>
      </c>
      <c r="H9" s="95">
        <f t="shared" ref="H9:K24" si="6">(($L9-$G9)/5)+G9</f>
        <v>45396.4</v>
      </c>
      <c r="I9" s="97">
        <f t="shared" si="6"/>
        <v>45368.800000000003</v>
      </c>
      <c r="J9" s="97">
        <f t="shared" si="6"/>
        <v>45341.200000000004</v>
      </c>
      <c r="K9" s="97">
        <f t="shared" si="6"/>
        <v>45313.600000000006</v>
      </c>
      <c r="L9" s="97">
        <v>45286</v>
      </c>
      <c r="M9" s="97">
        <v>44722</v>
      </c>
      <c r="N9" s="99">
        <v>44806</v>
      </c>
      <c r="O9" s="97">
        <v>44441</v>
      </c>
      <c r="P9" s="99">
        <v>45502</v>
      </c>
      <c r="Q9" s="97">
        <v>46633</v>
      </c>
      <c r="R9" s="127">
        <v>46695</v>
      </c>
      <c r="S9" s="127">
        <v>46763</v>
      </c>
      <c r="T9" s="127">
        <v>46509</v>
      </c>
      <c r="U9" s="127">
        <v>47137</v>
      </c>
      <c r="V9" s="127">
        <v>45190</v>
      </c>
      <c r="W9" s="97">
        <v>44894</v>
      </c>
      <c r="X9" s="98">
        <v>45409</v>
      </c>
      <c r="Y9" s="98">
        <v>44352</v>
      </c>
      <c r="Z9" s="98">
        <v>42021</v>
      </c>
      <c r="AA9" s="98">
        <v>40002</v>
      </c>
      <c r="AB9" s="98">
        <v>39620</v>
      </c>
      <c r="AC9" s="97">
        <v>42463</v>
      </c>
      <c r="AD9" s="98">
        <v>43799</v>
      </c>
      <c r="AE9" s="98">
        <v>43437</v>
      </c>
      <c r="AF9" s="98">
        <v>40485</v>
      </c>
      <c r="AG9" s="98">
        <v>39042</v>
      </c>
      <c r="AH9" s="98">
        <v>38680</v>
      </c>
      <c r="AI9" s="97">
        <v>36007</v>
      </c>
      <c r="AJ9" s="97">
        <v>34447</v>
      </c>
      <c r="AK9" s="97">
        <v>36268</v>
      </c>
      <c r="AL9" s="97">
        <v>35043</v>
      </c>
      <c r="AM9" s="97">
        <v>35611</v>
      </c>
      <c r="AN9" s="97">
        <v>38089</v>
      </c>
      <c r="AO9" s="97">
        <v>36244</v>
      </c>
      <c r="AP9" s="97">
        <v>37819</v>
      </c>
      <c r="AQ9" s="97">
        <v>37082</v>
      </c>
      <c r="AR9" s="97">
        <v>35887</v>
      </c>
      <c r="AS9" s="97">
        <v>36741</v>
      </c>
      <c r="AT9" s="97">
        <v>36464</v>
      </c>
      <c r="AU9" s="97">
        <v>37453</v>
      </c>
      <c r="AV9" s="97">
        <v>37918</v>
      </c>
      <c r="AW9" s="97">
        <v>38912</v>
      </c>
      <c r="AX9" s="97">
        <v>41346</v>
      </c>
      <c r="AY9" s="97">
        <v>42082</v>
      </c>
      <c r="AZ9" s="97">
        <v>43166</v>
      </c>
      <c r="BA9" s="97">
        <v>46035</v>
      </c>
      <c r="BB9" s="97">
        <v>45394</v>
      </c>
      <c r="BC9" s="97">
        <v>44233</v>
      </c>
      <c r="BD9" s="99">
        <v>46939.432999999997</v>
      </c>
      <c r="BE9" s="99">
        <v>48662.249000000003</v>
      </c>
      <c r="BF9" s="99">
        <v>49153.142999999996</v>
      </c>
      <c r="BG9" s="99">
        <v>49956</v>
      </c>
      <c r="BH9" s="99">
        <v>50538</v>
      </c>
      <c r="BI9" s="99">
        <v>49638</v>
      </c>
      <c r="BJ9" s="99">
        <f>52550-'NCES-Private Grads-all races'!BF8</f>
        <v>48150</v>
      </c>
      <c r="BK9" s="337">
        <v>44210</v>
      </c>
      <c r="BL9" s="337">
        <v>44030</v>
      </c>
      <c r="BM9" s="337">
        <v>43050</v>
      </c>
      <c r="BN9" s="337">
        <v>42560</v>
      </c>
      <c r="BO9" s="337">
        <v>41760</v>
      </c>
      <c r="BP9" s="337">
        <v>42430</v>
      </c>
      <c r="BQ9" s="337">
        <v>42550</v>
      </c>
      <c r="BR9" s="337">
        <v>42990</v>
      </c>
      <c r="BS9" s="337">
        <v>42860</v>
      </c>
      <c r="BT9" s="337">
        <v>41190</v>
      </c>
      <c r="BU9" s="337">
        <v>40770</v>
      </c>
      <c r="BV9" s="337">
        <v>40790</v>
      </c>
      <c r="BW9" s="337">
        <v>40690</v>
      </c>
      <c r="BX9" s="97"/>
      <c r="BY9" s="97"/>
      <c r="BZ9" s="97"/>
      <c r="CA9" s="97"/>
      <c r="CB9" s="97"/>
      <c r="CC9" s="97"/>
      <c r="CD9" s="97"/>
      <c r="CE9" s="97"/>
      <c r="CF9" s="97"/>
    </row>
    <row r="10" spans="1:84">
      <c r="A10" s="112" t="s">
        <v>34</v>
      </c>
      <c r="B10" s="98">
        <v>18910</v>
      </c>
      <c r="C10" s="95">
        <f t="shared" si="5"/>
        <v>19119</v>
      </c>
      <c r="D10" s="97">
        <v>19328</v>
      </c>
      <c r="E10" s="97">
        <v>19109</v>
      </c>
      <c r="F10" s="97">
        <v>22824</v>
      </c>
      <c r="G10" s="97">
        <v>25394</v>
      </c>
      <c r="H10" s="95">
        <f t="shared" si="6"/>
        <v>25528.799999999999</v>
      </c>
      <c r="I10" s="97">
        <f t="shared" si="6"/>
        <v>25663.599999999999</v>
      </c>
      <c r="J10" s="97">
        <f t="shared" si="6"/>
        <v>25798.399999999998</v>
      </c>
      <c r="K10" s="97">
        <f t="shared" si="6"/>
        <v>25933.199999999997</v>
      </c>
      <c r="L10" s="97">
        <v>26068</v>
      </c>
      <c r="M10" s="97">
        <v>25965</v>
      </c>
      <c r="N10" s="99">
        <v>25892</v>
      </c>
      <c r="O10" s="97">
        <v>25705</v>
      </c>
      <c r="P10" s="99">
        <v>24384</v>
      </c>
      <c r="Q10" s="97">
        <v>26836</v>
      </c>
      <c r="R10" s="127">
        <v>27029</v>
      </c>
      <c r="S10" s="127">
        <v>27628</v>
      </c>
      <c r="T10" s="127">
        <v>28064</v>
      </c>
      <c r="U10" s="127">
        <v>28302</v>
      </c>
      <c r="V10" s="127">
        <v>29052</v>
      </c>
      <c r="W10" s="97">
        <v>29577</v>
      </c>
      <c r="X10" s="98">
        <v>29710</v>
      </c>
      <c r="Y10" s="98">
        <v>28447</v>
      </c>
      <c r="Z10" s="98">
        <v>27049</v>
      </c>
      <c r="AA10" s="98">
        <v>26342</v>
      </c>
      <c r="AB10" s="98">
        <v>26227</v>
      </c>
      <c r="AC10" s="97">
        <v>27101</v>
      </c>
      <c r="AD10" s="98">
        <v>27776</v>
      </c>
      <c r="AE10" s="98">
        <v>27920</v>
      </c>
      <c r="AF10" s="98">
        <v>26475</v>
      </c>
      <c r="AG10" s="98">
        <v>25668</v>
      </c>
      <c r="AH10" s="98">
        <v>25845</v>
      </c>
      <c r="AI10" s="97">
        <v>25655</v>
      </c>
      <c r="AJ10" s="97">
        <v>24990</v>
      </c>
      <c r="AK10" s="97">
        <v>24636</v>
      </c>
      <c r="AL10" s="97">
        <v>25094</v>
      </c>
      <c r="AM10" s="97">
        <v>25146</v>
      </c>
      <c r="AN10" s="97">
        <v>26855</v>
      </c>
      <c r="AO10" s="97">
        <v>26896</v>
      </c>
      <c r="AP10" s="97">
        <v>27335</v>
      </c>
      <c r="AQ10" s="97">
        <v>27100</v>
      </c>
      <c r="AR10" s="97">
        <v>26984</v>
      </c>
      <c r="AS10" s="97">
        <v>27555</v>
      </c>
      <c r="AT10" s="97">
        <v>27181</v>
      </c>
      <c r="AU10" s="97">
        <v>26621</v>
      </c>
      <c r="AV10" s="97">
        <v>28790</v>
      </c>
      <c r="AW10" s="97">
        <v>27166</v>
      </c>
      <c r="AX10" s="97">
        <v>28725</v>
      </c>
      <c r="AY10" s="97">
        <v>28057</v>
      </c>
      <c r="AZ10" s="97">
        <v>28276</v>
      </c>
      <c r="BA10" s="97">
        <v>28205</v>
      </c>
      <c r="BB10" s="97">
        <v>28419</v>
      </c>
      <c r="BC10" s="97">
        <v>28928</v>
      </c>
      <c r="BD10" s="99">
        <v>29912.718000000004</v>
      </c>
      <c r="BE10" s="99">
        <v>30379.767000000003</v>
      </c>
      <c r="BF10" s="99">
        <v>30938.94</v>
      </c>
      <c r="BG10" s="99">
        <v>31333</v>
      </c>
      <c r="BH10" s="99">
        <v>31849</v>
      </c>
      <c r="BI10" s="99">
        <v>32361</v>
      </c>
      <c r="BJ10" s="99">
        <f>33790-'NCES-Private Grads-all races'!BF9</f>
        <v>32280</v>
      </c>
      <c r="BK10" s="337">
        <v>28110</v>
      </c>
      <c r="BL10" s="337">
        <v>28210</v>
      </c>
      <c r="BM10" s="337">
        <v>28210</v>
      </c>
      <c r="BN10" s="337">
        <v>28540</v>
      </c>
      <c r="BO10" s="337">
        <v>28810</v>
      </c>
      <c r="BP10" s="337">
        <v>28810</v>
      </c>
      <c r="BQ10" s="337">
        <v>29210</v>
      </c>
      <c r="BR10" s="337">
        <v>29200</v>
      </c>
      <c r="BS10" s="337">
        <v>29480</v>
      </c>
      <c r="BT10" s="337">
        <v>29470</v>
      </c>
      <c r="BU10" s="337">
        <v>29380</v>
      </c>
      <c r="BV10" s="337">
        <v>29380</v>
      </c>
      <c r="BW10" s="337">
        <v>29310</v>
      </c>
      <c r="BX10" s="97"/>
      <c r="BY10" s="97"/>
      <c r="BZ10" s="97"/>
      <c r="CA10" s="97"/>
      <c r="CB10" s="97"/>
      <c r="CC10" s="97"/>
      <c r="CD10" s="97"/>
      <c r="CE10" s="97"/>
      <c r="CF10" s="97"/>
    </row>
    <row r="11" spans="1:84">
      <c r="A11" s="112" t="s">
        <v>35</v>
      </c>
      <c r="B11" s="98">
        <v>3490</v>
      </c>
      <c r="C11" s="95">
        <f t="shared" si="5"/>
        <v>3758</v>
      </c>
      <c r="D11" s="97">
        <v>4026</v>
      </c>
      <c r="E11" s="97">
        <v>4034</v>
      </c>
      <c r="F11" s="97">
        <v>4938</v>
      </c>
      <c r="G11" s="97">
        <v>5987</v>
      </c>
      <c r="H11" s="95">
        <f t="shared" si="6"/>
        <v>6186.6</v>
      </c>
      <c r="I11" s="97">
        <f t="shared" si="6"/>
        <v>6386.2000000000007</v>
      </c>
      <c r="J11" s="97">
        <f t="shared" si="6"/>
        <v>6585.8000000000011</v>
      </c>
      <c r="K11" s="97">
        <f t="shared" si="6"/>
        <v>6785.4000000000015</v>
      </c>
      <c r="L11" s="97">
        <v>6985</v>
      </c>
      <c r="M11" s="97">
        <v>7342</v>
      </c>
      <c r="N11" s="99">
        <v>7666</v>
      </c>
      <c r="O11" s="97">
        <v>7733</v>
      </c>
      <c r="P11" s="99">
        <v>8165</v>
      </c>
      <c r="Q11" s="97">
        <v>8235</v>
      </c>
      <c r="R11" s="127">
        <v>8212</v>
      </c>
      <c r="S11" s="127">
        <v>8164</v>
      </c>
      <c r="T11" s="127">
        <v>8166</v>
      </c>
      <c r="U11" s="127">
        <v>8090</v>
      </c>
      <c r="V11" s="127">
        <v>7582</v>
      </c>
      <c r="W11" s="97">
        <v>7349</v>
      </c>
      <c r="X11" s="98">
        <v>7144</v>
      </c>
      <c r="Y11" s="98">
        <v>6924</v>
      </c>
      <c r="Z11" s="98">
        <v>6410</v>
      </c>
      <c r="AA11" s="98">
        <v>5893</v>
      </c>
      <c r="AB11" s="98">
        <v>5791</v>
      </c>
      <c r="AC11" s="97">
        <v>5895</v>
      </c>
      <c r="AD11" s="98">
        <v>5963</v>
      </c>
      <c r="AE11" s="98">
        <v>6104</v>
      </c>
      <c r="AF11" s="98">
        <v>5550</v>
      </c>
      <c r="AG11" s="98">
        <v>5223</v>
      </c>
      <c r="AH11" s="98">
        <v>5325</v>
      </c>
      <c r="AI11" s="97">
        <v>5492</v>
      </c>
      <c r="AJ11" s="97">
        <v>5230</v>
      </c>
      <c r="AK11" s="97">
        <v>5234</v>
      </c>
      <c r="AL11" s="97">
        <v>5609</v>
      </c>
      <c r="AM11" s="97">
        <v>5953</v>
      </c>
      <c r="AN11" s="97">
        <v>6439</v>
      </c>
      <c r="AO11" s="97">
        <v>6484</v>
      </c>
      <c r="AP11" s="97">
        <v>6108</v>
      </c>
      <c r="AQ11" s="97">
        <v>6614</v>
      </c>
      <c r="AR11" s="97">
        <v>6482</v>
      </c>
      <c r="AS11" s="97">
        <v>6817</v>
      </c>
      <c r="AT11" s="97">
        <v>6951</v>
      </c>
      <c r="AU11" s="97">
        <v>6934</v>
      </c>
      <c r="AV11" s="97">
        <v>7275</v>
      </c>
      <c r="AW11" s="97">
        <v>7205</v>
      </c>
      <c r="AX11" s="97">
        <v>7388</v>
      </c>
      <c r="AY11" s="97">
        <v>7839</v>
      </c>
      <c r="AZ11" s="97">
        <v>8133</v>
      </c>
      <c r="BA11" s="97">
        <v>8043</v>
      </c>
      <c r="BB11" s="97">
        <v>8247</v>
      </c>
      <c r="BC11" s="97">
        <v>8070</v>
      </c>
      <c r="BD11" s="99">
        <v>8198.01</v>
      </c>
      <c r="BE11" s="99">
        <v>8288.6479999999992</v>
      </c>
      <c r="BF11" s="99">
        <v>8351.64</v>
      </c>
      <c r="BG11" s="99">
        <v>9223</v>
      </c>
      <c r="BH11" s="99">
        <v>9443</v>
      </c>
      <c r="BI11" s="99">
        <v>9420</v>
      </c>
      <c r="BJ11" s="99">
        <f>10620-'NCES-Private Grads-all races'!BF10</f>
        <v>9640</v>
      </c>
      <c r="BK11" s="337">
        <v>8220</v>
      </c>
      <c r="BL11" s="337">
        <v>8320</v>
      </c>
      <c r="BM11" s="337">
        <v>8140</v>
      </c>
      <c r="BN11" s="337">
        <v>7950</v>
      </c>
      <c r="BO11" s="337">
        <v>7820</v>
      </c>
      <c r="BP11" s="337">
        <v>7610</v>
      </c>
      <c r="BQ11" s="337">
        <v>7770</v>
      </c>
      <c r="BR11" s="337">
        <v>7970</v>
      </c>
      <c r="BS11" s="337">
        <v>8160</v>
      </c>
      <c r="BT11" s="337">
        <v>8100</v>
      </c>
      <c r="BU11" s="337">
        <v>8560</v>
      </c>
      <c r="BV11" s="337">
        <v>8380</v>
      </c>
      <c r="BW11" s="337">
        <v>8510</v>
      </c>
      <c r="BX11" s="97"/>
      <c r="BY11" s="97"/>
      <c r="BZ11" s="97"/>
      <c r="CA11" s="97"/>
      <c r="CB11" s="97"/>
      <c r="CC11" s="97"/>
      <c r="CD11" s="97"/>
      <c r="CE11" s="97"/>
      <c r="CF11" s="97"/>
    </row>
    <row r="12" spans="1:84">
      <c r="A12" s="112" t="s">
        <v>36</v>
      </c>
      <c r="B12" s="98">
        <v>37296</v>
      </c>
      <c r="C12" s="95">
        <f t="shared" si="5"/>
        <v>40089</v>
      </c>
      <c r="D12" s="97">
        <v>42882</v>
      </c>
      <c r="E12" s="97">
        <v>44168</v>
      </c>
      <c r="F12" s="97">
        <v>53783</v>
      </c>
      <c r="G12" s="97">
        <v>61190</v>
      </c>
      <c r="H12" s="95">
        <f t="shared" si="6"/>
        <v>63047.6</v>
      </c>
      <c r="I12" s="97">
        <f t="shared" si="6"/>
        <v>64905.2</v>
      </c>
      <c r="J12" s="97">
        <f t="shared" si="6"/>
        <v>66762.8</v>
      </c>
      <c r="K12" s="97">
        <f t="shared" si="6"/>
        <v>68620.400000000009</v>
      </c>
      <c r="L12" s="97">
        <v>70478</v>
      </c>
      <c r="M12" s="97">
        <v>73150</v>
      </c>
      <c r="N12" s="99">
        <v>78574</v>
      </c>
      <c r="O12" s="97">
        <v>81773</v>
      </c>
      <c r="P12" s="99">
        <v>74830</v>
      </c>
      <c r="Q12" s="97">
        <v>86481</v>
      </c>
      <c r="R12" s="127">
        <v>89444</v>
      </c>
      <c r="S12" s="127">
        <v>88137</v>
      </c>
      <c r="T12" s="127">
        <v>91613</v>
      </c>
      <c r="U12" s="127">
        <v>87633</v>
      </c>
      <c r="V12" s="127">
        <v>87324</v>
      </c>
      <c r="W12" s="97">
        <v>88755</v>
      </c>
      <c r="X12" s="98">
        <v>90736</v>
      </c>
      <c r="Y12" s="98">
        <v>86871</v>
      </c>
      <c r="Z12" s="98">
        <v>85908</v>
      </c>
      <c r="AA12" s="98">
        <v>81140</v>
      </c>
      <c r="AB12" s="98">
        <v>83029</v>
      </c>
      <c r="AC12" s="97">
        <v>82184</v>
      </c>
      <c r="AD12" s="98">
        <v>89206</v>
      </c>
      <c r="AE12" s="98">
        <v>90759</v>
      </c>
      <c r="AF12" s="98">
        <v>88934</v>
      </c>
      <c r="AG12" s="98">
        <v>87419</v>
      </c>
      <c r="AH12" s="98">
        <v>93674</v>
      </c>
      <c r="AI12" s="97">
        <v>89428</v>
      </c>
      <c r="AJ12" s="97">
        <v>88032</v>
      </c>
      <c r="AK12" s="97">
        <v>89827</v>
      </c>
      <c r="AL12" s="97">
        <v>89242</v>
      </c>
      <c r="AM12" s="97">
        <v>95082</v>
      </c>
      <c r="AN12" s="97">
        <v>98498</v>
      </c>
      <c r="AO12" s="97">
        <v>102386</v>
      </c>
      <c r="AP12" s="97">
        <v>106708</v>
      </c>
      <c r="AQ12" s="97">
        <v>111112</v>
      </c>
      <c r="AR12" s="97">
        <v>119537</v>
      </c>
      <c r="AS12" s="97">
        <v>127484</v>
      </c>
      <c r="AT12" s="97">
        <v>131418</v>
      </c>
      <c r="AU12" s="97">
        <v>133318</v>
      </c>
      <c r="AV12" s="97">
        <v>134686</v>
      </c>
      <c r="AW12" s="97">
        <v>142284</v>
      </c>
      <c r="AX12" s="97">
        <v>149046</v>
      </c>
      <c r="AY12" s="97">
        <v>153461</v>
      </c>
      <c r="AZ12" s="97">
        <v>156130</v>
      </c>
      <c r="BA12" s="97">
        <v>155493</v>
      </c>
      <c r="BB12" s="97">
        <v>151964</v>
      </c>
      <c r="BC12" s="97">
        <v>158029</v>
      </c>
      <c r="BD12" s="99">
        <v>149334.07399999999</v>
      </c>
      <c r="BE12" s="99">
        <v>155790.652</v>
      </c>
      <c r="BF12" s="99">
        <v>159694.00200000001</v>
      </c>
      <c r="BG12" s="99">
        <v>176244</v>
      </c>
      <c r="BH12" s="99">
        <v>186194</v>
      </c>
      <c r="BI12" s="99">
        <v>190326</v>
      </c>
      <c r="BJ12" s="99">
        <f>211750-'NCES-Private Grads-all races'!BF11</f>
        <v>180540</v>
      </c>
      <c r="BK12" s="337">
        <v>160570</v>
      </c>
      <c r="BL12" s="337">
        <v>157050</v>
      </c>
      <c r="BM12" s="337">
        <v>164790</v>
      </c>
      <c r="BN12" s="337">
        <v>163860</v>
      </c>
      <c r="BO12" s="337">
        <v>166890</v>
      </c>
      <c r="BP12" s="337">
        <v>165210</v>
      </c>
      <c r="BQ12" s="337">
        <v>168260</v>
      </c>
      <c r="BR12" s="337">
        <v>169610</v>
      </c>
      <c r="BS12" s="337">
        <v>171040</v>
      </c>
      <c r="BT12" s="337">
        <v>166750</v>
      </c>
      <c r="BU12" s="337">
        <v>167980</v>
      </c>
      <c r="BV12" s="337">
        <v>170560</v>
      </c>
      <c r="BW12" s="337">
        <v>172920</v>
      </c>
      <c r="BX12" s="97"/>
      <c r="BY12" s="97"/>
      <c r="BZ12" s="97"/>
      <c r="CA12" s="97"/>
      <c r="CB12" s="97"/>
      <c r="CC12" s="97"/>
      <c r="CD12" s="97"/>
      <c r="CE12" s="97"/>
      <c r="CF12" s="97"/>
    </row>
    <row r="13" spans="1:84">
      <c r="A13" s="112" t="s">
        <v>37</v>
      </c>
      <c r="B13" s="98">
        <v>34127</v>
      </c>
      <c r="C13" s="95">
        <f t="shared" si="5"/>
        <v>35070.5</v>
      </c>
      <c r="D13" s="97">
        <v>36014</v>
      </c>
      <c r="E13" s="97">
        <v>36259</v>
      </c>
      <c r="F13" s="97">
        <v>43254</v>
      </c>
      <c r="G13" s="97">
        <v>51708</v>
      </c>
      <c r="H13" s="95">
        <f t="shared" si="6"/>
        <v>52738.2</v>
      </c>
      <c r="I13" s="97">
        <f t="shared" si="6"/>
        <v>53768.399999999994</v>
      </c>
      <c r="J13" s="97">
        <f t="shared" si="6"/>
        <v>54798.599999999991</v>
      </c>
      <c r="K13" s="97">
        <f t="shared" si="6"/>
        <v>55828.799999999988</v>
      </c>
      <c r="L13" s="97">
        <v>56859</v>
      </c>
      <c r="M13" s="97">
        <v>57082</v>
      </c>
      <c r="N13" s="99">
        <v>58358</v>
      </c>
      <c r="O13" s="97">
        <v>57755</v>
      </c>
      <c r="P13" s="99">
        <v>58026</v>
      </c>
      <c r="Q13" s="97">
        <v>59803</v>
      </c>
      <c r="R13" s="127">
        <v>61059</v>
      </c>
      <c r="S13" s="127">
        <v>62234</v>
      </c>
      <c r="T13" s="127">
        <v>61095</v>
      </c>
      <c r="U13" s="127">
        <v>62179</v>
      </c>
      <c r="V13" s="127">
        <v>61621</v>
      </c>
      <c r="W13" s="97">
        <v>62963</v>
      </c>
      <c r="X13" s="98">
        <v>64489</v>
      </c>
      <c r="Y13" s="98">
        <v>63293</v>
      </c>
      <c r="Z13" s="98">
        <v>60718</v>
      </c>
      <c r="AA13" s="98">
        <v>58654</v>
      </c>
      <c r="AB13" s="98">
        <v>59082</v>
      </c>
      <c r="AC13" s="97">
        <v>60018</v>
      </c>
      <c r="AD13" s="98">
        <v>61765</v>
      </c>
      <c r="AE13" s="98">
        <v>61937</v>
      </c>
      <c r="AF13" s="98">
        <v>56605</v>
      </c>
      <c r="AG13" s="98">
        <v>60088</v>
      </c>
      <c r="AH13" s="98">
        <v>57742</v>
      </c>
      <c r="AI13" s="97">
        <v>57602</v>
      </c>
      <c r="AJ13" s="97">
        <v>56356</v>
      </c>
      <c r="AK13" s="97">
        <v>56660</v>
      </c>
      <c r="AL13" s="97">
        <v>56271</v>
      </c>
      <c r="AM13" s="97">
        <v>58996</v>
      </c>
      <c r="AN13" s="97">
        <v>58525</v>
      </c>
      <c r="AO13" s="97">
        <v>59227</v>
      </c>
      <c r="AP13" s="97">
        <v>62563</v>
      </c>
      <c r="AQ13" s="97">
        <v>62499</v>
      </c>
      <c r="AR13" s="97">
        <v>65983</v>
      </c>
      <c r="AS13" s="97">
        <v>66890</v>
      </c>
      <c r="AT13" s="97">
        <v>68550</v>
      </c>
      <c r="AU13" s="97">
        <v>70834</v>
      </c>
      <c r="AV13" s="97">
        <v>73498</v>
      </c>
      <c r="AW13" s="97">
        <v>77829</v>
      </c>
      <c r="AX13" s="97">
        <v>83505</v>
      </c>
      <c r="AY13" s="97">
        <v>88003</v>
      </c>
      <c r="AZ13" s="97">
        <v>91561</v>
      </c>
      <c r="BA13" s="97">
        <v>92338</v>
      </c>
      <c r="BB13" s="97">
        <v>90582</v>
      </c>
      <c r="BC13" s="97">
        <v>92416</v>
      </c>
      <c r="BD13" s="99">
        <v>89459.199999999997</v>
      </c>
      <c r="BE13" s="99">
        <v>98414.895999999993</v>
      </c>
      <c r="BF13" s="99">
        <v>101040.47</v>
      </c>
      <c r="BG13" s="99">
        <v>109302</v>
      </c>
      <c r="BH13" s="99">
        <v>111299</v>
      </c>
      <c r="BI13" s="99">
        <v>112968</v>
      </c>
      <c r="BJ13" s="99">
        <f>122310-'NCES-Private Grads-all races'!BF12</f>
        <v>113160</v>
      </c>
      <c r="BK13" s="337">
        <v>93410</v>
      </c>
      <c r="BL13" s="337">
        <v>91780</v>
      </c>
      <c r="BM13" s="337">
        <v>92890</v>
      </c>
      <c r="BN13" s="337">
        <v>93770</v>
      </c>
      <c r="BO13" s="337">
        <v>93390</v>
      </c>
      <c r="BP13" s="337">
        <v>95300</v>
      </c>
      <c r="BQ13" s="337">
        <v>96430</v>
      </c>
      <c r="BR13" s="337">
        <v>98350</v>
      </c>
      <c r="BS13" s="337">
        <v>98220</v>
      </c>
      <c r="BT13" s="337">
        <v>96670</v>
      </c>
      <c r="BU13" s="337">
        <v>95860</v>
      </c>
      <c r="BV13" s="337">
        <v>96180</v>
      </c>
      <c r="BW13" s="337">
        <v>96930</v>
      </c>
      <c r="BX13" s="97"/>
      <c r="BY13" s="97"/>
      <c r="BZ13" s="97"/>
      <c r="CA13" s="97"/>
      <c r="CB13" s="97"/>
      <c r="CC13" s="97"/>
      <c r="CD13" s="97"/>
      <c r="CE13" s="97"/>
      <c r="CF13" s="97"/>
    </row>
    <row r="14" spans="1:84">
      <c r="A14" s="112" t="s">
        <v>38</v>
      </c>
      <c r="B14" s="98">
        <v>24911</v>
      </c>
      <c r="C14" s="95">
        <f t="shared" si="5"/>
        <v>24335</v>
      </c>
      <c r="D14" s="97">
        <v>23759</v>
      </c>
      <c r="E14" s="97">
        <v>24093</v>
      </c>
      <c r="F14" s="97">
        <v>30923</v>
      </c>
      <c r="G14" s="97">
        <v>35233</v>
      </c>
      <c r="H14" s="95">
        <f t="shared" si="6"/>
        <v>35681</v>
      </c>
      <c r="I14" s="97">
        <f t="shared" si="6"/>
        <v>36129</v>
      </c>
      <c r="J14" s="97">
        <f t="shared" si="6"/>
        <v>36577</v>
      </c>
      <c r="K14" s="97">
        <f t="shared" si="6"/>
        <v>37025</v>
      </c>
      <c r="L14" s="97">
        <v>37473</v>
      </c>
      <c r="M14" s="97">
        <v>38486</v>
      </c>
      <c r="N14" s="99">
        <v>40707</v>
      </c>
      <c r="O14" s="97">
        <v>40607</v>
      </c>
      <c r="P14" s="99">
        <v>41351</v>
      </c>
      <c r="Q14" s="97">
        <v>42368</v>
      </c>
      <c r="R14" s="66">
        <v>41761</v>
      </c>
      <c r="S14" s="66">
        <v>41755</v>
      </c>
      <c r="T14" s="66">
        <v>41611</v>
      </c>
      <c r="U14" s="66">
        <v>41402</v>
      </c>
      <c r="V14" s="66">
        <v>41203</v>
      </c>
      <c r="W14" s="97">
        <v>41714</v>
      </c>
      <c r="X14" s="98">
        <v>42531</v>
      </c>
      <c r="Y14" s="98">
        <v>40478</v>
      </c>
      <c r="Z14" s="98">
        <v>39645</v>
      </c>
      <c r="AA14" s="98">
        <v>37999</v>
      </c>
      <c r="AB14" s="98">
        <v>37288</v>
      </c>
      <c r="AC14" s="97">
        <v>36948</v>
      </c>
      <c r="AD14" s="98">
        <v>39484</v>
      </c>
      <c r="AE14" s="98">
        <v>38883</v>
      </c>
      <c r="AF14" s="98">
        <v>38005</v>
      </c>
      <c r="AG14" s="98">
        <v>35835</v>
      </c>
      <c r="AH14" s="98">
        <v>33896</v>
      </c>
      <c r="AI14" s="97">
        <v>36361</v>
      </c>
      <c r="AJ14" s="97">
        <v>38454</v>
      </c>
      <c r="AK14" s="97">
        <v>37626</v>
      </c>
      <c r="AL14" s="97">
        <v>36641</v>
      </c>
      <c r="AM14" s="97">
        <v>36941</v>
      </c>
      <c r="AN14" s="97">
        <v>37270</v>
      </c>
      <c r="AO14" s="97">
        <v>37048</v>
      </c>
      <c r="AP14" s="97">
        <v>36830</v>
      </c>
      <c r="AQ14" s="97">
        <v>36957</v>
      </c>
      <c r="AR14" s="97">
        <v>36337</v>
      </c>
      <c r="AS14" s="97">
        <v>37654</v>
      </c>
      <c r="AT14" s="97">
        <v>37787</v>
      </c>
      <c r="AU14" s="97">
        <v>38399</v>
      </c>
      <c r="AV14" s="97">
        <v>38449</v>
      </c>
      <c r="AW14" s="97">
        <v>39099</v>
      </c>
      <c r="AX14" s="97">
        <v>39339</v>
      </c>
      <c r="AY14" s="97">
        <v>41851</v>
      </c>
      <c r="AZ14" s="97">
        <v>42664</v>
      </c>
      <c r="BA14" s="97">
        <v>43031</v>
      </c>
      <c r="BB14" s="97">
        <v>42642</v>
      </c>
      <c r="BC14" s="97">
        <v>42888</v>
      </c>
      <c r="BD14" s="99">
        <v>42273</v>
      </c>
      <c r="BE14" s="99">
        <v>42447.68</v>
      </c>
      <c r="BF14" s="99">
        <v>43206.675999999992</v>
      </c>
      <c r="BG14" s="99">
        <v>44755</v>
      </c>
      <c r="BH14" s="99">
        <v>46018</v>
      </c>
      <c r="BI14" s="99">
        <v>46121</v>
      </c>
      <c r="BJ14" s="99">
        <f>50250-'NCES-Private Grads-all races'!BF13</f>
        <v>45150</v>
      </c>
      <c r="BK14" s="337">
        <v>41540</v>
      </c>
      <c r="BL14" s="337">
        <v>41750</v>
      </c>
      <c r="BM14" s="337">
        <v>41700</v>
      </c>
      <c r="BN14" s="337">
        <v>40130</v>
      </c>
      <c r="BO14" s="337">
        <v>39350</v>
      </c>
      <c r="BP14" s="337">
        <v>40700</v>
      </c>
      <c r="BQ14" s="337">
        <v>40790</v>
      </c>
      <c r="BR14" s="337">
        <v>41730</v>
      </c>
      <c r="BS14" s="337">
        <v>42250</v>
      </c>
      <c r="BT14" s="337">
        <v>41120</v>
      </c>
      <c r="BU14" s="337">
        <v>41190</v>
      </c>
      <c r="BV14" s="337">
        <v>41470</v>
      </c>
      <c r="BW14" s="337">
        <v>41690</v>
      </c>
      <c r="BX14" s="97"/>
      <c r="BY14" s="97"/>
      <c r="BZ14" s="97"/>
      <c r="CA14" s="97"/>
      <c r="CB14" s="97"/>
      <c r="CC14" s="97"/>
      <c r="CD14" s="97"/>
      <c r="CE14" s="97"/>
      <c r="CF14" s="97"/>
    </row>
    <row r="15" spans="1:84">
      <c r="A15" s="112" t="s">
        <v>39</v>
      </c>
      <c r="B15" s="98">
        <v>26238</v>
      </c>
      <c r="C15" s="95">
        <f t="shared" si="5"/>
        <v>27365</v>
      </c>
      <c r="D15" s="97">
        <v>28492</v>
      </c>
      <c r="E15" s="97">
        <v>28823</v>
      </c>
      <c r="F15" s="97">
        <v>35122</v>
      </c>
      <c r="G15" s="97">
        <v>39269</v>
      </c>
      <c r="H15" s="95">
        <f t="shared" si="6"/>
        <v>40143.4</v>
      </c>
      <c r="I15" s="97">
        <f t="shared" si="6"/>
        <v>41017.800000000003</v>
      </c>
      <c r="J15" s="97">
        <f t="shared" si="6"/>
        <v>41892.200000000004</v>
      </c>
      <c r="K15" s="97">
        <f t="shared" si="6"/>
        <v>42766.600000000006</v>
      </c>
      <c r="L15" s="97">
        <v>43641</v>
      </c>
      <c r="M15" s="97">
        <v>44446</v>
      </c>
      <c r="N15" s="99">
        <v>45563</v>
      </c>
      <c r="O15" s="97">
        <v>45704</v>
      </c>
      <c r="P15" s="99">
        <v>46808</v>
      </c>
      <c r="Q15" s="97">
        <v>47691</v>
      </c>
      <c r="R15" s="127">
        <v>47446</v>
      </c>
      <c r="S15" s="127">
        <v>48219</v>
      </c>
      <c r="T15" s="127">
        <v>47183</v>
      </c>
      <c r="U15" s="127">
        <v>46861</v>
      </c>
      <c r="V15" s="127">
        <v>46297</v>
      </c>
      <c r="W15" s="97">
        <v>46199</v>
      </c>
      <c r="X15" s="98">
        <v>39895</v>
      </c>
      <c r="Y15" s="98">
        <v>39539</v>
      </c>
      <c r="Z15" s="98">
        <v>39400</v>
      </c>
      <c r="AA15" s="98">
        <v>39742</v>
      </c>
      <c r="AB15" s="98">
        <v>39965</v>
      </c>
      <c r="AC15" s="97">
        <v>39084</v>
      </c>
      <c r="AD15" s="98">
        <v>39058</v>
      </c>
      <c r="AE15" s="98">
        <v>37198</v>
      </c>
      <c r="AF15" s="98">
        <v>36053</v>
      </c>
      <c r="AG15" s="98">
        <v>33489</v>
      </c>
      <c r="AH15" s="98">
        <v>32247</v>
      </c>
      <c r="AI15" s="97">
        <v>33682</v>
      </c>
      <c r="AJ15" s="97">
        <v>34822</v>
      </c>
      <c r="AK15" s="97">
        <v>36480</v>
      </c>
      <c r="AL15" s="97">
        <v>36467</v>
      </c>
      <c r="AM15" s="97">
        <v>36495</v>
      </c>
      <c r="AN15" s="97">
        <v>38030</v>
      </c>
      <c r="AO15" s="97">
        <v>37802</v>
      </c>
      <c r="AP15" s="97">
        <v>38430</v>
      </c>
      <c r="AQ15" s="97">
        <v>38314</v>
      </c>
      <c r="AR15" s="97">
        <v>37905</v>
      </c>
      <c r="AS15" s="97">
        <v>37610</v>
      </c>
      <c r="AT15" s="97">
        <v>37019</v>
      </c>
      <c r="AU15" s="97">
        <v>36009</v>
      </c>
      <c r="AV15" s="97">
        <v>33275</v>
      </c>
      <c r="AW15" s="97">
        <v>34274</v>
      </c>
      <c r="AX15" s="97">
        <v>34401</v>
      </c>
      <c r="AY15" s="97">
        <v>35622</v>
      </c>
      <c r="AZ15" s="97">
        <v>36573</v>
      </c>
      <c r="BA15" s="97">
        <v>35844</v>
      </c>
      <c r="BB15" s="97">
        <v>36675</v>
      </c>
      <c r="BC15" s="97">
        <v>37508</v>
      </c>
      <c r="BD15" s="99">
        <v>37814.74</v>
      </c>
      <c r="BE15" s="99">
        <v>37175.200000000004</v>
      </c>
      <c r="BF15" s="99">
        <v>36575.723999999995</v>
      </c>
      <c r="BG15" s="99">
        <v>40291</v>
      </c>
      <c r="BH15" s="99">
        <v>43362</v>
      </c>
      <c r="BI15" s="99">
        <v>42918</v>
      </c>
      <c r="BJ15" s="99">
        <f>51800-'NCES-Private Grads-all races'!BF14</f>
        <v>43030</v>
      </c>
      <c r="BK15" s="337">
        <v>34330</v>
      </c>
      <c r="BL15" s="337">
        <v>34920</v>
      </c>
      <c r="BM15" s="337">
        <v>35510</v>
      </c>
      <c r="BN15" s="337">
        <v>36510</v>
      </c>
      <c r="BO15" s="337">
        <v>34150</v>
      </c>
      <c r="BP15" s="337">
        <v>35870</v>
      </c>
      <c r="BQ15" s="337">
        <v>35850</v>
      </c>
      <c r="BR15" s="337">
        <v>38490</v>
      </c>
      <c r="BS15" s="337">
        <v>37580</v>
      </c>
      <c r="BT15" s="337">
        <v>37260</v>
      </c>
      <c r="BU15" s="337">
        <v>37350</v>
      </c>
      <c r="BV15" s="337">
        <v>37140</v>
      </c>
      <c r="BW15" s="337">
        <v>37190</v>
      </c>
      <c r="BX15" s="97"/>
      <c r="BY15" s="97"/>
      <c r="BZ15" s="97"/>
      <c r="CA15" s="97"/>
      <c r="CB15" s="97"/>
      <c r="CC15" s="97"/>
      <c r="CD15" s="97"/>
      <c r="CE15" s="97"/>
      <c r="CF15" s="97"/>
    </row>
    <row r="16" spans="1:84">
      <c r="A16" s="112" t="s">
        <v>40</v>
      </c>
      <c r="B16" s="98">
        <v>23854</v>
      </c>
      <c r="C16" s="95">
        <f t="shared" si="5"/>
        <v>25146</v>
      </c>
      <c r="D16" s="97">
        <v>26438</v>
      </c>
      <c r="E16" s="97">
        <v>28815</v>
      </c>
      <c r="F16" s="97">
        <v>34494</v>
      </c>
      <c r="G16" s="97">
        <v>41405</v>
      </c>
      <c r="H16" s="95">
        <f t="shared" si="6"/>
        <v>42416.4</v>
      </c>
      <c r="I16" s="97">
        <f t="shared" si="6"/>
        <v>43427.8</v>
      </c>
      <c r="J16" s="97">
        <f t="shared" si="6"/>
        <v>44439.200000000004</v>
      </c>
      <c r="K16" s="97">
        <f t="shared" si="6"/>
        <v>45450.600000000006</v>
      </c>
      <c r="L16" s="97">
        <v>46462</v>
      </c>
      <c r="M16" s="97">
        <v>48219</v>
      </c>
      <c r="N16" s="99">
        <v>50370</v>
      </c>
      <c r="O16" s="97">
        <v>52813</v>
      </c>
      <c r="P16" s="99">
        <v>54128</v>
      </c>
      <c r="Q16" s="97">
        <v>55408</v>
      </c>
      <c r="R16" s="127">
        <v>56063</v>
      </c>
      <c r="S16" s="127">
        <v>55503</v>
      </c>
      <c r="T16" s="127">
        <v>55455</v>
      </c>
      <c r="U16" s="127">
        <v>55114</v>
      </c>
      <c r="V16" s="127">
        <v>54270</v>
      </c>
      <c r="W16" s="97">
        <v>54050</v>
      </c>
      <c r="X16" s="98">
        <v>54621</v>
      </c>
      <c r="Y16" s="98">
        <v>52446</v>
      </c>
      <c r="Z16" s="98">
        <v>50684</v>
      </c>
      <c r="AA16" s="98">
        <v>48299</v>
      </c>
      <c r="AB16" s="98">
        <v>46700</v>
      </c>
      <c r="AC16" s="97">
        <v>46107</v>
      </c>
      <c r="AD16" s="98">
        <v>47175</v>
      </c>
      <c r="AE16" s="98">
        <v>45791</v>
      </c>
      <c r="AF16" s="98">
        <v>41566</v>
      </c>
      <c r="AG16" s="98">
        <v>39014</v>
      </c>
      <c r="AH16" s="98">
        <v>39720</v>
      </c>
      <c r="AI16" s="97">
        <v>39523</v>
      </c>
      <c r="AJ16" s="97">
        <v>39091</v>
      </c>
      <c r="AK16" s="97">
        <v>41387</v>
      </c>
      <c r="AL16" s="97">
        <v>41785</v>
      </c>
      <c r="AM16" s="97">
        <v>42856</v>
      </c>
      <c r="AN16" s="97">
        <v>44555</v>
      </c>
      <c r="AO16" s="97">
        <v>46214</v>
      </c>
      <c r="AP16" s="97">
        <v>47849</v>
      </c>
      <c r="AQ16" s="97">
        <v>49222</v>
      </c>
      <c r="AR16" s="97">
        <v>50881</v>
      </c>
      <c r="AS16" s="97">
        <v>51864</v>
      </c>
      <c r="AT16" s="97">
        <v>52870</v>
      </c>
      <c r="AU16" s="97">
        <v>54170</v>
      </c>
      <c r="AV16" s="97">
        <v>55536</v>
      </c>
      <c r="AW16" s="97">
        <v>57564</v>
      </c>
      <c r="AX16" s="97">
        <v>59171</v>
      </c>
      <c r="AY16" s="97">
        <v>58304</v>
      </c>
      <c r="AZ16" s="97">
        <v>59078</v>
      </c>
      <c r="BA16" s="97">
        <v>58745</v>
      </c>
      <c r="BB16" s="97">
        <v>58811</v>
      </c>
      <c r="BC16" s="97">
        <v>58896</v>
      </c>
      <c r="BD16" s="99">
        <v>56071.008000000009</v>
      </c>
      <c r="BE16" s="99">
        <v>55484.25</v>
      </c>
      <c r="BF16" s="99">
        <v>55578.695999999996</v>
      </c>
      <c r="BG16" s="99">
        <v>57258</v>
      </c>
      <c r="BH16" s="99">
        <v>58017</v>
      </c>
      <c r="BI16" s="99">
        <v>57409</v>
      </c>
      <c r="BJ16" s="99">
        <f>70710-'NCES-Private Grads-all races'!BF15</f>
        <v>59650</v>
      </c>
      <c r="BK16" s="337">
        <v>58010</v>
      </c>
      <c r="BL16" s="337">
        <v>57770</v>
      </c>
      <c r="BM16" s="337">
        <v>57220</v>
      </c>
      <c r="BN16" s="337">
        <v>55910</v>
      </c>
      <c r="BO16" s="337">
        <v>55390</v>
      </c>
      <c r="BP16" s="337">
        <v>55190</v>
      </c>
      <c r="BQ16" s="337">
        <v>54310</v>
      </c>
      <c r="BR16" s="337">
        <v>55520</v>
      </c>
      <c r="BS16" s="337">
        <v>54930</v>
      </c>
      <c r="BT16" s="337">
        <v>56960</v>
      </c>
      <c r="BU16" s="337">
        <v>57740</v>
      </c>
      <c r="BV16" s="337">
        <v>58440</v>
      </c>
      <c r="BW16" s="337">
        <v>59170</v>
      </c>
      <c r="BX16" s="97"/>
      <c r="BY16" s="97"/>
      <c r="BZ16" s="97"/>
      <c r="CA16" s="97"/>
      <c r="CB16" s="97"/>
      <c r="CC16" s="97"/>
      <c r="CD16" s="97"/>
      <c r="CE16" s="97"/>
      <c r="CF16" s="97"/>
    </row>
    <row r="17" spans="1:84">
      <c r="A17" s="112" t="s">
        <v>41</v>
      </c>
      <c r="B17" s="98">
        <v>19473</v>
      </c>
      <c r="C17" s="95">
        <f t="shared" si="5"/>
        <v>20783.5</v>
      </c>
      <c r="D17" s="97">
        <v>22094</v>
      </c>
      <c r="E17" s="97">
        <v>20841</v>
      </c>
      <c r="F17" s="97">
        <v>23709</v>
      </c>
      <c r="G17" s="97">
        <v>26690</v>
      </c>
      <c r="H17" s="95">
        <f t="shared" si="6"/>
        <v>27282.6</v>
      </c>
      <c r="I17" s="97">
        <f t="shared" si="6"/>
        <v>27875.199999999997</v>
      </c>
      <c r="J17" s="97">
        <f t="shared" si="6"/>
        <v>28467.799999999996</v>
      </c>
      <c r="K17" s="97">
        <f t="shared" si="6"/>
        <v>29060.399999999994</v>
      </c>
      <c r="L17" s="97">
        <v>29653</v>
      </c>
      <c r="M17" s="97">
        <v>26729</v>
      </c>
      <c r="N17" s="99">
        <v>26529</v>
      </c>
      <c r="O17" s="97">
        <v>26128</v>
      </c>
      <c r="P17" s="99">
        <v>25664</v>
      </c>
      <c r="Q17" s="97">
        <v>27243</v>
      </c>
      <c r="R17" s="127">
        <v>27617</v>
      </c>
      <c r="S17" s="127">
        <v>27639</v>
      </c>
      <c r="T17" s="127">
        <v>28186</v>
      </c>
      <c r="U17" s="127">
        <v>28168</v>
      </c>
      <c r="V17" s="127">
        <v>27586</v>
      </c>
      <c r="W17" s="97">
        <v>28083</v>
      </c>
      <c r="X17" s="98">
        <v>28023</v>
      </c>
      <c r="Y17" s="98">
        <v>27271</v>
      </c>
      <c r="Z17" s="98">
        <v>26324</v>
      </c>
      <c r="AA17" s="98">
        <v>25315</v>
      </c>
      <c r="AB17" s="98">
        <v>25134</v>
      </c>
      <c r="AC17" s="97">
        <v>26201</v>
      </c>
      <c r="AD17" s="98">
        <v>27896</v>
      </c>
      <c r="AE17" s="98">
        <v>24241</v>
      </c>
      <c r="AF17" s="98">
        <v>25182</v>
      </c>
      <c r="AG17" s="98">
        <v>23665</v>
      </c>
      <c r="AH17" s="98">
        <v>22912</v>
      </c>
      <c r="AI17" s="97">
        <v>23597</v>
      </c>
      <c r="AJ17" s="97">
        <v>23379</v>
      </c>
      <c r="AK17" s="97">
        <v>23837</v>
      </c>
      <c r="AL17" s="97">
        <v>23032</v>
      </c>
      <c r="AM17" s="97">
        <v>23388</v>
      </c>
      <c r="AN17" s="97">
        <v>24502</v>
      </c>
      <c r="AO17" s="97">
        <v>24198</v>
      </c>
      <c r="AP17" s="97">
        <v>24232</v>
      </c>
      <c r="AQ17" s="97">
        <v>23748</v>
      </c>
      <c r="AR17" s="97">
        <v>23740</v>
      </c>
      <c r="AS17" s="97">
        <v>23810</v>
      </c>
      <c r="AT17" s="97">
        <v>23735</v>
      </c>
      <c r="AU17" s="97">
        <v>23523</v>
      </c>
      <c r="AV17" s="97">
        <v>23848</v>
      </c>
      <c r="AW17" s="97">
        <v>24186</v>
      </c>
      <c r="AX17" s="97">
        <v>24795</v>
      </c>
      <c r="AY17" s="97">
        <v>24505</v>
      </c>
      <c r="AZ17" s="97">
        <v>25478</v>
      </c>
      <c r="BA17" s="97">
        <v>27321</v>
      </c>
      <c r="BB17" s="97">
        <v>26158</v>
      </c>
      <c r="BC17" s="97">
        <v>26502</v>
      </c>
      <c r="BD17" s="99">
        <v>25911.415999999997</v>
      </c>
      <c r="BE17" s="99">
        <v>26940.420000000002</v>
      </c>
      <c r="BF17" s="99">
        <v>27954.018</v>
      </c>
      <c r="BG17" s="99">
        <v>28490</v>
      </c>
      <c r="BH17" s="99">
        <v>29599</v>
      </c>
      <c r="BI17" s="99">
        <v>29133</v>
      </c>
      <c r="BJ17" s="99">
        <f>31310-'NCES-Private Grads-all races'!BF16</f>
        <v>28110</v>
      </c>
      <c r="BK17" s="337">
        <v>26160</v>
      </c>
      <c r="BL17" s="337">
        <v>25670</v>
      </c>
      <c r="BM17" s="337">
        <v>26020</v>
      </c>
      <c r="BN17" s="337">
        <v>25200</v>
      </c>
      <c r="BO17" s="337">
        <v>24720</v>
      </c>
      <c r="BP17" s="337">
        <v>24610</v>
      </c>
      <c r="BQ17" s="337">
        <v>25020</v>
      </c>
      <c r="BR17" s="337">
        <v>25780</v>
      </c>
      <c r="BS17" s="337">
        <v>25020</v>
      </c>
      <c r="BT17" s="337">
        <v>24710</v>
      </c>
      <c r="BU17" s="337">
        <v>24170</v>
      </c>
      <c r="BV17" s="337">
        <v>24790</v>
      </c>
      <c r="BW17" s="337">
        <v>24540</v>
      </c>
      <c r="BX17" s="97"/>
      <c r="BY17" s="97"/>
      <c r="BZ17" s="97"/>
      <c r="CA17" s="97"/>
      <c r="CB17" s="97"/>
      <c r="CC17" s="97"/>
      <c r="CD17" s="97"/>
      <c r="CE17" s="97"/>
      <c r="CF17" s="97"/>
    </row>
    <row r="18" spans="1:84">
      <c r="A18" s="112" t="s">
        <v>42</v>
      </c>
      <c r="B18" s="98">
        <v>45271</v>
      </c>
      <c r="C18" s="95">
        <f t="shared" si="5"/>
        <v>46669.5</v>
      </c>
      <c r="D18" s="97">
        <v>48068</v>
      </c>
      <c r="E18" s="97">
        <v>48456</v>
      </c>
      <c r="F18" s="97">
        <v>53408</v>
      </c>
      <c r="G18" s="97">
        <v>67520</v>
      </c>
      <c r="H18" s="95">
        <f t="shared" si="6"/>
        <v>67793.2</v>
      </c>
      <c r="I18" s="97">
        <f t="shared" si="6"/>
        <v>68066.399999999994</v>
      </c>
      <c r="J18" s="97">
        <f t="shared" si="6"/>
        <v>68339.599999999991</v>
      </c>
      <c r="K18" s="97">
        <f t="shared" si="6"/>
        <v>68612.799999999988</v>
      </c>
      <c r="L18" s="97">
        <v>68886</v>
      </c>
      <c r="M18" s="97">
        <v>68821</v>
      </c>
      <c r="N18" s="99">
        <v>70242</v>
      </c>
      <c r="O18" s="97">
        <v>69322</v>
      </c>
      <c r="P18" s="99">
        <v>69062</v>
      </c>
      <c r="Q18" s="97">
        <v>70094</v>
      </c>
      <c r="R18" s="127">
        <v>70498</v>
      </c>
      <c r="S18" s="127">
        <v>71146</v>
      </c>
      <c r="T18" s="127">
        <v>70953</v>
      </c>
      <c r="U18" s="127">
        <v>72464</v>
      </c>
      <c r="V18" s="127">
        <v>70862</v>
      </c>
      <c r="W18" s="97">
        <v>69395</v>
      </c>
      <c r="X18" s="98">
        <v>71210</v>
      </c>
      <c r="Y18" s="98">
        <v>68783</v>
      </c>
      <c r="Z18" s="98">
        <v>66803</v>
      </c>
      <c r="AA18" s="98">
        <v>67245</v>
      </c>
      <c r="AB18" s="98">
        <v>65865</v>
      </c>
      <c r="AC18" s="97">
        <v>65421</v>
      </c>
      <c r="AD18" s="98">
        <v>67836</v>
      </c>
      <c r="AE18" s="98">
        <v>69970</v>
      </c>
      <c r="AF18" s="98">
        <v>64782</v>
      </c>
      <c r="AG18" s="98">
        <v>62792</v>
      </c>
      <c r="AH18" s="98">
        <v>61157</v>
      </c>
      <c r="AI18" s="97">
        <v>60460</v>
      </c>
      <c r="AJ18" s="97">
        <v>57738</v>
      </c>
      <c r="AK18" s="97">
        <v>59540</v>
      </c>
      <c r="AL18" s="97">
        <v>57014</v>
      </c>
      <c r="AM18" s="97">
        <v>57886</v>
      </c>
      <c r="AN18" s="97">
        <v>59292</v>
      </c>
      <c r="AO18" s="97">
        <v>60081</v>
      </c>
      <c r="AP18" s="97">
        <v>62140</v>
      </c>
      <c r="AQ18" s="97">
        <v>63288</v>
      </c>
      <c r="AR18" s="97">
        <v>65955</v>
      </c>
      <c r="AS18" s="97">
        <v>69696</v>
      </c>
      <c r="AT18" s="97">
        <v>72126</v>
      </c>
      <c r="AU18" s="97">
        <v>75010</v>
      </c>
      <c r="AV18" s="97">
        <v>76710</v>
      </c>
      <c r="AW18" s="97">
        <v>76031</v>
      </c>
      <c r="AX18" s="97">
        <v>83307</v>
      </c>
      <c r="AY18" s="97">
        <v>86712</v>
      </c>
      <c r="AZ18" s="97">
        <v>88704</v>
      </c>
      <c r="BA18" s="97">
        <v>89892</v>
      </c>
      <c r="BB18" s="97">
        <v>93977</v>
      </c>
      <c r="BC18" s="97">
        <v>94339</v>
      </c>
      <c r="BD18" s="99">
        <v>92050.046000000002</v>
      </c>
      <c r="BE18" s="99">
        <v>94564.887999999992</v>
      </c>
      <c r="BF18" s="99">
        <v>97690.634000000005</v>
      </c>
      <c r="BG18" s="99">
        <v>102946</v>
      </c>
      <c r="BH18" s="99">
        <v>106750</v>
      </c>
      <c r="BI18" s="99">
        <v>108368</v>
      </c>
      <c r="BJ18" s="99">
        <f>114580-'NCES-Private Grads-all races'!BF17</f>
        <v>106840</v>
      </c>
      <c r="BK18" s="337">
        <v>86580</v>
      </c>
      <c r="BL18" s="337">
        <v>88940</v>
      </c>
      <c r="BM18" s="337">
        <v>89120</v>
      </c>
      <c r="BN18" s="337">
        <v>89170</v>
      </c>
      <c r="BO18" s="337">
        <v>88620</v>
      </c>
      <c r="BP18" s="337">
        <v>90120</v>
      </c>
      <c r="BQ18" s="337">
        <v>91620</v>
      </c>
      <c r="BR18" s="337">
        <v>93600</v>
      </c>
      <c r="BS18" s="337">
        <v>95130</v>
      </c>
      <c r="BT18" s="337">
        <v>94050</v>
      </c>
      <c r="BU18" s="337">
        <v>94620</v>
      </c>
      <c r="BV18" s="337">
        <v>87310</v>
      </c>
      <c r="BW18" s="337">
        <v>94670</v>
      </c>
      <c r="BX18" s="97"/>
      <c r="BY18" s="97"/>
      <c r="BZ18" s="97"/>
      <c r="CA18" s="97"/>
      <c r="CB18" s="97"/>
      <c r="CC18" s="97"/>
      <c r="CD18" s="97"/>
      <c r="CE18" s="97"/>
      <c r="CF18" s="97"/>
    </row>
    <row r="19" spans="1:84">
      <c r="A19" s="112" t="s">
        <v>43</v>
      </c>
      <c r="B19" s="98">
        <v>26478</v>
      </c>
      <c r="C19" s="95">
        <f t="shared" si="5"/>
        <v>26765</v>
      </c>
      <c r="D19" s="97">
        <v>27052</v>
      </c>
      <c r="E19" s="97">
        <v>26249</v>
      </c>
      <c r="F19" s="97">
        <v>29939</v>
      </c>
      <c r="G19" s="97">
        <v>35668</v>
      </c>
      <c r="H19" s="95">
        <f t="shared" si="6"/>
        <v>35793</v>
      </c>
      <c r="I19" s="97">
        <f t="shared" si="6"/>
        <v>35918</v>
      </c>
      <c r="J19" s="97">
        <f t="shared" si="6"/>
        <v>36043</v>
      </c>
      <c r="K19" s="97">
        <f t="shared" si="6"/>
        <v>36168</v>
      </c>
      <c r="L19" s="97">
        <v>36293</v>
      </c>
      <c r="M19" s="97">
        <v>38062</v>
      </c>
      <c r="N19" s="99">
        <v>38409</v>
      </c>
      <c r="O19" s="97">
        <v>37349</v>
      </c>
      <c r="P19" s="99">
        <v>36770</v>
      </c>
      <c r="Q19" s="97">
        <v>37809</v>
      </c>
      <c r="R19" s="127">
        <v>37663</v>
      </c>
      <c r="S19" s="127">
        <v>38577</v>
      </c>
      <c r="T19" s="127">
        <v>39005</v>
      </c>
      <c r="U19" s="127">
        <v>39225</v>
      </c>
      <c r="V19" s="127">
        <v>39305</v>
      </c>
      <c r="W19" s="97">
        <v>38875</v>
      </c>
      <c r="X19" s="98">
        <v>38347</v>
      </c>
      <c r="Y19" s="98">
        <v>36799</v>
      </c>
      <c r="Z19" s="98">
        <v>35254</v>
      </c>
      <c r="AA19" s="98">
        <v>34626</v>
      </c>
      <c r="AB19" s="98">
        <v>34452</v>
      </c>
      <c r="AC19" s="97">
        <v>35514</v>
      </c>
      <c r="AD19" s="98">
        <v>36145</v>
      </c>
      <c r="AE19" s="98">
        <v>36773</v>
      </c>
      <c r="AF19" s="98">
        <v>35606</v>
      </c>
      <c r="AG19" s="98">
        <v>33007</v>
      </c>
      <c r="AH19" s="98">
        <v>32670</v>
      </c>
      <c r="AI19" s="97">
        <v>30542</v>
      </c>
      <c r="AJ19" s="97">
        <v>31872</v>
      </c>
      <c r="AK19" s="97">
        <v>33319</v>
      </c>
      <c r="AL19" s="97">
        <v>33060</v>
      </c>
      <c r="AM19" s="97">
        <v>33536</v>
      </c>
      <c r="AN19" s="97">
        <v>35213</v>
      </c>
      <c r="AO19" s="97">
        <v>36556</v>
      </c>
      <c r="AP19" s="97">
        <v>37646</v>
      </c>
      <c r="AQ19" s="97">
        <v>37458</v>
      </c>
      <c r="AR19" s="97">
        <v>36852</v>
      </c>
      <c r="AS19" s="97">
        <v>36694</v>
      </c>
      <c r="AT19" s="97">
        <v>36799</v>
      </c>
      <c r="AU19" s="97">
        <v>36227</v>
      </c>
      <c r="AV19" s="97">
        <v>36497</v>
      </c>
      <c r="AW19" s="97">
        <v>37100</v>
      </c>
      <c r="AX19" s="97">
        <v>37630</v>
      </c>
      <c r="AY19" s="97">
        <v>37219</v>
      </c>
      <c r="AZ19" s="97">
        <v>38503</v>
      </c>
      <c r="BA19" s="97">
        <v>37744</v>
      </c>
      <c r="BB19" s="97">
        <v>37305</v>
      </c>
      <c r="BC19" s="97">
        <v>37033</v>
      </c>
      <c r="BD19" s="99">
        <v>36239.967000000004</v>
      </c>
      <c r="BE19" s="99">
        <v>37344.449999999997</v>
      </c>
      <c r="BF19" s="99">
        <v>39008.063999999998</v>
      </c>
      <c r="BG19" s="99">
        <v>42202</v>
      </c>
      <c r="BH19" s="99">
        <v>41825</v>
      </c>
      <c r="BI19" s="99">
        <v>43464</v>
      </c>
      <c r="BJ19" s="99">
        <f>45120-'NCES-Private Grads-all races'!BF18</f>
        <v>43150</v>
      </c>
      <c r="BK19" s="337">
        <v>37830</v>
      </c>
      <c r="BL19" s="337">
        <v>37660</v>
      </c>
      <c r="BM19" s="337">
        <v>37520</v>
      </c>
      <c r="BN19" s="337">
        <v>37310</v>
      </c>
      <c r="BO19" s="337">
        <v>37330</v>
      </c>
      <c r="BP19" s="337">
        <v>38740</v>
      </c>
      <c r="BQ19" s="337">
        <v>39100</v>
      </c>
      <c r="BR19" s="337">
        <v>39580</v>
      </c>
      <c r="BS19" s="337">
        <v>39800</v>
      </c>
      <c r="BT19" s="337">
        <v>40130</v>
      </c>
      <c r="BU19" s="337">
        <v>40790</v>
      </c>
      <c r="BV19" s="337">
        <v>40820</v>
      </c>
      <c r="BW19" s="337">
        <v>41430</v>
      </c>
      <c r="BX19" s="97"/>
      <c r="BY19" s="97"/>
      <c r="BZ19" s="97"/>
      <c r="CA19" s="97"/>
      <c r="CB19" s="97"/>
      <c r="CC19" s="97"/>
      <c r="CD19" s="97"/>
      <c r="CE19" s="97"/>
      <c r="CF19" s="97"/>
    </row>
    <row r="20" spans="1:84">
      <c r="A20" s="112" t="s">
        <v>44</v>
      </c>
      <c r="B20" s="98">
        <v>22291</v>
      </c>
      <c r="C20" s="95">
        <f t="shared" si="5"/>
        <v>23110</v>
      </c>
      <c r="D20" s="97">
        <v>23929</v>
      </c>
      <c r="E20" s="97">
        <v>24310</v>
      </c>
      <c r="F20" s="97">
        <v>27889</v>
      </c>
      <c r="G20" s="97">
        <v>33192</v>
      </c>
      <c r="H20" s="95">
        <f t="shared" si="6"/>
        <v>33541.599999999999</v>
      </c>
      <c r="I20" s="97">
        <f t="shared" si="6"/>
        <v>33891.199999999997</v>
      </c>
      <c r="J20" s="97">
        <f t="shared" si="6"/>
        <v>34240.799999999996</v>
      </c>
      <c r="K20" s="97">
        <f t="shared" si="6"/>
        <v>34590.399999999994</v>
      </c>
      <c r="L20" s="97">
        <v>34940</v>
      </c>
      <c r="M20" s="97">
        <v>35992</v>
      </c>
      <c r="N20" s="99">
        <v>37071</v>
      </c>
      <c r="O20" s="97">
        <v>36150</v>
      </c>
      <c r="P20" s="100">
        <v>38837</v>
      </c>
      <c r="Q20" s="97">
        <v>38312</v>
      </c>
      <c r="R20" s="127">
        <v>38073</v>
      </c>
      <c r="S20" s="127">
        <v>37780</v>
      </c>
      <c r="T20" s="127">
        <v>38735</v>
      </c>
      <c r="U20" s="127">
        <v>38079</v>
      </c>
      <c r="V20" s="127">
        <v>38697</v>
      </c>
      <c r="W20" s="97">
        <v>38347</v>
      </c>
      <c r="X20" s="98">
        <v>38647</v>
      </c>
      <c r="Y20" s="98">
        <v>37570</v>
      </c>
      <c r="Z20" s="98">
        <v>36800</v>
      </c>
      <c r="AA20" s="98">
        <v>34500</v>
      </c>
      <c r="AB20" s="98">
        <v>34500</v>
      </c>
      <c r="AC20" s="97">
        <v>36000</v>
      </c>
      <c r="AD20" s="98">
        <v>36113</v>
      </c>
      <c r="AE20" s="98">
        <v>37020</v>
      </c>
      <c r="AF20" s="98">
        <v>32483</v>
      </c>
      <c r="AG20" s="98">
        <v>32999</v>
      </c>
      <c r="AH20" s="98">
        <v>30698</v>
      </c>
      <c r="AI20" s="97">
        <v>31297</v>
      </c>
      <c r="AJ20" s="97">
        <v>30603</v>
      </c>
      <c r="AK20" s="97">
        <v>30680</v>
      </c>
      <c r="AL20" s="97">
        <v>30182</v>
      </c>
      <c r="AM20" s="97">
        <v>30829</v>
      </c>
      <c r="AN20" s="97">
        <v>31373</v>
      </c>
      <c r="AO20" s="97">
        <v>31495</v>
      </c>
      <c r="AP20" s="97">
        <v>31617</v>
      </c>
      <c r="AQ20" s="97">
        <v>30026</v>
      </c>
      <c r="AR20" s="97">
        <v>31302</v>
      </c>
      <c r="AS20" s="97">
        <v>32482</v>
      </c>
      <c r="AT20" s="97">
        <v>33235</v>
      </c>
      <c r="AU20" s="97">
        <v>33439</v>
      </c>
      <c r="AV20" s="97">
        <v>34970</v>
      </c>
      <c r="AW20" s="97">
        <v>35108</v>
      </c>
      <c r="AX20" s="97">
        <v>35303</v>
      </c>
      <c r="AY20" s="97">
        <v>39114</v>
      </c>
      <c r="AZ20" s="97">
        <v>40438</v>
      </c>
      <c r="BA20" s="97">
        <v>40708</v>
      </c>
      <c r="BB20" s="97">
        <v>41442</v>
      </c>
      <c r="BC20" s="97">
        <v>42246</v>
      </c>
      <c r="BD20" s="99">
        <v>41564.690999999999</v>
      </c>
      <c r="BE20" s="99">
        <v>43378.06</v>
      </c>
      <c r="BF20" s="99">
        <v>44884.84</v>
      </c>
      <c r="BG20" s="99">
        <v>48566</v>
      </c>
      <c r="BH20" s="99">
        <v>50623</v>
      </c>
      <c r="BI20" s="99">
        <v>49290</v>
      </c>
      <c r="BJ20" s="99">
        <f>52840-'NCES-Private Grads-all races'!BF19</f>
        <v>49330</v>
      </c>
      <c r="BK20" s="337">
        <v>40050</v>
      </c>
      <c r="BL20" s="337">
        <v>40050</v>
      </c>
      <c r="BM20" s="337">
        <v>39830</v>
      </c>
      <c r="BN20" s="337">
        <v>39420</v>
      </c>
      <c r="BO20" s="337">
        <v>38580</v>
      </c>
      <c r="BP20" s="337">
        <v>39680</v>
      </c>
      <c r="BQ20" s="337">
        <v>40250</v>
      </c>
      <c r="BR20" s="337">
        <v>41410</v>
      </c>
      <c r="BS20" s="337">
        <v>41760</v>
      </c>
      <c r="BT20" s="337">
        <v>40980</v>
      </c>
      <c r="BU20" s="337">
        <v>40850</v>
      </c>
      <c r="BV20" s="337">
        <v>41490</v>
      </c>
      <c r="BW20" s="337">
        <v>42100</v>
      </c>
      <c r="BX20" s="97"/>
      <c r="BY20" s="97"/>
      <c r="BZ20" s="97"/>
      <c r="CA20" s="97"/>
      <c r="CB20" s="97"/>
      <c r="CC20" s="97"/>
      <c r="CD20" s="97"/>
      <c r="CE20" s="97"/>
      <c r="CF20" s="97"/>
    </row>
    <row r="21" spans="1:84">
      <c r="A21" s="112" t="s">
        <v>45</v>
      </c>
      <c r="B21" s="98">
        <v>32593</v>
      </c>
      <c r="C21" s="95">
        <f t="shared" si="5"/>
        <v>33147</v>
      </c>
      <c r="D21" s="97">
        <v>33701</v>
      </c>
      <c r="E21" s="97">
        <v>34407</v>
      </c>
      <c r="F21" s="97">
        <v>40104</v>
      </c>
      <c r="G21" s="97">
        <v>46541</v>
      </c>
      <c r="H21" s="95">
        <f t="shared" si="6"/>
        <v>47032.800000000003</v>
      </c>
      <c r="I21" s="97">
        <f t="shared" si="6"/>
        <v>47524.600000000006</v>
      </c>
      <c r="J21" s="97">
        <f t="shared" si="6"/>
        <v>48016.400000000009</v>
      </c>
      <c r="K21" s="97">
        <f t="shared" si="6"/>
        <v>48508.200000000012</v>
      </c>
      <c r="L21" s="97">
        <v>49000</v>
      </c>
      <c r="M21" s="97">
        <v>50500</v>
      </c>
      <c r="N21" s="99">
        <v>51622</v>
      </c>
      <c r="O21" s="97">
        <v>52115</v>
      </c>
      <c r="P21" s="99">
        <v>49641</v>
      </c>
      <c r="Q21" s="97">
        <v>49363</v>
      </c>
      <c r="R21" s="127">
        <v>50118</v>
      </c>
      <c r="S21" s="127">
        <v>49290</v>
      </c>
      <c r="T21" s="127">
        <v>47515</v>
      </c>
      <c r="U21" s="127">
        <v>47403</v>
      </c>
      <c r="V21" s="127">
        <v>49845</v>
      </c>
      <c r="W21" s="97">
        <v>50648</v>
      </c>
      <c r="X21" s="98">
        <v>51447</v>
      </c>
      <c r="Y21" s="98">
        <v>46704</v>
      </c>
      <c r="Z21" s="98">
        <v>44711</v>
      </c>
      <c r="AA21" s="98">
        <v>43293</v>
      </c>
      <c r="AB21" s="98">
        <v>43263</v>
      </c>
      <c r="AC21" s="97">
        <v>44731</v>
      </c>
      <c r="AD21" s="98">
        <v>47904</v>
      </c>
      <c r="AE21" s="98">
        <v>48553</v>
      </c>
      <c r="AF21" s="98">
        <v>46094</v>
      </c>
      <c r="AG21" s="98">
        <v>44847</v>
      </c>
      <c r="AH21" s="98">
        <v>45138</v>
      </c>
      <c r="AI21" s="97">
        <v>44166</v>
      </c>
      <c r="AJ21" s="97">
        <v>40643</v>
      </c>
      <c r="AK21" s="97">
        <v>43556</v>
      </c>
      <c r="AL21" s="97">
        <v>43792</v>
      </c>
      <c r="AM21" s="97">
        <v>41617</v>
      </c>
      <c r="AN21" s="97">
        <v>39866</v>
      </c>
      <c r="AO21" s="97">
        <v>40823</v>
      </c>
      <c r="AP21" s="97">
        <v>41568</v>
      </c>
      <c r="AQ21" s="97">
        <v>40642</v>
      </c>
      <c r="AR21" s="97">
        <v>40894</v>
      </c>
      <c r="AS21" s="97">
        <v>44113</v>
      </c>
      <c r="AT21" s="97">
        <v>46096</v>
      </c>
      <c r="AU21" s="97">
        <v>47967</v>
      </c>
      <c r="AV21" s="97">
        <v>50880</v>
      </c>
      <c r="AW21" s="97">
        <v>54502</v>
      </c>
      <c r="AX21" s="97">
        <v>57486</v>
      </c>
      <c r="AY21" s="97">
        <v>60368</v>
      </c>
      <c r="AZ21" s="97">
        <v>62408</v>
      </c>
      <c r="BA21" s="97">
        <v>61862</v>
      </c>
      <c r="BB21" s="97">
        <v>62454</v>
      </c>
      <c r="BC21" s="97">
        <v>61323</v>
      </c>
      <c r="BD21" s="99">
        <v>60606.616000000002</v>
      </c>
      <c r="BE21" s="99">
        <v>61480.775999999998</v>
      </c>
      <c r="BF21" s="99">
        <v>63165.105000000003</v>
      </c>
      <c r="BG21" s="99">
        <v>64824</v>
      </c>
      <c r="BH21" s="99">
        <v>64742</v>
      </c>
      <c r="BI21" s="99">
        <v>64946</v>
      </c>
      <c r="BJ21" s="99">
        <f>72130-'NCES-Private Grads-all races'!BF20</f>
        <v>64690</v>
      </c>
      <c r="BK21" s="337">
        <v>62880</v>
      </c>
      <c r="BL21" s="337">
        <v>63080</v>
      </c>
      <c r="BM21" s="337">
        <v>62670</v>
      </c>
      <c r="BN21" s="337">
        <v>61490</v>
      </c>
      <c r="BO21" s="337">
        <v>61780</v>
      </c>
      <c r="BP21" s="337">
        <v>63430</v>
      </c>
      <c r="BQ21" s="337">
        <v>64650</v>
      </c>
      <c r="BR21" s="337">
        <v>65570</v>
      </c>
      <c r="BS21" s="337">
        <v>65750</v>
      </c>
      <c r="BT21" s="337">
        <v>65110</v>
      </c>
      <c r="BU21" s="337">
        <v>65410</v>
      </c>
      <c r="BV21" s="337">
        <v>65730</v>
      </c>
      <c r="BW21" s="337">
        <v>66530</v>
      </c>
      <c r="BX21" s="97"/>
      <c r="BY21" s="97"/>
      <c r="BZ21" s="97"/>
      <c r="CA21" s="97"/>
      <c r="CB21" s="97"/>
      <c r="CC21" s="97"/>
      <c r="CD21" s="97"/>
      <c r="CE21" s="97"/>
      <c r="CF21" s="97"/>
    </row>
    <row r="22" spans="1:84">
      <c r="A22" s="112" t="s">
        <v>46</v>
      </c>
      <c r="B22" s="98">
        <v>76500</v>
      </c>
      <c r="C22" s="95">
        <f t="shared" si="5"/>
        <v>81509</v>
      </c>
      <c r="D22" s="97">
        <v>86518</v>
      </c>
      <c r="E22" s="97">
        <v>87640</v>
      </c>
      <c r="F22" s="97">
        <v>97158</v>
      </c>
      <c r="G22" s="97">
        <v>121759</v>
      </c>
      <c r="H22" s="95">
        <f t="shared" si="6"/>
        <v>125216.4</v>
      </c>
      <c r="I22" s="97">
        <f t="shared" si="6"/>
        <v>128673.79999999999</v>
      </c>
      <c r="J22" s="97">
        <f t="shared" si="6"/>
        <v>132131.19999999998</v>
      </c>
      <c r="K22" s="97">
        <f t="shared" si="6"/>
        <v>135588.59999999998</v>
      </c>
      <c r="L22" s="97">
        <v>139046</v>
      </c>
      <c r="M22" s="97">
        <v>148105</v>
      </c>
      <c r="N22" s="99">
        <v>153653</v>
      </c>
      <c r="O22" s="97">
        <v>153529</v>
      </c>
      <c r="P22" s="99">
        <v>156984</v>
      </c>
      <c r="Q22" s="97">
        <v>159487</v>
      </c>
      <c r="R22" s="127">
        <v>159855</v>
      </c>
      <c r="S22" s="127">
        <v>163574</v>
      </c>
      <c r="T22" s="127">
        <v>167983</v>
      </c>
      <c r="U22" s="127">
        <v>168518</v>
      </c>
      <c r="V22" s="127">
        <v>171449</v>
      </c>
      <c r="W22" s="97">
        <v>171665</v>
      </c>
      <c r="X22" s="98">
        <v>172085</v>
      </c>
      <c r="Y22" s="98">
        <v>168897</v>
      </c>
      <c r="Z22" s="98">
        <v>161580</v>
      </c>
      <c r="AA22" s="98">
        <v>159234</v>
      </c>
      <c r="AB22" s="98">
        <v>161150</v>
      </c>
      <c r="AC22" s="97">
        <v>168430</v>
      </c>
      <c r="AD22" s="98">
        <v>171436</v>
      </c>
      <c r="AE22" s="98">
        <v>176951</v>
      </c>
      <c r="AF22" s="98">
        <v>172480</v>
      </c>
      <c r="AG22" s="98">
        <v>174306</v>
      </c>
      <c r="AH22" s="98">
        <v>162270</v>
      </c>
      <c r="AI22" s="97">
        <v>160546</v>
      </c>
      <c r="AJ22" s="97">
        <v>163191</v>
      </c>
      <c r="AK22" s="97">
        <v>170322</v>
      </c>
      <c r="AL22" s="97">
        <v>171844</v>
      </c>
      <c r="AM22" s="97">
        <v>181794</v>
      </c>
      <c r="AN22" s="97">
        <v>197186</v>
      </c>
      <c r="AO22" s="97">
        <v>203393</v>
      </c>
      <c r="AP22" s="97">
        <v>212925</v>
      </c>
      <c r="AQ22" s="97">
        <v>215316</v>
      </c>
      <c r="AR22" s="97">
        <v>225167</v>
      </c>
      <c r="AS22" s="97">
        <v>238111</v>
      </c>
      <c r="AT22" s="97">
        <v>244165</v>
      </c>
      <c r="AU22" s="97">
        <v>239717</v>
      </c>
      <c r="AV22" s="97">
        <v>240485</v>
      </c>
      <c r="AW22" s="97">
        <v>241193</v>
      </c>
      <c r="AX22" s="97">
        <v>252121</v>
      </c>
      <c r="AY22" s="97">
        <v>264275</v>
      </c>
      <c r="AZ22" s="97">
        <v>280894</v>
      </c>
      <c r="BA22" s="97">
        <v>290470</v>
      </c>
      <c r="BB22" s="97">
        <v>292531</v>
      </c>
      <c r="BC22" s="97">
        <v>301390</v>
      </c>
      <c r="BD22" s="99">
        <v>294291.538</v>
      </c>
      <c r="BE22" s="99">
        <v>302267.14</v>
      </c>
      <c r="BF22" s="99">
        <v>312459.44399999996</v>
      </c>
      <c r="BG22" s="99">
        <v>334424</v>
      </c>
      <c r="BH22" s="99">
        <v>347893</v>
      </c>
      <c r="BI22" s="99">
        <v>355615</v>
      </c>
      <c r="BJ22" s="99">
        <f>374620-'NCES-Private Grads-all races'!BF21</f>
        <v>355590</v>
      </c>
      <c r="BK22" s="337">
        <v>282670</v>
      </c>
      <c r="BL22" s="337">
        <v>282960</v>
      </c>
      <c r="BM22" s="337">
        <v>292560</v>
      </c>
      <c r="BN22" s="337">
        <v>295600</v>
      </c>
      <c r="BO22" s="337">
        <v>298360</v>
      </c>
      <c r="BP22" s="337">
        <v>302280</v>
      </c>
      <c r="BQ22" s="337">
        <v>309670</v>
      </c>
      <c r="BR22" s="337">
        <v>319290</v>
      </c>
      <c r="BS22" s="337">
        <v>323230</v>
      </c>
      <c r="BT22" s="337">
        <v>325870</v>
      </c>
      <c r="BU22" s="337">
        <v>330110</v>
      </c>
      <c r="BV22" s="337">
        <v>334350</v>
      </c>
      <c r="BW22" s="337">
        <v>338510</v>
      </c>
      <c r="BX22" s="97"/>
      <c r="BY22" s="97"/>
      <c r="BZ22" s="97"/>
      <c r="CA22" s="97"/>
      <c r="CB22" s="97"/>
      <c r="CC22" s="97"/>
      <c r="CD22" s="97"/>
      <c r="CE22" s="97"/>
      <c r="CF22" s="97"/>
    </row>
    <row r="23" spans="1:84">
      <c r="A23" s="112" t="s">
        <v>48</v>
      </c>
      <c r="B23" s="98">
        <v>30262</v>
      </c>
      <c r="C23" s="95">
        <f t="shared" si="5"/>
        <v>32247</v>
      </c>
      <c r="D23" s="97">
        <v>34232</v>
      </c>
      <c r="E23" s="97">
        <v>34197</v>
      </c>
      <c r="F23" s="97">
        <v>39173</v>
      </c>
      <c r="G23" s="97">
        <v>49438</v>
      </c>
      <c r="H23" s="95">
        <f t="shared" si="6"/>
        <v>51262.8</v>
      </c>
      <c r="I23" s="97">
        <f t="shared" si="6"/>
        <v>53087.600000000006</v>
      </c>
      <c r="J23" s="97">
        <f t="shared" si="6"/>
        <v>54912.400000000009</v>
      </c>
      <c r="K23" s="97">
        <f t="shared" si="6"/>
        <v>56737.200000000012</v>
      </c>
      <c r="L23" s="97">
        <v>58562</v>
      </c>
      <c r="M23" s="97">
        <v>59672</v>
      </c>
      <c r="N23" s="99">
        <v>62372</v>
      </c>
      <c r="O23" s="97">
        <v>62589</v>
      </c>
      <c r="P23" s="99">
        <v>63846</v>
      </c>
      <c r="Q23" s="97">
        <v>65570</v>
      </c>
      <c r="R23" s="127">
        <v>66061</v>
      </c>
      <c r="S23" s="127">
        <v>66738</v>
      </c>
      <c r="T23" s="127">
        <v>66270</v>
      </c>
      <c r="U23" s="127">
        <v>67027</v>
      </c>
      <c r="V23" s="127">
        <v>66621</v>
      </c>
      <c r="W23" s="97">
        <v>67126</v>
      </c>
      <c r="X23" s="98">
        <v>67809</v>
      </c>
      <c r="Y23" s="98">
        <v>65571</v>
      </c>
      <c r="Z23" s="98">
        <v>62177</v>
      </c>
      <c r="AA23" s="98">
        <v>60959</v>
      </c>
      <c r="AB23" s="98">
        <v>63113</v>
      </c>
      <c r="AC23" s="97">
        <v>65008</v>
      </c>
      <c r="AD23" s="98">
        <v>65688</v>
      </c>
      <c r="AE23" s="98">
        <v>65004</v>
      </c>
      <c r="AF23" s="98">
        <v>60605</v>
      </c>
      <c r="AG23" s="98">
        <v>58441</v>
      </c>
      <c r="AH23" s="98">
        <v>57338</v>
      </c>
      <c r="AI23" s="97">
        <v>56948</v>
      </c>
      <c r="AJ23" s="97">
        <v>56140</v>
      </c>
      <c r="AK23" s="97">
        <v>58260</v>
      </c>
      <c r="AL23" s="97">
        <v>58166</v>
      </c>
      <c r="AM23" s="97">
        <v>60587</v>
      </c>
      <c r="AN23" s="97">
        <v>62738</v>
      </c>
      <c r="AO23" s="97">
        <v>63875</v>
      </c>
      <c r="AP23" s="97">
        <v>65596</v>
      </c>
      <c r="AQ23" s="97">
        <v>66067</v>
      </c>
      <c r="AR23" s="97">
        <v>66519</v>
      </c>
      <c r="AS23" s="97">
        <v>72943</v>
      </c>
      <c r="AT23" s="97">
        <v>72042</v>
      </c>
      <c r="AU23" s="97">
        <v>73667</v>
      </c>
      <c r="AV23" s="97">
        <v>69597</v>
      </c>
      <c r="AW23" s="97">
        <v>73997</v>
      </c>
      <c r="AX23" s="97">
        <v>77369</v>
      </c>
      <c r="AY23" s="97">
        <v>79651</v>
      </c>
      <c r="AZ23" s="97">
        <v>81511</v>
      </c>
      <c r="BA23" s="97">
        <v>82895</v>
      </c>
      <c r="BB23" s="97">
        <v>83336</v>
      </c>
      <c r="BC23" s="97">
        <v>83279</v>
      </c>
      <c r="BD23" s="99">
        <v>80743.274000000005</v>
      </c>
      <c r="BE23" s="99">
        <v>80057.512000000002</v>
      </c>
      <c r="BF23" s="99">
        <v>82502.853000000003</v>
      </c>
      <c r="BG23" s="99">
        <v>85339</v>
      </c>
      <c r="BH23" s="99">
        <v>88211</v>
      </c>
      <c r="BI23" s="99">
        <v>88300</v>
      </c>
      <c r="BJ23" s="99">
        <f>94510-'NCES-Private Grads-all races'!BF22</f>
        <v>86880</v>
      </c>
      <c r="BK23" s="337">
        <v>82080</v>
      </c>
      <c r="BL23" s="337">
        <v>82140</v>
      </c>
      <c r="BM23" s="337">
        <v>82070</v>
      </c>
      <c r="BN23" s="337">
        <v>81050</v>
      </c>
      <c r="BO23" s="337">
        <v>79710</v>
      </c>
      <c r="BP23" s="337">
        <v>80730</v>
      </c>
      <c r="BQ23" s="337">
        <v>81400</v>
      </c>
      <c r="BR23" s="337">
        <v>83160</v>
      </c>
      <c r="BS23" s="337">
        <v>83220</v>
      </c>
      <c r="BT23" s="337">
        <v>83260</v>
      </c>
      <c r="BU23" s="337">
        <v>83960</v>
      </c>
      <c r="BV23" s="337">
        <v>85400</v>
      </c>
      <c r="BW23" s="337">
        <v>85110</v>
      </c>
      <c r="BX23" s="97"/>
      <c r="BY23" s="97"/>
      <c r="BZ23" s="97"/>
      <c r="CA23" s="97"/>
      <c r="CB23" s="97"/>
      <c r="CC23" s="97"/>
      <c r="CD23" s="97"/>
      <c r="CE23" s="97"/>
      <c r="CF23" s="97"/>
    </row>
    <row r="24" spans="1:84">
      <c r="A24" s="433" t="s">
        <v>49</v>
      </c>
      <c r="B24" s="434">
        <v>21758</v>
      </c>
      <c r="C24" s="116">
        <f t="shared" si="5"/>
        <v>20642.5</v>
      </c>
      <c r="D24" s="435">
        <v>19527</v>
      </c>
      <c r="E24" s="435">
        <v>19356</v>
      </c>
      <c r="F24" s="435">
        <v>23463</v>
      </c>
      <c r="G24" s="435">
        <v>26974</v>
      </c>
      <c r="H24" s="116">
        <f t="shared" si="6"/>
        <v>26807</v>
      </c>
      <c r="I24" s="435">
        <f t="shared" si="6"/>
        <v>26640</v>
      </c>
      <c r="J24" s="435">
        <f t="shared" si="6"/>
        <v>26473</v>
      </c>
      <c r="K24" s="435">
        <f t="shared" si="6"/>
        <v>26306</v>
      </c>
      <c r="L24" s="435">
        <v>26139</v>
      </c>
      <c r="M24" s="435">
        <v>25485</v>
      </c>
      <c r="N24" s="101">
        <v>22159</v>
      </c>
      <c r="O24" s="435">
        <v>24541</v>
      </c>
      <c r="P24" s="101">
        <v>25401</v>
      </c>
      <c r="Q24" s="435">
        <v>24631</v>
      </c>
      <c r="R24" s="436">
        <v>24879</v>
      </c>
      <c r="S24" s="436">
        <v>24719</v>
      </c>
      <c r="T24" s="436">
        <v>23986</v>
      </c>
      <c r="U24" s="436">
        <v>23570</v>
      </c>
      <c r="V24" s="436">
        <v>23369</v>
      </c>
      <c r="W24" s="435">
        <v>23580</v>
      </c>
      <c r="X24" s="434">
        <v>23589</v>
      </c>
      <c r="Y24" s="434">
        <v>23561</v>
      </c>
      <c r="Z24" s="434">
        <v>22613</v>
      </c>
      <c r="AA24" s="434">
        <v>22262</v>
      </c>
      <c r="AB24" s="434">
        <v>21870</v>
      </c>
      <c r="AC24" s="435">
        <v>22401</v>
      </c>
      <c r="AD24" s="434">
        <v>22406</v>
      </c>
      <c r="AE24" s="434">
        <v>22886</v>
      </c>
      <c r="AF24" s="434">
        <v>21854</v>
      </c>
      <c r="AG24" s="434">
        <v>21064</v>
      </c>
      <c r="AH24" s="434">
        <v>20054</v>
      </c>
      <c r="AI24" s="435">
        <v>20228</v>
      </c>
      <c r="AJ24" s="435">
        <v>19884</v>
      </c>
      <c r="AK24" s="435">
        <v>20131</v>
      </c>
      <c r="AL24" s="435">
        <v>20335</v>
      </c>
      <c r="AM24" s="435">
        <v>19573</v>
      </c>
      <c r="AN24" s="435">
        <v>20164</v>
      </c>
      <c r="AO24" s="435">
        <v>19889</v>
      </c>
      <c r="AP24" s="435">
        <v>19437</v>
      </c>
      <c r="AQ24" s="435">
        <v>18440</v>
      </c>
      <c r="AR24" s="435">
        <v>17128</v>
      </c>
      <c r="AS24" s="435">
        <v>17287</v>
      </c>
      <c r="AT24" s="435">
        <v>17339</v>
      </c>
      <c r="AU24" s="435">
        <v>17137</v>
      </c>
      <c r="AV24" s="435">
        <v>16763</v>
      </c>
      <c r="AW24" s="435">
        <v>17407</v>
      </c>
      <c r="AX24" s="435">
        <v>17489</v>
      </c>
      <c r="AY24" s="435">
        <v>17690</v>
      </c>
      <c r="AZ24" s="435">
        <v>17651</v>
      </c>
      <c r="BA24" s="435">
        <v>17311</v>
      </c>
      <c r="BB24" s="435">
        <v>17603</v>
      </c>
      <c r="BC24" s="435">
        <v>17924</v>
      </c>
      <c r="BD24" s="101">
        <v>16725.084999999999</v>
      </c>
      <c r="BE24" s="101">
        <v>17005.900000000001</v>
      </c>
      <c r="BF24" s="101">
        <v>16824.03</v>
      </c>
      <c r="BG24" s="101">
        <v>18049</v>
      </c>
      <c r="BH24" s="101">
        <v>18190</v>
      </c>
      <c r="BI24" s="101">
        <v>17914</v>
      </c>
      <c r="BJ24" s="101">
        <f>18510-'NCES-Private Grads-all races'!BF23</f>
        <v>17670</v>
      </c>
      <c r="BK24" s="437">
        <v>17260</v>
      </c>
      <c r="BL24" s="437">
        <v>17320</v>
      </c>
      <c r="BM24" s="437">
        <v>17100</v>
      </c>
      <c r="BN24" s="437">
        <v>16710</v>
      </c>
      <c r="BO24" s="437">
        <v>16590</v>
      </c>
      <c r="BP24" s="437">
        <v>16800</v>
      </c>
      <c r="BQ24" s="437">
        <v>16570</v>
      </c>
      <c r="BR24" s="437">
        <v>16950</v>
      </c>
      <c r="BS24" s="437">
        <v>16650</v>
      </c>
      <c r="BT24" s="437">
        <v>16880</v>
      </c>
      <c r="BU24" s="437">
        <v>16450</v>
      </c>
      <c r="BV24" s="437">
        <v>16690</v>
      </c>
      <c r="BW24" s="437">
        <v>16600</v>
      </c>
      <c r="BX24" s="97"/>
      <c r="BY24" s="97"/>
      <c r="BZ24" s="97"/>
      <c r="CA24" s="97"/>
      <c r="CB24" s="97"/>
      <c r="CC24" s="97"/>
      <c r="CD24" s="97"/>
      <c r="CE24" s="97"/>
      <c r="CF24" s="97"/>
    </row>
    <row r="25" spans="1:84">
      <c r="A25" s="113" t="s">
        <v>50</v>
      </c>
      <c r="B25" s="95">
        <f>SUM(B27:B39)</f>
        <v>272999</v>
      </c>
      <c r="C25" s="95">
        <f t="shared" ref="C25:BW25" si="7">SUM(C27:C39)</f>
        <v>287859.5</v>
      </c>
      <c r="D25" s="95">
        <f t="shared" si="7"/>
        <v>302720</v>
      </c>
      <c r="E25" s="95">
        <f t="shared" si="7"/>
        <v>312267</v>
      </c>
      <c r="F25" s="95">
        <f t="shared" si="7"/>
        <v>369706</v>
      </c>
      <c r="G25" s="95">
        <f t="shared" si="7"/>
        <v>422849</v>
      </c>
      <c r="H25" s="95">
        <f t="shared" si="7"/>
        <v>434020.8</v>
      </c>
      <c r="I25" s="95">
        <f t="shared" si="7"/>
        <v>445192.60000000003</v>
      </c>
      <c r="J25" s="95">
        <f t="shared" si="7"/>
        <v>456364.4</v>
      </c>
      <c r="K25" s="95">
        <f t="shared" si="7"/>
        <v>467536.19999999995</v>
      </c>
      <c r="L25" s="95">
        <f t="shared" si="7"/>
        <v>478708</v>
      </c>
      <c r="M25" s="95">
        <f t="shared" si="7"/>
        <v>486394</v>
      </c>
      <c r="N25" s="95">
        <f t="shared" si="7"/>
        <v>497750</v>
      </c>
      <c r="O25" s="95">
        <f t="shared" si="7"/>
        <v>494243</v>
      </c>
      <c r="P25" s="95">
        <f t="shared" si="7"/>
        <v>500014</v>
      </c>
      <c r="Q25" s="95">
        <f t="shared" si="7"/>
        <v>506974</v>
      </c>
      <c r="R25" s="95">
        <f t="shared" si="7"/>
        <v>506069</v>
      </c>
      <c r="S25" s="95">
        <f t="shared" si="7"/>
        <v>506883</v>
      </c>
      <c r="T25" s="95">
        <f t="shared" si="7"/>
        <v>505566</v>
      </c>
      <c r="U25" s="95">
        <f t="shared" si="7"/>
        <v>494620</v>
      </c>
      <c r="V25" s="95">
        <f t="shared" si="7"/>
        <v>490037</v>
      </c>
      <c r="W25" s="95">
        <f t="shared" si="7"/>
        <v>479419</v>
      </c>
      <c r="X25" s="95">
        <f t="shared" si="7"/>
        <v>476850</v>
      </c>
      <c r="Y25" s="95">
        <f t="shared" si="7"/>
        <v>462032</v>
      </c>
      <c r="Z25" s="95">
        <f t="shared" si="7"/>
        <v>453239</v>
      </c>
      <c r="AA25" s="95">
        <f t="shared" si="7"/>
        <v>444808</v>
      </c>
      <c r="AB25" s="95">
        <f t="shared" si="7"/>
        <v>448126</v>
      </c>
      <c r="AC25" s="95">
        <f t="shared" si="7"/>
        <v>468650</v>
      </c>
      <c r="AD25" s="95">
        <f t="shared" si="7"/>
        <v>488047</v>
      </c>
      <c r="AE25" s="95">
        <f t="shared" si="7"/>
        <v>480915</v>
      </c>
      <c r="AF25" s="95">
        <f t="shared" si="7"/>
        <v>461207</v>
      </c>
      <c r="AG25" s="95">
        <f t="shared" si="7"/>
        <v>451730</v>
      </c>
      <c r="AH25" s="95">
        <f t="shared" si="7"/>
        <v>466044</v>
      </c>
      <c r="AI25" s="95">
        <f t="shared" si="7"/>
        <v>475806</v>
      </c>
      <c r="AJ25" s="95">
        <f t="shared" si="7"/>
        <v>485101</v>
      </c>
      <c r="AK25" s="95">
        <f t="shared" si="7"/>
        <v>492634</v>
      </c>
      <c r="AL25" s="95">
        <f t="shared" si="7"/>
        <v>496218</v>
      </c>
      <c r="AM25" s="95">
        <f t="shared" si="7"/>
        <v>522763</v>
      </c>
      <c r="AN25" s="95">
        <f t="shared" si="7"/>
        <v>546371</v>
      </c>
      <c r="AO25" s="95">
        <f t="shared" si="7"/>
        <v>567866</v>
      </c>
      <c r="AP25" s="95">
        <f t="shared" si="7"/>
        <v>590512</v>
      </c>
      <c r="AQ25" s="95">
        <f t="shared" si="7"/>
        <v>600099</v>
      </c>
      <c r="AR25" s="95">
        <f t="shared" si="7"/>
        <v>617772</v>
      </c>
      <c r="AS25" s="95">
        <f t="shared" si="7"/>
        <v>638982</v>
      </c>
      <c r="AT25" s="95">
        <f t="shared" si="7"/>
        <v>640782</v>
      </c>
      <c r="AU25" s="95">
        <f t="shared" si="7"/>
        <v>665730</v>
      </c>
      <c r="AV25" s="95">
        <f t="shared" si="7"/>
        <v>648153</v>
      </c>
      <c r="AW25" s="95">
        <f t="shared" si="7"/>
        <v>666560</v>
      </c>
      <c r="AX25" s="95">
        <f t="shared" si="7"/>
        <v>696055</v>
      </c>
      <c r="AY25" s="95">
        <f t="shared" si="7"/>
        <v>700236</v>
      </c>
      <c r="AZ25" s="95">
        <f>SUM(AZ27:AZ39)</f>
        <v>740008</v>
      </c>
      <c r="BA25" s="95">
        <f>SUM(BA27:BA39)</f>
        <v>749296</v>
      </c>
      <c r="BB25" s="95">
        <f>SUM(BB27:BB39)</f>
        <v>757008</v>
      </c>
      <c r="BC25" s="95">
        <f>SUM(BC27:BC39)</f>
        <v>761428</v>
      </c>
      <c r="BD25" s="95">
        <f t="shared" ref="BD25:BJ25" si="8">SUM(BD27:BD39)</f>
        <v>733123.98199999996</v>
      </c>
      <c r="BE25" s="95">
        <f t="shared" si="8"/>
        <v>734552.8139999999</v>
      </c>
      <c r="BF25" s="95">
        <f t="shared" si="8"/>
        <v>751011.15100000019</v>
      </c>
      <c r="BG25" s="95">
        <f t="shared" si="8"/>
        <v>802682</v>
      </c>
      <c r="BH25" s="95">
        <f t="shared" si="8"/>
        <v>823165</v>
      </c>
      <c r="BI25" s="95">
        <f t="shared" si="8"/>
        <v>824654</v>
      </c>
      <c r="BJ25" s="95">
        <f t="shared" si="8"/>
        <v>816850</v>
      </c>
      <c r="BK25" s="432">
        <f t="shared" si="7"/>
        <v>755500</v>
      </c>
      <c r="BL25" s="141">
        <f t="shared" si="7"/>
        <v>759480</v>
      </c>
      <c r="BM25" s="141">
        <f t="shared" si="7"/>
        <v>757040</v>
      </c>
      <c r="BN25" s="141">
        <f t="shared" si="7"/>
        <v>749160</v>
      </c>
      <c r="BO25" s="141">
        <f t="shared" si="7"/>
        <v>739010</v>
      </c>
      <c r="BP25" s="141">
        <f t="shared" si="7"/>
        <v>734670</v>
      </c>
      <c r="BQ25" s="141">
        <f t="shared" si="7"/>
        <v>740730</v>
      </c>
      <c r="BR25" s="141">
        <f t="shared" si="7"/>
        <v>746620</v>
      </c>
      <c r="BS25" s="141">
        <f t="shared" si="7"/>
        <v>736170</v>
      </c>
      <c r="BT25" s="141">
        <f t="shared" si="7"/>
        <v>740290</v>
      </c>
      <c r="BU25" s="141">
        <f t="shared" si="7"/>
        <v>752930</v>
      </c>
      <c r="BV25" s="141">
        <f t="shared" si="7"/>
        <v>758350</v>
      </c>
      <c r="BW25" s="141">
        <f t="shared" si="7"/>
        <v>773410</v>
      </c>
      <c r="BX25" s="97"/>
      <c r="BY25" s="97"/>
      <c r="BZ25" s="97"/>
      <c r="CA25" s="97"/>
      <c r="CB25" s="97"/>
      <c r="CC25" s="97"/>
      <c r="CD25" s="97"/>
      <c r="CE25" s="97"/>
      <c r="CF25" s="97"/>
    </row>
    <row r="26" spans="1:84">
      <c r="A26" s="113" t="s">
        <v>129</v>
      </c>
      <c r="B26" s="98"/>
      <c r="C26" s="95"/>
      <c r="D26" s="97"/>
      <c r="E26" s="97"/>
      <c r="F26" s="97"/>
      <c r="G26" s="97"/>
      <c r="H26" s="95"/>
      <c r="I26" s="97"/>
      <c r="J26" s="97"/>
      <c r="K26" s="97"/>
      <c r="L26" s="97"/>
      <c r="M26" s="97"/>
      <c r="N26" s="99"/>
      <c r="O26" s="97"/>
      <c r="P26" s="99"/>
      <c r="Q26" s="97"/>
      <c r="R26" s="97"/>
      <c r="S26" s="97"/>
      <c r="T26" s="97"/>
      <c r="U26" s="97"/>
      <c r="V26" s="97"/>
      <c r="W26" s="97"/>
      <c r="X26" s="97"/>
      <c r="Y26" s="97"/>
      <c r="Z26" s="97"/>
      <c r="AA26" s="97"/>
      <c r="AB26" s="97"/>
      <c r="AC26" s="97"/>
      <c r="AD26" s="97"/>
      <c r="AE26" s="97"/>
      <c r="AF26" s="97"/>
      <c r="AG26" s="97"/>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142"/>
      <c r="BL26" s="143"/>
      <c r="BM26" s="143"/>
      <c r="BN26" s="143"/>
      <c r="BO26" s="143"/>
      <c r="BP26" s="143"/>
      <c r="BQ26" s="143"/>
      <c r="BR26" s="143"/>
      <c r="BS26" s="143"/>
      <c r="BT26" s="143"/>
      <c r="BU26" s="143"/>
      <c r="BV26" s="143"/>
      <c r="BW26" s="143"/>
      <c r="BX26" s="97"/>
      <c r="BY26" s="97"/>
      <c r="BZ26" s="97"/>
      <c r="CA26" s="97"/>
      <c r="CB26" s="97"/>
      <c r="CC26" s="97"/>
      <c r="CD26" s="97"/>
      <c r="CE26" s="97"/>
      <c r="CF26" s="97"/>
    </row>
    <row r="27" spans="1:84">
      <c r="A27" s="114" t="s">
        <v>51</v>
      </c>
      <c r="B27" s="98">
        <v>1095</v>
      </c>
      <c r="C27" s="95">
        <f t="shared" ref="C27:C39" si="9">((D27-B27)/2)+B27</f>
        <v>1259.5</v>
      </c>
      <c r="D27" s="97">
        <v>1424</v>
      </c>
      <c r="E27" s="97">
        <v>1565</v>
      </c>
      <c r="F27" s="97">
        <v>1855</v>
      </c>
      <c r="G27" s="97">
        <v>2258</v>
      </c>
      <c r="H27" s="95">
        <f t="shared" ref="H27:K39" si="10">(($L27-$G27)/5)+G27</f>
        <v>2465.8000000000002</v>
      </c>
      <c r="I27" s="97">
        <f t="shared" si="10"/>
        <v>2673.6000000000004</v>
      </c>
      <c r="J27" s="97">
        <f t="shared" si="10"/>
        <v>2881.4000000000005</v>
      </c>
      <c r="K27" s="97">
        <f t="shared" si="10"/>
        <v>3089.2000000000007</v>
      </c>
      <c r="L27" s="97">
        <v>3297</v>
      </c>
      <c r="M27" s="97">
        <v>3534</v>
      </c>
      <c r="N27" s="99">
        <v>3760</v>
      </c>
      <c r="O27" s="97">
        <v>3970</v>
      </c>
      <c r="P27" s="99">
        <v>4248</v>
      </c>
      <c r="Q27" s="97">
        <v>4220</v>
      </c>
      <c r="R27" s="127">
        <v>4223</v>
      </c>
      <c r="S27" s="127">
        <v>4526</v>
      </c>
      <c r="T27" s="127">
        <v>4832</v>
      </c>
      <c r="U27" s="127">
        <v>5038</v>
      </c>
      <c r="V27" s="127">
        <v>5223</v>
      </c>
      <c r="W27" s="97">
        <v>5343</v>
      </c>
      <c r="X27" s="98">
        <v>5477</v>
      </c>
      <c r="Y27" s="98">
        <v>5622</v>
      </c>
      <c r="Z27" s="98">
        <v>5457</v>
      </c>
      <c r="AA27" s="98">
        <v>5184</v>
      </c>
      <c r="AB27" s="98">
        <v>5464</v>
      </c>
      <c r="AC27" s="97">
        <v>5692</v>
      </c>
      <c r="AD27" s="98">
        <v>5907</v>
      </c>
      <c r="AE27" s="98">
        <v>5631</v>
      </c>
      <c r="AF27" s="98">
        <v>5386</v>
      </c>
      <c r="AG27" s="98">
        <v>5458</v>
      </c>
      <c r="AH27" s="98">
        <v>5535</v>
      </c>
      <c r="AI27" s="97">
        <v>5535</v>
      </c>
      <c r="AJ27" s="97">
        <v>5747</v>
      </c>
      <c r="AK27" s="97">
        <v>5765</v>
      </c>
      <c r="AL27" s="97">
        <v>5945</v>
      </c>
      <c r="AM27" s="97">
        <v>6133</v>
      </c>
      <c r="AN27" s="97">
        <v>6462</v>
      </c>
      <c r="AO27" s="97">
        <v>6810</v>
      </c>
      <c r="AP27" s="97">
        <v>6615</v>
      </c>
      <c r="AQ27" s="97">
        <v>6812</v>
      </c>
      <c r="AR27" s="97">
        <v>6945</v>
      </c>
      <c r="AS27" s="97">
        <v>7297</v>
      </c>
      <c r="AT27" s="97">
        <v>7236</v>
      </c>
      <c r="AU27" s="97">
        <v>6909</v>
      </c>
      <c r="AV27" s="97">
        <v>7361</v>
      </c>
      <c r="AW27" s="97">
        <v>7666</v>
      </c>
      <c r="AX27" s="97">
        <v>7855</v>
      </c>
      <c r="AY27" s="97">
        <v>8008</v>
      </c>
      <c r="AZ27" s="97">
        <v>8245</v>
      </c>
      <c r="BA27" s="97">
        <v>8064</v>
      </c>
      <c r="BB27" s="97">
        <v>7989</v>
      </c>
      <c r="BC27" s="97">
        <v>7860</v>
      </c>
      <c r="BD27" s="97">
        <v>7018.2809999999999</v>
      </c>
      <c r="BE27" s="97">
        <v>7315.0559999999987</v>
      </c>
      <c r="BF27" s="97">
        <v>7333.7569999999987</v>
      </c>
      <c r="BG27" s="97">
        <v>8384</v>
      </c>
      <c r="BH27" s="97">
        <v>8451</v>
      </c>
      <c r="BI27" s="97">
        <v>8471</v>
      </c>
      <c r="BJ27" s="97">
        <f>8060-'NCES-Private Grads-all races'!BF26</f>
        <v>7950</v>
      </c>
      <c r="BK27" s="142">
        <v>7750</v>
      </c>
      <c r="BL27" s="143">
        <v>7970</v>
      </c>
      <c r="BM27" s="143">
        <v>7230</v>
      </c>
      <c r="BN27" s="143">
        <v>7210</v>
      </c>
      <c r="BO27" s="143">
        <v>7100</v>
      </c>
      <c r="BP27" s="143">
        <v>7050</v>
      </c>
      <c r="BQ27" s="143">
        <v>7280</v>
      </c>
      <c r="BR27" s="143">
        <v>7260</v>
      </c>
      <c r="BS27" s="143">
        <v>7240</v>
      </c>
      <c r="BT27" s="143">
        <v>7180</v>
      </c>
      <c r="BU27" s="143">
        <v>7350</v>
      </c>
      <c r="BV27" s="143">
        <v>7480</v>
      </c>
      <c r="BW27" s="143">
        <v>7650</v>
      </c>
      <c r="BX27" s="97"/>
      <c r="BY27" s="97"/>
      <c r="BZ27" s="97"/>
      <c r="CA27" s="97"/>
      <c r="CB27" s="97"/>
      <c r="CC27" s="97"/>
      <c r="CD27" s="97"/>
      <c r="CE27" s="97"/>
      <c r="CF27" s="97"/>
    </row>
    <row r="28" spans="1:84">
      <c r="A28" s="114" t="s">
        <v>52</v>
      </c>
      <c r="B28" s="98">
        <v>10406</v>
      </c>
      <c r="C28" s="95">
        <f t="shared" si="9"/>
        <v>11452.5</v>
      </c>
      <c r="D28" s="97">
        <v>12499</v>
      </c>
      <c r="E28" s="97">
        <v>14392</v>
      </c>
      <c r="F28" s="97">
        <v>15785</v>
      </c>
      <c r="G28" s="97">
        <v>18920</v>
      </c>
      <c r="H28" s="95">
        <f t="shared" si="10"/>
        <v>19544</v>
      </c>
      <c r="I28" s="97">
        <f t="shared" si="10"/>
        <v>20168</v>
      </c>
      <c r="J28" s="97">
        <f t="shared" si="10"/>
        <v>20792</v>
      </c>
      <c r="K28" s="97">
        <f t="shared" si="10"/>
        <v>21416</v>
      </c>
      <c r="L28" s="97">
        <v>22040</v>
      </c>
      <c r="M28" s="97">
        <v>23407</v>
      </c>
      <c r="N28" s="99">
        <v>23953</v>
      </c>
      <c r="O28" s="97">
        <v>24012</v>
      </c>
      <c r="P28" s="99">
        <v>24924</v>
      </c>
      <c r="Q28" s="97">
        <v>25665</v>
      </c>
      <c r="R28" s="127">
        <v>26019</v>
      </c>
      <c r="S28" s="127">
        <v>29855</v>
      </c>
      <c r="T28" s="127">
        <v>30814</v>
      </c>
      <c r="U28" s="127">
        <v>30059</v>
      </c>
      <c r="V28" s="127">
        <v>28633</v>
      </c>
      <c r="W28" s="97">
        <v>28416</v>
      </c>
      <c r="X28" s="98">
        <v>28049</v>
      </c>
      <c r="Y28" s="98">
        <v>26530</v>
      </c>
      <c r="Z28" s="98">
        <v>28332</v>
      </c>
      <c r="AA28" s="98">
        <v>27877</v>
      </c>
      <c r="AB28" s="98">
        <v>27533</v>
      </c>
      <c r="AC28" s="97">
        <v>29549</v>
      </c>
      <c r="AD28" s="98">
        <v>29777</v>
      </c>
      <c r="AE28" s="98">
        <v>31919</v>
      </c>
      <c r="AF28" s="98">
        <v>32103</v>
      </c>
      <c r="AG28" s="98">
        <v>31282</v>
      </c>
      <c r="AH28" s="98">
        <v>31264</v>
      </c>
      <c r="AI28" s="97">
        <v>31747</v>
      </c>
      <c r="AJ28" s="97">
        <v>31799</v>
      </c>
      <c r="AK28" s="97">
        <v>30989</v>
      </c>
      <c r="AL28" s="97">
        <v>30008</v>
      </c>
      <c r="AM28" s="97">
        <v>34082</v>
      </c>
      <c r="AN28" s="97">
        <v>36361</v>
      </c>
      <c r="AO28" s="97">
        <v>35728</v>
      </c>
      <c r="AP28" s="97">
        <v>38304</v>
      </c>
      <c r="AQ28" s="97">
        <v>46733</v>
      </c>
      <c r="AR28" s="97">
        <v>47175</v>
      </c>
      <c r="AS28" s="97">
        <v>49986</v>
      </c>
      <c r="AT28" s="97">
        <v>45508</v>
      </c>
      <c r="AU28" s="97">
        <v>59498</v>
      </c>
      <c r="AV28" s="97">
        <v>54091</v>
      </c>
      <c r="AW28" s="97">
        <v>55954</v>
      </c>
      <c r="AX28" s="97">
        <v>61667</v>
      </c>
      <c r="AY28" s="97">
        <v>62374</v>
      </c>
      <c r="AZ28" s="97">
        <v>61145</v>
      </c>
      <c r="BA28" s="97">
        <v>64472</v>
      </c>
      <c r="BB28" s="97">
        <v>63208</v>
      </c>
      <c r="BC28" s="97">
        <v>62208</v>
      </c>
      <c r="BD28" s="97">
        <v>59999.063000000002</v>
      </c>
      <c r="BE28" s="97">
        <v>62146.008000000002</v>
      </c>
      <c r="BF28" s="97">
        <v>64461.780000000006</v>
      </c>
      <c r="BG28" s="97">
        <v>68564</v>
      </c>
      <c r="BH28" s="97">
        <v>71296</v>
      </c>
      <c r="BI28" s="97">
        <v>71757</v>
      </c>
      <c r="BJ28" s="97">
        <f>76620-'NCES-Private Grads-all races'!BF27</f>
        <v>72660</v>
      </c>
      <c r="BK28" s="142">
        <v>65010</v>
      </c>
      <c r="BL28" s="143">
        <v>64910</v>
      </c>
      <c r="BM28" s="143">
        <v>64090</v>
      </c>
      <c r="BN28" s="143">
        <v>63380</v>
      </c>
      <c r="BO28" s="143">
        <v>60610</v>
      </c>
      <c r="BP28" s="143">
        <v>60690</v>
      </c>
      <c r="BQ28" s="143">
        <v>61450</v>
      </c>
      <c r="BR28" s="143">
        <v>63030</v>
      </c>
      <c r="BS28" s="143">
        <v>64120</v>
      </c>
      <c r="BT28" s="143">
        <v>65010</v>
      </c>
      <c r="BU28" s="143">
        <v>66930</v>
      </c>
      <c r="BV28" s="143">
        <v>68110</v>
      </c>
      <c r="BW28" s="143">
        <v>68860</v>
      </c>
      <c r="BX28" s="97"/>
      <c r="BY28" s="97"/>
      <c r="BZ28" s="97"/>
      <c r="CA28" s="97"/>
      <c r="CB28" s="97"/>
      <c r="CC28" s="97"/>
      <c r="CD28" s="97"/>
      <c r="CE28" s="97"/>
      <c r="CF28" s="97"/>
    </row>
    <row r="29" spans="1:84">
      <c r="A29" s="114" t="s">
        <v>53</v>
      </c>
      <c r="B29" s="98">
        <v>148871</v>
      </c>
      <c r="C29" s="95">
        <f t="shared" si="9"/>
        <v>157685.5</v>
      </c>
      <c r="D29" s="97">
        <v>166500</v>
      </c>
      <c r="E29" s="97">
        <v>173500</v>
      </c>
      <c r="F29" s="97">
        <v>210000</v>
      </c>
      <c r="G29" s="97">
        <v>226500</v>
      </c>
      <c r="H29" s="95">
        <f t="shared" si="10"/>
        <v>233381.6</v>
      </c>
      <c r="I29" s="97">
        <f t="shared" si="10"/>
        <v>240263.2</v>
      </c>
      <c r="J29" s="97">
        <f t="shared" si="10"/>
        <v>247144.80000000002</v>
      </c>
      <c r="K29" s="97">
        <f t="shared" si="10"/>
        <v>254026.40000000002</v>
      </c>
      <c r="L29" s="97">
        <v>260908</v>
      </c>
      <c r="M29" s="97">
        <v>262661</v>
      </c>
      <c r="N29" s="99">
        <v>270518</v>
      </c>
      <c r="O29" s="97">
        <v>268021</v>
      </c>
      <c r="P29" s="99">
        <v>268493</v>
      </c>
      <c r="Q29" s="97">
        <v>273411</v>
      </c>
      <c r="R29" s="127">
        <v>272500</v>
      </c>
      <c r="S29" s="127">
        <v>266143</v>
      </c>
      <c r="T29" s="127">
        <v>261698</v>
      </c>
      <c r="U29" s="127">
        <v>250708</v>
      </c>
      <c r="V29" s="127">
        <v>249217</v>
      </c>
      <c r="W29" s="97">
        <v>242172</v>
      </c>
      <c r="X29" s="98">
        <v>241343</v>
      </c>
      <c r="Y29" s="98">
        <v>236897</v>
      </c>
      <c r="Z29" s="98">
        <v>232199</v>
      </c>
      <c r="AA29" s="98">
        <v>225448</v>
      </c>
      <c r="AB29" s="98">
        <v>229026</v>
      </c>
      <c r="AC29" s="97">
        <v>237414</v>
      </c>
      <c r="AD29" s="98">
        <v>249617</v>
      </c>
      <c r="AE29" s="98">
        <v>244629</v>
      </c>
      <c r="AF29" s="98">
        <v>236291</v>
      </c>
      <c r="AG29" s="98">
        <v>234164</v>
      </c>
      <c r="AH29" s="98">
        <v>244594</v>
      </c>
      <c r="AI29" s="97">
        <v>249320</v>
      </c>
      <c r="AJ29" s="97">
        <v>253083</v>
      </c>
      <c r="AK29" s="97">
        <v>255200</v>
      </c>
      <c r="AL29" s="97">
        <v>259071</v>
      </c>
      <c r="AM29" s="97">
        <v>269071</v>
      </c>
      <c r="AN29" s="97">
        <v>282897</v>
      </c>
      <c r="AO29" s="97">
        <v>299221</v>
      </c>
      <c r="AP29" s="97">
        <v>309866</v>
      </c>
      <c r="AQ29" s="97">
        <v>315189</v>
      </c>
      <c r="AR29" s="97">
        <v>325895</v>
      </c>
      <c r="AS29" s="97">
        <v>341097</v>
      </c>
      <c r="AT29" s="97">
        <v>343480</v>
      </c>
      <c r="AU29" s="97">
        <v>355217</v>
      </c>
      <c r="AV29" s="97">
        <v>343515</v>
      </c>
      <c r="AW29" s="97">
        <v>356641</v>
      </c>
      <c r="AX29" s="97">
        <v>374561</v>
      </c>
      <c r="AY29" s="97">
        <v>372310</v>
      </c>
      <c r="AZ29" s="97">
        <v>404987</v>
      </c>
      <c r="BA29" s="97">
        <v>410467</v>
      </c>
      <c r="BB29" s="97">
        <v>418664</v>
      </c>
      <c r="BC29" s="97">
        <v>422125</v>
      </c>
      <c r="BD29" s="97">
        <v>399306.51</v>
      </c>
      <c r="BE29" s="97">
        <v>400661.83999999997</v>
      </c>
      <c r="BF29" s="97">
        <v>405899.88</v>
      </c>
      <c r="BG29" s="97">
        <v>429560</v>
      </c>
      <c r="BH29" s="97">
        <v>438739</v>
      </c>
      <c r="BI29" s="97">
        <v>438650</v>
      </c>
      <c r="BJ29" s="97">
        <f>480580-'NCES-Private Grads-all races'!BF28</f>
        <v>432560</v>
      </c>
      <c r="BK29" s="142">
        <v>414180</v>
      </c>
      <c r="BL29" s="143">
        <v>415600</v>
      </c>
      <c r="BM29" s="143">
        <v>415370</v>
      </c>
      <c r="BN29" s="143">
        <v>409660</v>
      </c>
      <c r="BO29" s="143">
        <v>403390</v>
      </c>
      <c r="BP29" s="143">
        <v>394320</v>
      </c>
      <c r="BQ29" s="143">
        <v>394770</v>
      </c>
      <c r="BR29" s="143">
        <v>395410</v>
      </c>
      <c r="BS29" s="143">
        <v>382140</v>
      </c>
      <c r="BT29" s="143">
        <v>384890</v>
      </c>
      <c r="BU29" s="143">
        <v>390060</v>
      </c>
      <c r="BV29" s="143">
        <v>391910</v>
      </c>
      <c r="BW29" s="143">
        <v>403250</v>
      </c>
      <c r="BX29" s="97"/>
      <c r="BY29" s="97"/>
      <c r="BZ29" s="97"/>
      <c r="CA29" s="97"/>
      <c r="CB29" s="97"/>
      <c r="CC29" s="97"/>
      <c r="CD29" s="97"/>
      <c r="CE29" s="97"/>
      <c r="CF29" s="97"/>
    </row>
    <row r="30" spans="1:84">
      <c r="A30" s="114" t="s">
        <v>54</v>
      </c>
      <c r="B30" s="98">
        <v>15848</v>
      </c>
      <c r="C30" s="95">
        <f t="shared" si="9"/>
        <v>16607.5</v>
      </c>
      <c r="D30" s="97">
        <v>17367</v>
      </c>
      <c r="E30" s="97">
        <v>17753</v>
      </c>
      <c r="F30" s="97">
        <v>21914</v>
      </c>
      <c r="G30" s="97">
        <v>26749</v>
      </c>
      <c r="H30" s="95">
        <f t="shared" si="10"/>
        <v>27461.599999999999</v>
      </c>
      <c r="I30" s="97">
        <f t="shared" si="10"/>
        <v>28174.199999999997</v>
      </c>
      <c r="J30" s="97">
        <f t="shared" si="10"/>
        <v>28886.799999999996</v>
      </c>
      <c r="K30" s="97">
        <f t="shared" si="10"/>
        <v>29599.399999999994</v>
      </c>
      <c r="L30" s="97">
        <v>30312</v>
      </c>
      <c r="M30" s="97">
        <v>31910</v>
      </c>
      <c r="N30" s="99">
        <v>33454</v>
      </c>
      <c r="O30" s="97">
        <v>33358</v>
      </c>
      <c r="P30" s="99">
        <v>34353</v>
      </c>
      <c r="Q30" s="97">
        <v>34963</v>
      </c>
      <c r="R30" s="127">
        <v>35555</v>
      </c>
      <c r="S30" s="127">
        <v>36647</v>
      </c>
      <c r="T30" s="127">
        <v>37373</v>
      </c>
      <c r="U30" s="127">
        <v>37234</v>
      </c>
      <c r="V30" s="127">
        <v>36804</v>
      </c>
      <c r="W30" s="97">
        <v>35897</v>
      </c>
      <c r="X30" s="98">
        <v>35494</v>
      </c>
      <c r="Y30" s="98">
        <v>34875</v>
      </c>
      <c r="Z30" s="98">
        <v>32954</v>
      </c>
      <c r="AA30" s="98">
        <v>32255</v>
      </c>
      <c r="AB30" s="98">
        <v>32621</v>
      </c>
      <c r="AC30" s="97">
        <v>34200</v>
      </c>
      <c r="AD30" s="98">
        <v>35977</v>
      </c>
      <c r="AE30" s="98">
        <v>35520</v>
      </c>
      <c r="AF30" s="98">
        <v>32967</v>
      </c>
      <c r="AG30" s="98">
        <v>31293</v>
      </c>
      <c r="AH30" s="98">
        <v>31059</v>
      </c>
      <c r="AI30" s="97">
        <v>31839</v>
      </c>
      <c r="AJ30" s="97">
        <v>31867</v>
      </c>
      <c r="AK30" s="97">
        <v>32409</v>
      </c>
      <c r="AL30" s="97">
        <v>32608</v>
      </c>
      <c r="AM30" s="97">
        <v>34231</v>
      </c>
      <c r="AN30" s="97">
        <v>35794</v>
      </c>
      <c r="AO30" s="97">
        <v>36958</v>
      </c>
      <c r="AP30" s="97">
        <v>38924</v>
      </c>
      <c r="AQ30" s="97">
        <v>39241</v>
      </c>
      <c r="AR30" s="97">
        <v>40760</v>
      </c>
      <c r="AS30" s="97">
        <v>42379</v>
      </c>
      <c r="AT30" s="97">
        <v>44777</v>
      </c>
      <c r="AU30" s="97">
        <v>44532</v>
      </c>
      <c r="AV30" s="97">
        <v>44424</v>
      </c>
      <c r="AW30" s="97">
        <v>45628</v>
      </c>
      <c r="AX30" s="97">
        <v>46082</v>
      </c>
      <c r="AY30" s="97">
        <v>47459</v>
      </c>
      <c r="AZ30" s="97">
        <v>49321</v>
      </c>
      <c r="BA30" s="97">
        <v>50122</v>
      </c>
      <c r="BB30" s="97">
        <v>50087</v>
      </c>
      <c r="BC30" s="97">
        <v>50968</v>
      </c>
      <c r="BD30" s="97">
        <v>47493.120000000003</v>
      </c>
      <c r="BE30" s="97">
        <v>47763.67</v>
      </c>
      <c r="BF30" s="97">
        <v>49837.974000000002</v>
      </c>
      <c r="BG30" s="97">
        <v>55356</v>
      </c>
      <c r="BH30" s="97">
        <v>57879</v>
      </c>
      <c r="BI30" s="97">
        <v>58031</v>
      </c>
      <c r="BJ30" s="97">
        <f>61680-'NCES-Private Grads-all races'!BF29</f>
        <v>58510</v>
      </c>
      <c r="BK30" s="142">
        <v>51000</v>
      </c>
      <c r="BL30" s="143">
        <v>51430</v>
      </c>
      <c r="BM30" s="143">
        <v>52150</v>
      </c>
      <c r="BN30" s="143">
        <v>52110</v>
      </c>
      <c r="BO30" s="143">
        <v>52180</v>
      </c>
      <c r="BP30" s="143">
        <v>53280</v>
      </c>
      <c r="BQ30" s="143">
        <v>54290</v>
      </c>
      <c r="BR30" s="143">
        <v>55930</v>
      </c>
      <c r="BS30" s="143">
        <v>56830</v>
      </c>
      <c r="BT30" s="143">
        <v>57640</v>
      </c>
      <c r="BU30" s="143">
        <v>59260</v>
      </c>
      <c r="BV30" s="143">
        <v>58980</v>
      </c>
      <c r="BW30" s="143">
        <v>59700</v>
      </c>
      <c r="BX30" s="97"/>
      <c r="BY30" s="97"/>
      <c r="BZ30" s="97"/>
      <c r="CA30" s="97"/>
      <c r="CB30" s="97"/>
      <c r="CC30" s="97"/>
      <c r="CD30" s="97"/>
      <c r="CE30" s="97"/>
      <c r="CF30" s="97"/>
    </row>
    <row r="31" spans="1:84">
      <c r="A31" s="114" t="s">
        <v>55</v>
      </c>
      <c r="B31" s="98">
        <v>6287</v>
      </c>
      <c r="C31" s="95">
        <f t="shared" si="9"/>
        <v>7040</v>
      </c>
      <c r="D31" s="97">
        <v>7793</v>
      </c>
      <c r="E31" s="97">
        <v>7730</v>
      </c>
      <c r="F31" s="97">
        <v>8325</v>
      </c>
      <c r="G31" s="97">
        <v>9200</v>
      </c>
      <c r="H31" s="95">
        <f t="shared" si="10"/>
        <v>9441.4</v>
      </c>
      <c r="I31" s="97">
        <f t="shared" si="10"/>
        <v>9682.7999999999993</v>
      </c>
      <c r="J31" s="97">
        <f t="shared" si="10"/>
        <v>9924.1999999999989</v>
      </c>
      <c r="K31" s="97">
        <f t="shared" si="10"/>
        <v>10165.599999999999</v>
      </c>
      <c r="L31" s="97">
        <v>10407</v>
      </c>
      <c r="M31" s="97">
        <v>10471</v>
      </c>
      <c r="N31" s="99">
        <v>11185</v>
      </c>
      <c r="O31" s="97">
        <v>11147</v>
      </c>
      <c r="P31" s="99">
        <v>11426</v>
      </c>
      <c r="Q31" s="97">
        <v>11283</v>
      </c>
      <c r="R31" s="127">
        <v>11284</v>
      </c>
      <c r="S31" s="127">
        <v>11637</v>
      </c>
      <c r="T31" s="127">
        <v>11190</v>
      </c>
      <c r="U31" s="127">
        <v>11637</v>
      </c>
      <c r="V31" s="127">
        <v>11493</v>
      </c>
      <c r="W31" s="97">
        <v>11472</v>
      </c>
      <c r="X31" s="98">
        <v>11563</v>
      </c>
      <c r="Y31" s="98">
        <v>10757</v>
      </c>
      <c r="Z31" s="98">
        <v>10454</v>
      </c>
      <c r="AA31" s="98">
        <v>10092</v>
      </c>
      <c r="AB31" s="98">
        <v>9958</v>
      </c>
      <c r="AC31" s="97">
        <v>10371</v>
      </c>
      <c r="AD31" s="98">
        <v>10575</v>
      </c>
      <c r="AE31" s="98">
        <v>10404</v>
      </c>
      <c r="AF31" s="98">
        <v>10325</v>
      </c>
      <c r="AG31" s="98">
        <v>8974</v>
      </c>
      <c r="AH31" s="98">
        <v>9160</v>
      </c>
      <c r="AI31" s="97">
        <v>8854</v>
      </c>
      <c r="AJ31" s="97">
        <v>9369</v>
      </c>
      <c r="AK31" s="97">
        <v>9407</v>
      </c>
      <c r="AL31" s="97">
        <v>9387</v>
      </c>
      <c r="AM31" s="97">
        <v>8929</v>
      </c>
      <c r="AN31" s="97">
        <v>9670</v>
      </c>
      <c r="AO31" s="97">
        <v>9714</v>
      </c>
      <c r="AP31" s="97">
        <v>10437</v>
      </c>
      <c r="AQ31" s="97">
        <v>10102</v>
      </c>
      <c r="AR31" s="97">
        <v>10452</v>
      </c>
      <c r="AS31" s="97">
        <v>10013</v>
      </c>
      <c r="AT31" s="97">
        <v>10324</v>
      </c>
      <c r="AU31" s="97">
        <v>10813</v>
      </c>
      <c r="AV31" s="97">
        <v>10922</v>
      </c>
      <c r="AW31" s="97">
        <v>11063</v>
      </c>
      <c r="AX31" s="97">
        <v>11613</v>
      </c>
      <c r="AY31" s="97">
        <v>11508</v>
      </c>
      <c r="AZ31" s="97">
        <v>10998</v>
      </c>
      <c r="BA31" s="97">
        <v>10716</v>
      </c>
      <c r="BB31" s="97">
        <v>11360</v>
      </c>
      <c r="BC31" s="97">
        <v>10790</v>
      </c>
      <c r="BD31" s="97">
        <v>10684.715999999999</v>
      </c>
      <c r="BE31" s="97">
        <v>10403.183999999999</v>
      </c>
      <c r="BF31" s="97">
        <v>10644.317000000001</v>
      </c>
      <c r="BG31" s="97">
        <v>10887</v>
      </c>
      <c r="BH31" s="97">
        <v>11370</v>
      </c>
      <c r="BI31" s="97">
        <v>10853</v>
      </c>
      <c r="BJ31" s="97">
        <f>14830-'NCES-Private Grads-all races'!BF30</f>
        <v>11180</v>
      </c>
      <c r="BK31" s="142">
        <v>11090</v>
      </c>
      <c r="BL31" s="143">
        <v>11360</v>
      </c>
      <c r="BM31" s="143">
        <v>11000</v>
      </c>
      <c r="BN31" s="143">
        <v>10900</v>
      </c>
      <c r="BO31" s="143">
        <v>10630</v>
      </c>
      <c r="BP31" s="143">
        <v>10790</v>
      </c>
      <c r="BQ31" s="143">
        <v>10960</v>
      </c>
      <c r="BR31" s="143">
        <v>11070</v>
      </c>
      <c r="BS31" s="143">
        <v>10530</v>
      </c>
      <c r="BT31" s="143">
        <v>11050</v>
      </c>
      <c r="BU31" s="143">
        <v>11190</v>
      </c>
      <c r="BV31" s="143">
        <v>11170</v>
      </c>
      <c r="BW31" s="143">
        <v>11310</v>
      </c>
      <c r="BX31" s="97"/>
      <c r="BY31" s="97"/>
      <c r="BZ31" s="97"/>
      <c r="CA31" s="97"/>
      <c r="CB31" s="97"/>
      <c r="CC31" s="97"/>
      <c r="CD31" s="97"/>
      <c r="CE31" s="97"/>
      <c r="CF31" s="97"/>
    </row>
    <row r="32" spans="1:84">
      <c r="A32" s="114" t="s">
        <v>56</v>
      </c>
      <c r="B32" s="98">
        <v>8179</v>
      </c>
      <c r="C32" s="95">
        <f t="shared" si="9"/>
        <v>8450.5</v>
      </c>
      <c r="D32" s="97">
        <v>8722</v>
      </c>
      <c r="E32" s="97">
        <v>8681</v>
      </c>
      <c r="F32" s="97">
        <v>9247</v>
      </c>
      <c r="G32" s="97">
        <v>11518</v>
      </c>
      <c r="H32" s="95">
        <f t="shared" si="10"/>
        <v>11673.6</v>
      </c>
      <c r="I32" s="97">
        <f t="shared" si="10"/>
        <v>11829.2</v>
      </c>
      <c r="J32" s="97">
        <f t="shared" si="10"/>
        <v>11984.800000000001</v>
      </c>
      <c r="K32" s="97">
        <f t="shared" si="10"/>
        <v>12140.400000000001</v>
      </c>
      <c r="L32" s="97">
        <v>12296</v>
      </c>
      <c r="M32" s="97">
        <v>12360</v>
      </c>
      <c r="N32" s="99">
        <v>12829</v>
      </c>
      <c r="O32" s="97">
        <v>12714</v>
      </c>
      <c r="P32" s="99">
        <v>12776</v>
      </c>
      <c r="Q32" s="97">
        <v>12631</v>
      </c>
      <c r="R32" s="127">
        <v>11940</v>
      </c>
      <c r="S32" s="127">
        <v>13029</v>
      </c>
      <c r="T32" s="127">
        <v>13301</v>
      </c>
      <c r="U32" s="127">
        <v>13432</v>
      </c>
      <c r="V32" s="127">
        <v>13187</v>
      </c>
      <c r="W32" s="97">
        <v>12679</v>
      </c>
      <c r="X32" s="98">
        <v>12560</v>
      </c>
      <c r="Y32" s="98">
        <v>12126</v>
      </c>
      <c r="Z32" s="98">
        <v>11732</v>
      </c>
      <c r="AA32" s="98">
        <v>12148</v>
      </c>
      <c r="AB32" s="98">
        <v>12059</v>
      </c>
      <c r="AC32" s="97">
        <v>12243</v>
      </c>
      <c r="AD32" s="98">
        <v>12425</v>
      </c>
      <c r="AE32" s="98">
        <v>12520</v>
      </c>
      <c r="AF32" s="98">
        <v>11971</v>
      </c>
      <c r="AG32" s="98">
        <v>11961</v>
      </c>
      <c r="AH32" s="98">
        <v>12734</v>
      </c>
      <c r="AI32" s="97">
        <v>12974</v>
      </c>
      <c r="AJ32" s="97">
        <v>13281</v>
      </c>
      <c r="AK32" s="97">
        <v>14198</v>
      </c>
      <c r="AL32" s="97">
        <v>14667</v>
      </c>
      <c r="AM32" s="97">
        <v>15407</v>
      </c>
      <c r="AN32" s="97">
        <v>15523</v>
      </c>
      <c r="AO32" s="97">
        <v>15716</v>
      </c>
      <c r="AP32" s="97">
        <v>16170</v>
      </c>
      <c r="AQ32" s="97">
        <v>15941</v>
      </c>
      <c r="AR32" s="97">
        <v>15874</v>
      </c>
      <c r="AS32" s="97">
        <v>15858</v>
      </c>
      <c r="AT32" s="97">
        <v>15547</v>
      </c>
      <c r="AU32" s="97">
        <v>15768</v>
      </c>
      <c r="AV32" s="97">
        <v>16096</v>
      </c>
      <c r="AW32" s="97">
        <v>16242</v>
      </c>
      <c r="AX32" s="97">
        <v>16567</v>
      </c>
      <c r="AY32" s="97">
        <v>16807</v>
      </c>
      <c r="AZ32" s="97">
        <v>17793</v>
      </c>
      <c r="BA32" s="97">
        <v>17525</v>
      </c>
      <c r="BB32" s="97">
        <v>17568</v>
      </c>
      <c r="BC32" s="97">
        <v>17198</v>
      </c>
      <c r="BD32" s="97">
        <v>17655.32</v>
      </c>
      <c r="BE32" s="97">
        <v>16920.894</v>
      </c>
      <c r="BF32" s="97">
        <v>17440.751</v>
      </c>
      <c r="BG32" s="97">
        <v>18033</v>
      </c>
      <c r="BH32" s="97">
        <v>19247</v>
      </c>
      <c r="BI32" s="97">
        <v>19569</v>
      </c>
      <c r="BJ32" s="97">
        <f>20710-'NCES-Private Grads-all races'!BF31</f>
        <v>19770</v>
      </c>
      <c r="BK32" s="142">
        <v>17440</v>
      </c>
      <c r="BL32" s="143">
        <v>17500</v>
      </c>
      <c r="BM32" s="143">
        <v>17330</v>
      </c>
      <c r="BN32" s="143">
        <v>17620</v>
      </c>
      <c r="BO32" s="143">
        <v>17150</v>
      </c>
      <c r="BP32" s="143">
        <v>17600</v>
      </c>
      <c r="BQ32" s="143">
        <v>18180</v>
      </c>
      <c r="BR32" s="143">
        <v>18340</v>
      </c>
      <c r="BS32" s="143">
        <v>18620</v>
      </c>
      <c r="BT32" s="143">
        <v>18830</v>
      </c>
      <c r="BU32" s="143">
        <v>19070</v>
      </c>
      <c r="BV32" s="143">
        <v>19460</v>
      </c>
      <c r="BW32" s="143">
        <v>20050</v>
      </c>
      <c r="BX32" s="97"/>
      <c r="BY32" s="97"/>
      <c r="BZ32" s="97"/>
      <c r="CA32" s="97"/>
      <c r="CB32" s="97"/>
      <c r="CC32" s="97"/>
      <c r="CD32" s="97"/>
      <c r="CE32" s="97"/>
      <c r="CF32" s="97"/>
    </row>
    <row r="33" spans="1:84">
      <c r="A33" s="114" t="s">
        <v>57</v>
      </c>
      <c r="B33" s="98">
        <v>6974</v>
      </c>
      <c r="C33" s="95">
        <f t="shared" si="9"/>
        <v>7193.5</v>
      </c>
      <c r="D33" s="97">
        <v>7413</v>
      </c>
      <c r="E33" s="97">
        <v>7386</v>
      </c>
      <c r="F33" s="97">
        <v>8370</v>
      </c>
      <c r="G33" s="97">
        <v>9941</v>
      </c>
      <c r="H33" s="95">
        <f t="shared" si="10"/>
        <v>10256.799999999999</v>
      </c>
      <c r="I33" s="97">
        <f t="shared" si="10"/>
        <v>10572.599999999999</v>
      </c>
      <c r="J33" s="97">
        <f t="shared" si="10"/>
        <v>10888.399999999998</v>
      </c>
      <c r="K33" s="97">
        <f t="shared" si="10"/>
        <v>11204.199999999997</v>
      </c>
      <c r="L33" s="97">
        <v>11520</v>
      </c>
      <c r="M33" s="97">
        <v>11500</v>
      </c>
      <c r="N33" s="99">
        <v>10652</v>
      </c>
      <c r="O33" s="97">
        <v>10504</v>
      </c>
      <c r="P33" s="99">
        <v>12135</v>
      </c>
      <c r="Q33" s="97">
        <v>12293</v>
      </c>
      <c r="R33" s="127">
        <v>12136</v>
      </c>
      <c r="S33" s="127">
        <v>12328</v>
      </c>
      <c r="T33" s="127">
        <v>12184</v>
      </c>
      <c r="U33" s="127">
        <v>12068</v>
      </c>
      <c r="V33" s="127">
        <v>12135</v>
      </c>
      <c r="W33" s="97">
        <v>11634</v>
      </c>
      <c r="X33" s="98">
        <v>11162</v>
      </c>
      <c r="Y33" s="98">
        <v>10689</v>
      </c>
      <c r="Z33" s="98">
        <v>10224</v>
      </c>
      <c r="AA33" s="98">
        <v>10016</v>
      </c>
      <c r="AB33" s="98">
        <v>9761</v>
      </c>
      <c r="AC33" s="97">
        <v>10073</v>
      </c>
      <c r="AD33" s="98">
        <v>10311</v>
      </c>
      <c r="AE33" s="98">
        <v>10490</v>
      </c>
      <c r="AF33" s="98">
        <v>9370</v>
      </c>
      <c r="AG33" s="98">
        <v>9013</v>
      </c>
      <c r="AH33" s="98">
        <v>9046</v>
      </c>
      <c r="AI33" s="97">
        <v>9389</v>
      </c>
      <c r="AJ33" s="97">
        <v>9601</v>
      </c>
      <c r="AK33" s="97">
        <v>10134</v>
      </c>
      <c r="AL33" s="97">
        <v>10139</v>
      </c>
      <c r="AM33" s="97">
        <v>10322</v>
      </c>
      <c r="AN33" s="97">
        <v>10656</v>
      </c>
      <c r="AO33" s="97">
        <v>10925</v>
      </c>
      <c r="AP33" s="97">
        <v>10903</v>
      </c>
      <c r="AQ33" s="97">
        <v>10628</v>
      </c>
      <c r="AR33" s="97">
        <v>10554</v>
      </c>
      <c r="AS33" s="97">
        <v>10657</v>
      </c>
      <c r="AT33" s="97">
        <v>10500</v>
      </c>
      <c r="AU33" s="97">
        <v>10335</v>
      </c>
      <c r="AV33" s="97">
        <v>10283</v>
      </c>
      <c r="AW33" s="97">
        <v>10122</v>
      </c>
      <c r="AX33" s="97">
        <v>10396</v>
      </c>
      <c r="AY33" s="97">
        <v>10077</v>
      </c>
      <c r="AZ33" s="97">
        <v>10075</v>
      </c>
      <c r="BA33" s="97">
        <v>9732</v>
      </c>
      <c r="BB33" s="97">
        <v>9750</v>
      </c>
      <c r="BC33" s="97">
        <v>9369</v>
      </c>
      <c r="BD33" s="97">
        <v>9270.1700000000019</v>
      </c>
      <c r="BE33" s="97">
        <v>9156.42</v>
      </c>
      <c r="BF33" s="97">
        <v>9119.8240000000005</v>
      </c>
      <c r="BG33" s="97">
        <v>9303</v>
      </c>
      <c r="BH33" s="97">
        <v>9155</v>
      </c>
      <c r="BI33" s="97">
        <v>9252</v>
      </c>
      <c r="BJ33" s="97">
        <f>9900-'NCES-Private Grads-all races'!BF32</f>
        <v>9260</v>
      </c>
      <c r="BK33" s="142">
        <v>9700</v>
      </c>
      <c r="BL33" s="143">
        <v>9600</v>
      </c>
      <c r="BM33" s="143">
        <v>9260</v>
      </c>
      <c r="BN33" s="143">
        <v>9350</v>
      </c>
      <c r="BO33" s="143">
        <v>9180</v>
      </c>
      <c r="BP33" s="143">
        <v>9190</v>
      </c>
      <c r="BQ33" s="143">
        <v>9280</v>
      </c>
      <c r="BR33" s="143">
        <v>9140</v>
      </c>
      <c r="BS33" s="143">
        <v>9340</v>
      </c>
      <c r="BT33" s="143">
        <v>9350</v>
      </c>
      <c r="BU33" s="143">
        <v>9480</v>
      </c>
      <c r="BV33" s="143">
        <v>9650</v>
      </c>
      <c r="BW33" s="143">
        <v>9610</v>
      </c>
      <c r="BX33" s="97"/>
      <c r="BY33" s="97"/>
      <c r="BZ33" s="97"/>
      <c r="CA33" s="97"/>
      <c r="CB33" s="97"/>
      <c r="CC33" s="97"/>
      <c r="CD33" s="97"/>
      <c r="CE33" s="97"/>
      <c r="CF33" s="97"/>
    </row>
    <row r="34" spans="1:84">
      <c r="A34" s="114" t="s">
        <v>58</v>
      </c>
      <c r="B34" s="98">
        <v>2299</v>
      </c>
      <c r="C34" s="95">
        <f t="shared" si="9"/>
        <v>2468.5</v>
      </c>
      <c r="D34" s="97">
        <v>2638</v>
      </c>
      <c r="E34" s="97">
        <v>2821</v>
      </c>
      <c r="F34" s="97">
        <v>3624</v>
      </c>
      <c r="G34" s="97">
        <v>4751</v>
      </c>
      <c r="H34" s="95">
        <f t="shared" si="10"/>
        <v>4890.6000000000004</v>
      </c>
      <c r="I34" s="97">
        <f t="shared" si="10"/>
        <v>5030.2000000000007</v>
      </c>
      <c r="J34" s="97">
        <f t="shared" si="10"/>
        <v>5169.8000000000011</v>
      </c>
      <c r="K34" s="97">
        <f t="shared" si="10"/>
        <v>5309.4000000000015</v>
      </c>
      <c r="L34" s="97">
        <v>5449</v>
      </c>
      <c r="M34" s="97">
        <v>5899</v>
      </c>
      <c r="N34" s="99">
        <v>6206</v>
      </c>
      <c r="O34" s="97">
        <v>6414</v>
      </c>
      <c r="P34" s="99">
        <v>6960</v>
      </c>
      <c r="Q34" s="97">
        <v>7232</v>
      </c>
      <c r="R34" s="66">
        <v>7566</v>
      </c>
      <c r="S34" s="66">
        <v>7992</v>
      </c>
      <c r="T34" s="66">
        <v>8233</v>
      </c>
      <c r="U34" s="66">
        <v>8319</v>
      </c>
      <c r="V34" s="66">
        <v>8473</v>
      </c>
      <c r="W34" s="97">
        <v>9069</v>
      </c>
      <c r="X34" s="98">
        <v>9240</v>
      </c>
      <c r="Y34" s="98">
        <v>8979</v>
      </c>
      <c r="Z34" s="98">
        <v>8726</v>
      </c>
      <c r="AA34" s="98">
        <v>8572</v>
      </c>
      <c r="AB34" s="98">
        <v>8784</v>
      </c>
      <c r="AC34" s="97">
        <v>9506</v>
      </c>
      <c r="AD34" s="98">
        <v>9404</v>
      </c>
      <c r="AE34" s="98">
        <v>9464</v>
      </c>
      <c r="AF34" s="98">
        <v>9477</v>
      </c>
      <c r="AG34" s="98">
        <v>9370</v>
      </c>
      <c r="AH34" s="98">
        <v>8811</v>
      </c>
      <c r="AI34" s="97">
        <v>9042</v>
      </c>
      <c r="AJ34" s="97">
        <v>9485</v>
      </c>
      <c r="AK34" s="97">
        <v>10038</v>
      </c>
      <c r="AL34" s="97">
        <v>10374</v>
      </c>
      <c r="AM34" s="97">
        <v>12425</v>
      </c>
      <c r="AN34" s="97">
        <v>13052</v>
      </c>
      <c r="AO34" s="97">
        <v>13892</v>
      </c>
      <c r="AP34" s="97">
        <v>14551</v>
      </c>
      <c r="AQ34" s="97">
        <v>15127</v>
      </c>
      <c r="AR34" s="97">
        <v>16270</v>
      </c>
      <c r="AS34" s="97">
        <v>16378</v>
      </c>
      <c r="AT34" s="97">
        <v>15201</v>
      </c>
      <c r="AU34" s="97">
        <v>15740</v>
      </c>
      <c r="AV34" s="97">
        <v>16455</v>
      </c>
      <c r="AW34" s="97">
        <v>17149</v>
      </c>
      <c r="AX34" s="97">
        <v>18815</v>
      </c>
      <c r="AY34" s="97">
        <v>19904</v>
      </c>
      <c r="AZ34" s="97">
        <v>20956</v>
      </c>
      <c r="BA34" s="97">
        <v>21182</v>
      </c>
      <c r="BB34" s="97">
        <v>21891</v>
      </c>
      <c r="BC34" s="97">
        <v>23038</v>
      </c>
      <c r="BD34" s="97">
        <v>23940.699999999997</v>
      </c>
      <c r="BE34" s="97">
        <v>24236.295999999998</v>
      </c>
      <c r="BF34" s="97">
        <v>25322.815999999999</v>
      </c>
      <c r="BG34" s="97">
        <v>29314</v>
      </c>
      <c r="BH34" s="97">
        <v>30051</v>
      </c>
      <c r="BI34" s="97">
        <v>28190</v>
      </c>
      <c r="BJ34" s="97">
        <f>30290-'NCES-Private Grads-all races'!BF33</f>
        <v>28710</v>
      </c>
      <c r="BK34" s="142">
        <v>23460</v>
      </c>
      <c r="BL34" s="143">
        <v>24360</v>
      </c>
      <c r="BM34" s="143">
        <v>24350</v>
      </c>
      <c r="BN34" s="143">
        <v>23820</v>
      </c>
      <c r="BO34" s="143">
        <v>23630</v>
      </c>
      <c r="BP34" s="143">
        <v>24030</v>
      </c>
      <c r="BQ34" s="143">
        <v>24580</v>
      </c>
      <c r="BR34" s="143">
        <v>24560</v>
      </c>
      <c r="BS34" s="143">
        <v>25240</v>
      </c>
      <c r="BT34" s="143">
        <v>25130</v>
      </c>
      <c r="BU34" s="143">
        <v>25000</v>
      </c>
      <c r="BV34" s="143">
        <v>25100</v>
      </c>
      <c r="BW34" s="143">
        <v>25570</v>
      </c>
      <c r="BX34" s="97"/>
      <c r="BY34" s="97"/>
      <c r="BZ34" s="97"/>
      <c r="CA34" s="97"/>
      <c r="CB34" s="97"/>
      <c r="CC34" s="97"/>
      <c r="CD34" s="97"/>
      <c r="CE34" s="97"/>
      <c r="CF34" s="97"/>
    </row>
    <row r="35" spans="1:84">
      <c r="A35" s="114" t="s">
        <v>59</v>
      </c>
      <c r="B35" s="98">
        <v>8211</v>
      </c>
      <c r="C35" s="95">
        <f t="shared" si="9"/>
        <v>8591</v>
      </c>
      <c r="D35" s="97">
        <v>8971</v>
      </c>
      <c r="E35" s="97">
        <v>8852</v>
      </c>
      <c r="F35" s="97">
        <v>10665</v>
      </c>
      <c r="G35" s="97">
        <v>13453</v>
      </c>
      <c r="H35" s="95">
        <f t="shared" si="10"/>
        <v>13974.4</v>
      </c>
      <c r="I35" s="97">
        <f t="shared" si="10"/>
        <v>14495.8</v>
      </c>
      <c r="J35" s="97">
        <f t="shared" si="10"/>
        <v>15017.199999999999</v>
      </c>
      <c r="K35" s="97">
        <f t="shared" si="10"/>
        <v>15538.599999999999</v>
      </c>
      <c r="L35" s="97">
        <v>16060</v>
      </c>
      <c r="M35" s="97">
        <v>16261</v>
      </c>
      <c r="N35" s="99">
        <v>16999</v>
      </c>
      <c r="O35" s="97">
        <v>17248</v>
      </c>
      <c r="P35" s="99">
        <v>17364</v>
      </c>
      <c r="Q35" s="97">
        <v>18438</v>
      </c>
      <c r="R35" s="127">
        <v>17843</v>
      </c>
      <c r="S35" s="127">
        <v>17988</v>
      </c>
      <c r="T35" s="127">
        <v>18444</v>
      </c>
      <c r="U35" s="127">
        <v>18762</v>
      </c>
      <c r="V35" s="127">
        <v>18424</v>
      </c>
      <c r="W35" s="97">
        <v>17915</v>
      </c>
      <c r="X35" s="98">
        <v>17635</v>
      </c>
      <c r="Y35" s="98">
        <v>16530</v>
      </c>
      <c r="Z35" s="98">
        <v>15914</v>
      </c>
      <c r="AA35" s="98">
        <v>15622</v>
      </c>
      <c r="AB35" s="98">
        <v>15468</v>
      </c>
      <c r="AC35" s="97">
        <v>15701</v>
      </c>
      <c r="AD35" s="98">
        <v>15868</v>
      </c>
      <c r="AE35" s="98">
        <v>15481</v>
      </c>
      <c r="AF35" s="98">
        <v>14884</v>
      </c>
      <c r="AG35" s="98">
        <v>15157</v>
      </c>
      <c r="AH35" s="98">
        <v>14824</v>
      </c>
      <c r="AI35" s="97">
        <v>15172</v>
      </c>
      <c r="AJ35" s="97">
        <v>14892</v>
      </c>
      <c r="AK35" s="97">
        <v>14928</v>
      </c>
      <c r="AL35" s="97">
        <v>15402</v>
      </c>
      <c r="AM35" s="97">
        <v>15700</v>
      </c>
      <c r="AN35" s="97">
        <v>16529</v>
      </c>
      <c r="AO35" s="97">
        <v>17317</v>
      </c>
      <c r="AP35" s="97">
        <v>18031</v>
      </c>
      <c r="AQ35" s="97">
        <v>18199</v>
      </c>
      <c r="AR35" s="97">
        <v>18094</v>
      </c>
      <c r="AS35" s="97">
        <v>16923</v>
      </c>
      <c r="AT35" s="97">
        <v>17892</v>
      </c>
      <c r="AU35" s="97">
        <v>17353</v>
      </c>
      <c r="AV35" s="97">
        <v>17822</v>
      </c>
      <c r="AW35" s="97">
        <v>16131</v>
      </c>
      <c r="AX35" s="97">
        <v>18264</v>
      </c>
      <c r="AY35" s="97">
        <v>17931</v>
      </c>
      <c r="AZ35" s="97">
        <v>18595</v>
      </c>
      <c r="BA35" s="97">
        <v>19352</v>
      </c>
      <c r="BB35" s="97">
        <v>20315</v>
      </c>
      <c r="BC35" s="97">
        <v>19232</v>
      </c>
      <c r="BD35" s="97">
        <v>17409.960000000003</v>
      </c>
      <c r="BE35" s="97">
        <v>17742.018</v>
      </c>
      <c r="BF35" s="97">
        <v>18407.46</v>
      </c>
      <c r="BG35" s="97">
        <v>20243</v>
      </c>
      <c r="BH35" s="97">
        <v>20722</v>
      </c>
      <c r="BI35" s="97">
        <v>19775</v>
      </c>
      <c r="BJ35" s="97">
        <f>20650-'NCES-Private Grads-all races'!BF34</f>
        <v>19620</v>
      </c>
      <c r="BK35" s="142">
        <v>18900</v>
      </c>
      <c r="BL35" s="143">
        <v>18980</v>
      </c>
      <c r="BM35" s="143">
        <v>18470</v>
      </c>
      <c r="BN35" s="143">
        <v>18130</v>
      </c>
      <c r="BO35" s="143">
        <v>18310</v>
      </c>
      <c r="BP35" s="143">
        <v>18280</v>
      </c>
      <c r="BQ35" s="143">
        <v>18850</v>
      </c>
      <c r="BR35" s="143">
        <v>18980</v>
      </c>
      <c r="BS35" s="143">
        <v>19140</v>
      </c>
      <c r="BT35" s="143">
        <v>19170</v>
      </c>
      <c r="BU35" s="143">
        <v>19190</v>
      </c>
      <c r="BV35" s="143">
        <v>19440</v>
      </c>
      <c r="BW35" s="143">
        <v>19580</v>
      </c>
      <c r="BX35" s="97"/>
      <c r="BY35" s="97"/>
      <c r="BZ35" s="97"/>
      <c r="CA35" s="97"/>
      <c r="CB35" s="97"/>
      <c r="CC35" s="97"/>
      <c r="CD35" s="97"/>
      <c r="CE35" s="97"/>
      <c r="CF35" s="97"/>
    </row>
    <row r="36" spans="1:84">
      <c r="A36" s="114" t="s">
        <v>60</v>
      </c>
      <c r="B36" s="98">
        <v>20105</v>
      </c>
      <c r="C36" s="95">
        <f t="shared" si="9"/>
        <v>20116</v>
      </c>
      <c r="D36" s="97">
        <v>20127</v>
      </c>
      <c r="E36" s="97">
        <v>20872</v>
      </c>
      <c r="F36" s="97">
        <v>24552</v>
      </c>
      <c r="G36" s="97">
        <v>29988</v>
      </c>
      <c r="H36" s="95">
        <f t="shared" si="10"/>
        <v>30437.599999999999</v>
      </c>
      <c r="I36" s="97">
        <f t="shared" si="10"/>
        <v>30887.199999999997</v>
      </c>
      <c r="J36" s="97">
        <f t="shared" si="10"/>
        <v>31336.799999999996</v>
      </c>
      <c r="K36" s="97">
        <f t="shared" si="10"/>
        <v>31786.399999999994</v>
      </c>
      <c r="L36" s="97">
        <v>32236</v>
      </c>
      <c r="M36" s="97">
        <v>32757</v>
      </c>
      <c r="N36" s="99">
        <v>31882</v>
      </c>
      <c r="O36" s="97">
        <v>31221</v>
      </c>
      <c r="P36" s="99">
        <v>30806</v>
      </c>
      <c r="Q36" s="97">
        <v>30668</v>
      </c>
      <c r="R36" s="127">
        <v>30561</v>
      </c>
      <c r="S36" s="127">
        <v>30258</v>
      </c>
      <c r="T36" s="127">
        <v>29998</v>
      </c>
      <c r="U36" s="127">
        <v>30228</v>
      </c>
      <c r="V36" s="127">
        <v>29939</v>
      </c>
      <c r="W36" s="97">
        <v>28729</v>
      </c>
      <c r="X36" s="98">
        <v>28780</v>
      </c>
      <c r="Y36" s="98">
        <v>28099</v>
      </c>
      <c r="Z36" s="98">
        <v>27214</v>
      </c>
      <c r="AA36" s="98">
        <v>26870</v>
      </c>
      <c r="AB36" s="98">
        <v>26286</v>
      </c>
      <c r="AC36" s="97">
        <v>27165</v>
      </c>
      <c r="AD36" s="98">
        <v>28058</v>
      </c>
      <c r="AE36" s="98">
        <v>26903</v>
      </c>
      <c r="AF36" s="98">
        <v>25473</v>
      </c>
      <c r="AG36" s="98">
        <v>24597</v>
      </c>
      <c r="AH36" s="98">
        <v>25305</v>
      </c>
      <c r="AI36" s="97">
        <v>26301</v>
      </c>
      <c r="AJ36" s="97">
        <v>26338</v>
      </c>
      <c r="AK36" s="97">
        <v>26713</v>
      </c>
      <c r="AL36" s="97">
        <v>26570</v>
      </c>
      <c r="AM36" s="97">
        <v>27720</v>
      </c>
      <c r="AN36" s="97">
        <v>27754</v>
      </c>
      <c r="AO36" s="97">
        <v>28245</v>
      </c>
      <c r="AP36" s="97">
        <v>30151</v>
      </c>
      <c r="AQ36" s="97">
        <v>29939</v>
      </c>
      <c r="AR36" s="97">
        <v>31153</v>
      </c>
      <c r="AS36" s="97">
        <v>32587</v>
      </c>
      <c r="AT36" s="97">
        <v>32958</v>
      </c>
      <c r="AU36" s="97">
        <v>32602</v>
      </c>
      <c r="AV36" s="97">
        <v>32394</v>
      </c>
      <c r="AW36" s="97">
        <v>33446</v>
      </c>
      <c r="AX36" s="97">
        <v>34949</v>
      </c>
      <c r="AY36" s="97">
        <v>35138</v>
      </c>
      <c r="AZ36" s="97">
        <v>34671</v>
      </c>
      <c r="BA36" s="97">
        <v>34723</v>
      </c>
      <c r="BB36" s="97">
        <v>34261</v>
      </c>
      <c r="BC36" s="97">
        <v>33899</v>
      </c>
      <c r="BD36" s="97">
        <v>32885.279999999999</v>
      </c>
      <c r="BE36" s="97">
        <v>33336.197999999997</v>
      </c>
      <c r="BF36" s="97">
        <v>34664.563999999998</v>
      </c>
      <c r="BG36" s="97">
        <v>37676</v>
      </c>
      <c r="BH36" s="97">
        <v>38367</v>
      </c>
      <c r="BI36" s="97">
        <v>38738</v>
      </c>
      <c r="BJ36" s="97">
        <f>40920-'NCES-Private Grads-all races'!BF35</f>
        <v>37980</v>
      </c>
      <c r="BK36" s="142">
        <v>34690</v>
      </c>
      <c r="BL36" s="143">
        <v>34460</v>
      </c>
      <c r="BM36" s="143">
        <v>34010</v>
      </c>
      <c r="BN36" s="143">
        <v>34160</v>
      </c>
      <c r="BO36" s="143">
        <v>33650</v>
      </c>
      <c r="BP36" s="143">
        <v>34300</v>
      </c>
      <c r="BQ36" s="143">
        <v>34260</v>
      </c>
      <c r="BR36" s="143">
        <v>34430</v>
      </c>
      <c r="BS36" s="143">
        <v>34370</v>
      </c>
      <c r="BT36" s="143">
        <v>33820</v>
      </c>
      <c r="BU36" s="143">
        <v>34430</v>
      </c>
      <c r="BV36" s="143">
        <v>34630</v>
      </c>
      <c r="BW36" s="143">
        <v>34580</v>
      </c>
      <c r="BX36" s="97"/>
      <c r="BY36" s="97"/>
      <c r="BZ36" s="97"/>
      <c r="CA36" s="97"/>
      <c r="CB36" s="97"/>
      <c r="CC36" s="97"/>
      <c r="CD36" s="97"/>
      <c r="CE36" s="97"/>
      <c r="CF36" s="97"/>
    </row>
    <row r="37" spans="1:84">
      <c r="A37" s="114" t="s">
        <v>61</v>
      </c>
      <c r="B37" s="98">
        <v>11270</v>
      </c>
      <c r="C37" s="95">
        <f t="shared" si="9"/>
        <v>11700</v>
      </c>
      <c r="D37" s="97">
        <v>12130</v>
      </c>
      <c r="E37" s="97">
        <v>11833</v>
      </c>
      <c r="F37" s="97">
        <v>12745</v>
      </c>
      <c r="G37" s="97">
        <v>16694</v>
      </c>
      <c r="H37" s="95">
        <f t="shared" si="10"/>
        <v>17034.2</v>
      </c>
      <c r="I37" s="97">
        <f t="shared" si="10"/>
        <v>17374.400000000001</v>
      </c>
      <c r="J37" s="97">
        <f t="shared" si="10"/>
        <v>17714.600000000002</v>
      </c>
      <c r="K37" s="97">
        <f t="shared" si="10"/>
        <v>18054.800000000003</v>
      </c>
      <c r="L37" s="97">
        <v>18395</v>
      </c>
      <c r="M37" s="97">
        <v>19097</v>
      </c>
      <c r="N37" s="99">
        <v>18971</v>
      </c>
      <c r="O37" s="97">
        <v>18993</v>
      </c>
      <c r="P37" s="99">
        <v>18901</v>
      </c>
      <c r="Q37" s="97">
        <v>19532</v>
      </c>
      <c r="R37" s="127">
        <v>19673</v>
      </c>
      <c r="S37" s="127">
        <v>19743</v>
      </c>
      <c r="T37" s="127">
        <v>20324</v>
      </c>
      <c r="U37" s="127">
        <v>20045</v>
      </c>
      <c r="V37" s="127">
        <v>20035</v>
      </c>
      <c r="W37" s="97">
        <v>19886</v>
      </c>
      <c r="X37" s="98">
        <v>19400</v>
      </c>
      <c r="Y37" s="98">
        <v>19210</v>
      </c>
      <c r="Z37" s="98">
        <v>19350</v>
      </c>
      <c r="AA37" s="98">
        <v>19606</v>
      </c>
      <c r="AB37" s="98">
        <v>19774</v>
      </c>
      <c r="AC37" s="97">
        <v>20930</v>
      </c>
      <c r="AD37" s="98">
        <v>22226</v>
      </c>
      <c r="AE37" s="98">
        <v>22934</v>
      </c>
      <c r="AF37" s="98">
        <v>21196</v>
      </c>
      <c r="AG37" s="98">
        <v>22219</v>
      </c>
      <c r="AH37" s="98">
        <v>23513</v>
      </c>
      <c r="AI37" s="97">
        <v>24197</v>
      </c>
      <c r="AJ37" s="97">
        <v>26407</v>
      </c>
      <c r="AK37" s="97">
        <v>27670</v>
      </c>
      <c r="AL37" s="97">
        <v>26293</v>
      </c>
      <c r="AM37" s="97">
        <v>30753</v>
      </c>
      <c r="AN37" s="97">
        <v>31567</v>
      </c>
      <c r="AO37" s="97">
        <v>31574</v>
      </c>
      <c r="AP37" s="97">
        <v>32501</v>
      </c>
      <c r="AQ37" s="97">
        <v>31036</v>
      </c>
      <c r="AR37" s="97">
        <v>30183</v>
      </c>
      <c r="AS37" s="97">
        <v>29527</v>
      </c>
      <c r="AT37" s="97">
        <v>30252</v>
      </c>
      <c r="AU37" s="97">
        <v>30253</v>
      </c>
      <c r="AV37" s="97">
        <v>29050</v>
      </c>
      <c r="AW37" s="97">
        <v>28276</v>
      </c>
      <c r="AX37" s="97">
        <v>28167</v>
      </c>
      <c r="AY37" s="97">
        <v>30463</v>
      </c>
      <c r="AZ37" s="97">
        <v>31481</v>
      </c>
      <c r="BA37" s="97">
        <v>30888</v>
      </c>
      <c r="BB37" s="97">
        <v>31157</v>
      </c>
      <c r="BC37" s="97">
        <v>33186</v>
      </c>
      <c r="BD37" s="97">
        <v>35724.620000000003</v>
      </c>
      <c r="BE37" s="97">
        <v>36862.559999999998</v>
      </c>
      <c r="BF37" s="97">
        <v>38232.648000000001</v>
      </c>
      <c r="BG37" s="97">
        <v>40498</v>
      </c>
      <c r="BH37" s="97">
        <v>41781</v>
      </c>
      <c r="BI37" s="97">
        <v>42555</v>
      </c>
      <c r="BJ37" s="97">
        <f>44950-'NCES-Private Grads-all races'!BF36</f>
        <v>43220</v>
      </c>
      <c r="BK37" s="142">
        <v>30850</v>
      </c>
      <c r="BL37" s="143">
        <v>31620</v>
      </c>
      <c r="BM37" s="143">
        <v>31990</v>
      </c>
      <c r="BN37" s="143">
        <v>32350</v>
      </c>
      <c r="BO37" s="143">
        <v>33390</v>
      </c>
      <c r="BP37" s="143">
        <v>34850</v>
      </c>
      <c r="BQ37" s="143">
        <v>36000</v>
      </c>
      <c r="BR37" s="143">
        <v>37100</v>
      </c>
      <c r="BS37" s="143">
        <v>37410</v>
      </c>
      <c r="BT37" s="143">
        <v>38020</v>
      </c>
      <c r="BU37" s="143">
        <v>39330</v>
      </c>
      <c r="BV37" s="143">
        <v>40120</v>
      </c>
      <c r="BW37" s="143">
        <v>40350</v>
      </c>
      <c r="BX37" s="97"/>
      <c r="BY37" s="97"/>
      <c r="BZ37" s="97"/>
      <c r="CA37" s="97"/>
      <c r="CB37" s="97"/>
      <c r="CC37" s="97"/>
      <c r="CD37" s="97"/>
      <c r="CE37" s="97"/>
      <c r="CF37" s="97"/>
    </row>
    <row r="38" spans="1:84">
      <c r="A38" s="114" t="s">
        <v>62</v>
      </c>
      <c r="B38" s="98">
        <v>29695</v>
      </c>
      <c r="C38" s="95">
        <f t="shared" si="9"/>
        <v>31459</v>
      </c>
      <c r="D38" s="97">
        <v>33223</v>
      </c>
      <c r="E38" s="97">
        <v>33141</v>
      </c>
      <c r="F38" s="97">
        <v>38619</v>
      </c>
      <c r="G38" s="97">
        <v>47651</v>
      </c>
      <c r="H38" s="95">
        <f t="shared" si="10"/>
        <v>48205.8</v>
      </c>
      <c r="I38" s="97">
        <f t="shared" si="10"/>
        <v>48760.600000000006</v>
      </c>
      <c r="J38" s="97">
        <f t="shared" si="10"/>
        <v>49315.400000000009</v>
      </c>
      <c r="K38" s="97">
        <f t="shared" si="10"/>
        <v>49870.200000000012</v>
      </c>
      <c r="L38" s="97">
        <v>50425</v>
      </c>
      <c r="M38" s="97">
        <v>50902</v>
      </c>
      <c r="N38" s="99">
        <v>51563</v>
      </c>
      <c r="O38" s="97">
        <v>50988</v>
      </c>
      <c r="P38" s="99">
        <v>51868</v>
      </c>
      <c r="Q38" s="97">
        <v>50990</v>
      </c>
      <c r="R38" s="127">
        <v>51012</v>
      </c>
      <c r="S38" s="127">
        <v>50876</v>
      </c>
      <c r="T38" s="127">
        <v>51101</v>
      </c>
      <c r="U38" s="127">
        <v>51108</v>
      </c>
      <c r="V38" s="127">
        <v>50402</v>
      </c>
      <c r="W38" s="97">
        <v>50046</v>
      </c>
      <c r="X38" s="98">
        <v>50148</v>
      </c>
      <c r="Y38" s="98">
        <v>45809</v>
      </c>
      <c r="Z38" s="98">
        <v>44919</v>
      </c>
      <c r="AA38" s="98">
        <v>45431</v>
      </c>
      <c r="AB38" s="98">
        <v>45805</v>
      </c>
      <c r="AC38" s="97">
        <v>49873</v>
      </c>
      <c r="AD38" s="98">
        <v>51754</v>
      </c>
      <c r="AE38" s="98">
        <v>48941</v>
      </c>
      <c r="AF38" s="98">
        <v>45941</v>
      </c>
      <c r="AG38" s="98">
        <v>42514</v>
      </c>
      <c r="AH38" s="98">
        <v>44381</v>
      </c>
      <c r="AI38" s="97">
        <v>45262</v>
      </c>
      <c r="AJ38" s="97">
        <v>47235</v>
      </c>
      <c r="AK38" s="97">
        <v>49294</v>
      </c>
      <c r="AL38" s="97">
        <v>49862</v>
      </c>
      <c r="AM38" s="97">
        <v>51609</v>
      </c>
      <c r="AN38" s="97">
        <v>53679</v>
      </c>
      <c r="AO38" s="97">
        <v>55418</v>
      </c>
      <c r="AP38" s="97">
        <v>57597</v>
      </c>
      <c r="AQ38" s="97">
        <v>55081</v>
      </c>
      <c r="AR38" s="97">
        <v>58311</v>
      </c>
      <c r="AS38" s="97">
        <v>60435</v>
      </c>
      <c r="AT38" s="97">
        <v>61274</v>
      </c>
      <c r="AU38" s="97">
        <v>61094</v>
      </c>
      <c r="AV38" s="97">
        <v>60213</v>
      </c>
      <c r="AW38" s="97">
        <v>62801</v>
      </c>
      <c r="AX38" s="97">
        <v>61625</v>
      </c>
      <c r="AY38" s="97">
        <v>62764</v>
      </c>
      <c r="AZ38" s="97">
        <v>66046</v>
      </c>
      <c r="BA38" s="97">
        <v>66453</v>
      </c>
      <c r="BB38" s="97">
        <v>65205</v>
      </c>
      <c r="BC38" s="97">
        <v>66066</v>
      </c>
      <c r="BD38" s="97">
        <v>66308.126000000004</v>
      </c>
      <c r="BE38" s="97">
        <v>62562.346000000005</v>
      </c>
      <c r="BF38" s="97">
        <v>64030.98</v>
      </c>
      <c r="BG38" s="97">
        <v>69323</v>
      </c>
      <c r="BH38" s="97">
        <v>70470</v>
      </c>
      <c r="BI38" s="97">
        <v>73121</v>
      </c>
      <c r="BJ38" s="97">
        <f>73660-'NCES-Private Grads-all races'!BF37</f>
        <v>69840</v>
      </c>
      <c r="BK38" s="142">
        <v>65830</v>
      </c>
      <c r="BL38" s="143">
        <v>66140</v>
      </c>
      <c r="BM38" s="143">
        <v>66350</v>
      </c>
      <c r="BN38" s="143">
        <v>65080</v>
      </c>
      <c r="BO38" s="143">
        <v>64260</v>
      </c>
      <c r="BP38" s="143">
        <v>64660</v>
      </c>
      <c r="BQ38" s="143">
        <v>65130</v>
      </c>
      <c r="BR38" s="143">
        <v>65600</v>
      </c>
      <c r="BS38" s="143">
        <v>65410</v>
      </c>
      <c r="BT38" s="143">
        <v>64330</v>
      </c>
      <c r="BU38" s="143">
        <v>65480</v>
      </c>
      <c r="BV38" s="143">
        <v>66110</v>
      </c>
      <c r="BW38" s="143">
        <v>66430</v>
      </c>
      <c r="BX38" s="97"/>
      <c r="BY38" s="97"/>
      <c r="BZ38" s="97"/>
      <c r="CA38" s="97"/>
      <c r="CB38" s="97"/>
      <c r="CC38" s="97"/>
      <c r="CD38" s="97"/>
      <c r="CE38" s="97"/>
      <c r="CF38" s="97"/>
    </row>
    <row r="39" spans="1:84">
      <c r="A39" s="438" t="s">
        <v>63</v>
      </c>
      <c r="B39" s="434">
        <v>3759</v>
      </c>
      <c r="C39" s="116">
        <f t="shared" si="9"/>
        <v>3836</v>
      </c>
      <c r="D39" s="435">
        <v>3913</v>
      </c>
      <c r="E39" s="435">
        <v>3741</v>
      </c>
      <c r="F39" s="435">
        <v>4005</v>
      </c>
      <c r="G39" s="435">
        <v>5226</v>
      </c>
      <c r="H39" s="116">
        <f t="shared" si="10"/>
        <v>5253.4</v>
      </c>
      <c r="I39" s="435">
        <f t="shared" si="10"/>
        <v>5280.7999999999993</v>
      </c>
      <c r="J39" s="435">
        <f t="shared" si="10"/>
        <v>5308.1999999999989</v>
      </c>
      <c r="K39" s="435">
        <f t="shared" si="10"/>
        <v>5335.5999999999985</v>
      </c>
      <c r="L39" s="435">
        <v>5363</v>
      </c>
      <c r="M39" s="435">
        <v>5635</v>
      </c>
      <c r="N39" s="101">
        <v>5778</v>
      </c>
      <c r="O39" s="435">
        <v>5653</v>
      </c>
      <c r="P39" s="101">
        <v>5760</v>
      </c>
      <c r="Q39" s="435">
        <v>5648</v>
      </c>
      <c r="R39" s="436">
        <v>5757</v>
      </c>
      <c r="S39" s="436">
        <v>5861</v>
      </c>
      <c r="T39" s="436">
        <v>6074</v>
      </c>
      <c r="U39" s="436">
        <v>5982</v>
      </c>
      <c r="V39" s="436">
        <v>6072</v>
      </c>
      <c r="W39" s="435">
        <v>6161</v>
      </c>
      <c r="X39" s="434">
        <v>5999</v>
      </c>
      <c r="Y39" s="434">
        <v>5909</v>
      </c>
      <c r="Z39" s="434">
        <v>5764</v>
      </c>
      <c r="AA39" s="434">
        <v>5687</v>
      </c>
      <c r="AB39" s="434">
        <v>5587</v>
      </c>
      <c r="AC39" s="435">
        <v>5933</v>
      </c>
      <c r="AD39" s="434">
        <v>6148</v>
      </c>
      <c r="AE39" s="434">
        <v>6079</v>
      </c>
      <c r="AF39" s="434">
        <v>5823</v>
      </c>
      <c r="AG39" s="434">
        <v>5728</v>
      </c>
      <c r="AH39" s="434">
        <v>5818</v>
      </c>
      <c r="AI39" s="435">
        <v>6174</v>
      </c>
      <c r="AJ39" s="435">
        <v>5997</v>
      </c>
      <c r="AK39" s="435">
        <v>5889</v>
      </c>
      <c r="AL39" s="435">
        <v>5892</v>
      </c>
      <c r="AM39" s="435">
        <v>6381</v>
      </c>
      <c r="AN39" s="435">
        <v>6427</v>
      </c>
      <c r="AO39" s="435">
        <v>6348</v>
      </c>
      <c r="AP39" s="435">
        <v>6462</v>
      </c>
      <c r="AQ39" s="435">
        <v>6071</v>
      </c>
      <c r="AR39" s="435">
        <v>6106</v>
      </c>
      <c r="AS39" s="435">
        <v>5845</v>
      </c>
      <c r="AT39" s="435">
        <v>5833</v>
      </c>
      <c r="AU39" s="435">
        <v>5616</v>
      </c>
      <c r="AV39" s="435">
        <v>5527</v>
      </c>
      <c r="AW39" s="435">
        <v>5441</v>
      </c>
      <c r="AX39" s="435">
        <v>5494</v>
      </c>
      <c r="AY39" s="435">
        <v>5493</v>
      </c>
      <c r="AZ39" s="435">
        <v>5695</v>
      </c>
      <c r="BA39" s="435">
        <v>5600</v>
      </c>
      <c r="BB39" s="435">
        <v>5553</v>
      </c>
      <c r="BC39" s="435">
        <v>5489</v>
      </c>
      <c r="BD39" s="435">
        <v>5428.1159999999991</v>
      </c>
      <c r="BE39" s="435">
        <v>5446.3239999999996</v>
      </c>
      <c r="BF39" s="435">
        <v>5614.4000000000005</v>
      </c>
      <c r="BG39" s="435">
        <v>5541</v>
      </c>
      <c r="BH39" s="435">
        <v>5637</v>
      </c>
      <c r="BI39" s="435">
        <v>5692</v>
      </c>
      <c r="BJ39" s="435">
        <f>5650-'NCES-Private Grads-all races'!BF38</f>
        <v>5590</v>
      </c>
      <c r="BK39" s="439">
        <v>5600</v>
      </c>
      <c r="BL39" s="440">
        <v>5550</v>
      </c>
      <c r="BM39" s="440">
        <v>5440</v>
      </c>
      <c r="BN39" s="440">
        <v>5390</v>
      </c>
      <c r="BO39" s="440">
        <v>5530</v>
      </c>
      <c r="BP39" s="440">
        <v>5630</v>
      </c>
      <c r="BQ39" s="440">
        <v>5700</v>
      </c>
      <c r="BR39" s="440">
        <v>5770</v>
      </c>
      <c r="BS39" s="440">
        <v>5780</v>
      </c>
      <c r="BT39" s="440">
        <v>5870</v>
      </c>
      <c r="BU39" s="440">
        <v>6160</v>
      </c>
      <c r="BV39" s="440">
        <v>6190</v>
      </c>
      <c r="BW39" s="440">
        <v>6470</v>
      </c>
      <c r="BX39" s="97"/>
      <c r="BY39" s="97"/>
      <c r="BZ39" s="97"/>
      <c r="CA39" s="97"/>
      <c r="CB39" s="97"/>
      <c r="CC39" s="97"/>
      <c r="CD39" s="97"/>
      <c r="CE39" s="97"/>
      <c r="CF39" s="97"/>
    </row>
    <row r="40" spans="1:84">
      <c r="A40" s="113" t="s">
        <v>64</v>
      </c>
      <c r="B40" s="95">
        <f>SUM(B42:B53)</f>
        <v>488747</v>
      </c>
      <c r="C40" s="95">
        <f t="shared" ref="C40:BW40" si="11">SUM(C42:C53)</f>
        <v>492642.5</v>
      </c>
      <c r="D40" s="95">
        <f t="shared" si="11"/>
        <v>496538</v>
      </c>
      <c r="E40" s="95">
        <f t="shared" si="11"/>
        <v>498876</v>
      </c>
      <c r="F40" s="95">
        <f t="shared" si="11"/>
        <v>577101</v>
      </c>
      <c r="G40" s="95">
        <f t="shared" si="11"/>
        <v>688585</v>
      </c>
      <c r="H40" s="95">
        <f t="shared" si="11"/>
        <v>703725.60000000009</v>
      </c>
      <c r="I40" s="95">
        <f t="shared" si="11"/>
        <v>718866.2</v>
      </c>
      <c r="J40" s="95">
        <f t="shared" si="11"/>
        <v>734006.80000000016</v>
      </c>
      <c r="K40" s="95">
        <f t="shared" si="11"/>
        <v>749147.39999999991</v>
      </c>
      <c r="L40" s="95">
        <f t="shared" si="11"/>
        <v>764288</v>
      </c>
      <c r="M40" s="95">
        <f t="shared" si="11"/>
        <v>782959</v>
      </c>
      <c r="N40" s="95">
        <f t="shared" si="11"/>
        <v>791822</v>
      </c>
      <c r="O40" s="95">
        <f t="shared" si="11"/>
        <v>809503</v>
      </c>
      <c r="P40" s="95">
        <f t="shared" si="11"/>
        <v>818072</v>
      </c>
      <c r="Q40" s="95">
        <f t="shared" si="11"/>
        <v>829124</v>
      </c>
      <c r="R40" s="95">
        <f t="shared" si="11"/>
        <v>832378</v>
      </c>
      <c r="S40" s="95">
        <f t="shared" si="11"/>
        <v>837142</v>
      </c>
      <c r="T40" s="95">
        <f t="shared" si="11"/>
        <v>825249</v>
      </c>
      <c r="U40" s="95">
        <f t="shared" si="11"/>
        <v>818443</v>
      </c>
      <c r="V40" s="95">
        <f t="shared" si="11"/>
        <v>791074</v>
      </c>
      <c r="W40" s="95">
        <f t="shared" si="11"/>
        <v>784071</v>
      </c>
      <c r="X40" s="95">
        <f t="shared" si="11"/>
        <v>771023</v>
      </c>
      <c r="Y40" s="95">
        <f t="shared" si="11"/>
        <v>731556</v>
      </c>
      <c r="Z40" s="95">
        <f t="shared" si="11"/>
        <v>695846</v>
      </c>
      <c r="AA40" s="95">
        <f t="shared" si="11"/>
        <v>668475</v>
      </c>
      <c r="AB40" s="95">
        <f t="shared" si="11"/>
        <v>647462</v>
      </c>
      <c r="AC40" s="95">
        <f t="shared" si="11"/>
        <v>657067</v>
      </c>
      <c r="AD40" s="95">
        <f t="shared" si="11"/>
        <v>675571</v>
      </c>
      <c r="AE40" s="95">
        <f t="shared" si="11"/>
        <v>663225</v>
      </c>
      <c r="AF40" s="95">
        <f t="shared" si="11"/>
        <v>616700</v>
      </c>
      <c r="AG40" s="95">
        <f t="shared" si="11"/>
        <v>583888</v>
      </c>
      <c r="AH40" s="95">
        <f t="shared" si="11"/>
        <v>578106</v>
      </c>
      <c r="AI40" s="95">
        <f t="shared" si="11"/>
        <v>588810</v>
      </c>
      <c r="AJ40" s="95">
        <f t="shared" si="11"/>
        <v>578914</v>
      </c>
      <c r="AK40" s="95">
        <f t="shared" si="11"/>
        <v>596753</v>
      </c>
      <c r="AL40" s="95">
        <f t="shared" si="11"/>
        <v>592775</v>
      </c>
      <c r="AM40" s="95">
        <f t="shared" si="11"/>
        <v>614217</v>
      </c>
      <c r="AN40" s="95">
        <f t="shared" si="11"/>
        <v>640857</v>
      </c>
      <c r="AO40" s="95">
        <f t="shared" si="11"/>
        <v>645322</v>
      </c>
      <c r="AP40" s="95">
        <f t="shared" si="11"/>
        <v>648020</v>
      </c>
      <c r="AQ40" s="95">
        <f t="shared" si="11"/>
        <v>644770</v>
      </c>
      <c r="AR40" s="95">
        <f t="shared" si="11"/>
        <v>651640</v>
      </c>
      <c r="AS40" s="95">
        <f t="shared" si="11"/>
        <v>673248</v>
      </c>
      <c r="AT40" s="95">
        <f t="shared" si="11"/>
        <v>680178</v>
      </c>
      <c r="AU40" s="95">
        <f t="shared" si="11"/>
        <v>676786</v>
      </c>
      <c r="AV40" s="95">
        <f t="shared" si="11"/>
        <v>684049</v>
      </c>
      <c r="AW40" s="95">
        <f t="shared" si="11"/>
        <v>702987</v>
      </c>
      <c r="AX40" s="95">
        <f t="shared" si="11"/>
        <v>721220</v>
      </c>
      <c r="AY40" s="95">
        <f t="shared" si="11"/>
        <v>717536</v>
      </c>
      <c r="AZ40" s="95">
        <f>SUM(AZ42:AZ53)</f>
        <v>726844</v>
      </c>
      <c r="BA40" s="95">
        <f>SUM(BA42:BA53)</f>
        <v>718779</v>
      </c>
      <c r="BB40" s="95">
        <f>SUM(BB42:BB53)</f>
        <v>716072</v>
      </c>
      <c r="BC40" s="95">
        <f>SUM(BC42:BC53)</f>
        <v>713662</v>
      </c>
      <c r="BD40" s="95">
        <f t="shared" ref="BD40:BJ40" si="12">SUM(BD42:BD53)</f>
        <v>675435.66899999999</v>
      </c>
      <c r="BE40" s="95">
        <f t="shared" si="12"/>
        <v>670447.13499999989</v>
      </c>
      <c r="BF40" s="95">
        <f t="shared" si="12"/>
        <v>675528.61700000009</v>
      </c>
      <c r="BG40" s="95">
        <f t="shared" si="12"/>
        <v>711077</v>
      </c>
      <c r="BH40" s="95">
        <f t="shared" si="12"/>
        <v>720801</v>
      </c>
      <c r="BI40" s="95">
        <f t="shared" si="12"/>
        <v>723486</v>
      </c>
      <c r="BJ40" s="95">
        <f t="shared" si="12"/>
        <v>710910</v>
      </c>
      <c r="BK40" s="432">
        <f t="shared" si="11"/>
        <v>702910</v>
      </c>
      <c r="BL40" s="141">
        <f t="shared" si="11"/>
        <v>691950</v>
      </c>
      <c r="BM40" s="141">
        <f t="shared" si="11"/>
        <v>689850</v>
      </c>
      <c r="BN40" s="141">
        <f t="shared" si="11"/>
        <v>678540</v>
      </c>
      <c r="BO40" s="141">
        <f t="shared" si="11"/>
        <v>664440</v>
      </c>
      <c r="BP40" s="141">
        <f t="shared" si="11"/>
        <v>672340</v>
      </c>
      <c r="BQ40" s="141">
        <f t="shared" si="11"/>
        <v>671900</v>
      </c>
      <c r="BR40" s="141">
        <f t="shared" si="11"/>
        <v>678080</v>
      </c>
      <c r="BS40" s="141">
        <f t="shared" si="11"/>
        <v>680600</v>
      </c>
      <c r="BT40" s="141">
        <f t="shared" si="11"/>
        <v>672400</v>
      </c>
      <c r="BU40" s="141">
        <f t="shared" si="11"/>
        <v>675090</v>
      </c>
      <c r="BV40" s="141">
        <f t="shared" si="11"/>
        <v>681680</v>
      </c>
      <c r="BW40" s="141">
        <f t="shared" si="11"/>
        <v>671620</v>
      </c>
      <c r="BX40" s="97"/>
      <c r="BY40" s="97"/>
      <c r="BZ40" s="97"/>
      <c r="CA40" s="97"/>
      <c r="CB40" s="97"/>
      <c r="CC40" s="97"/>
      <c r="CD40" s="97"/>
      <c r="CE40" s="97"/>
      <c r="CF40" s="97"/>
    </row>
    <row r="41" spans="1:84">
      <c r="A41" s="113" t="s">
        <v>129</v>
      </c>
      <c r="B41" s="98"/>
      <c r="C41" s="95"/>
      <c r="D41" s="97"/>
      <c r="E41" s="97"/>
      <c r="F41" s="97"/>
      <c r="G41" s="97"/>
      <c r="H41" s="95"/>
      <c r="I41" s="97"/>
      <c r="J41" s="97"/>
      <c r="K41" s="97"/>
      <c r="L41" s="97"/>
      <c r="M41" s="97"/>
      <c r="N41" s="99"/>
      <c r="O41" s="97"/>
      <c r="P41" s="99"/>
      <c r="Q41" s="97"/>
      <c r="R41" s="97"/>
      <c r="S41" s="97"/>
      <c r="T41" s="97"/>
      <c r="U41" s="97"/>
      <c r="V41" s="97"/>
      <c r="W41" s="97"/>
      <c r="X41" s="97"/>
      <c r="Y41" s="97"/>
      <c r="Z41" s="97"/>
      <c r="AA41" s="97"/>
      <c r="AB41" s="97"/>
      <c r="AC41" s="97"/>
      <c r="AD41" s="97"/>
      <c r="AE41" s="97"/>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142"/>
      <c r="BL41" s="143"/>
      <c r="BM41" s="143"/>
      <c r="BN41" s="143"/>
      <c r="BO41" s="143"/>
      <c r="BP41" s="143"/>
      <c r="BQ41" s="143"/>
      <c r="BR41" s="143"/>
      <c r="BS41" s="143"/>
      <c r="BT41" s="143"/>
      <c r="BU41" s="143"/>
      <c r="BV41" s="143"/>
      <c r="BW41" s="143"/>
      <c r="BX41" s="97"/>
      <c r="BY41" s="97"/>
      <c r="BZ41" s="97"/>
      <c r="CA41" s="97"/>
      <c r="CB41" s="97"/>
      <c r="CC41" s="97"/>
      <c r="CD41" s="97"/>
      <c r="CE41" s="97"/>
      <c r="CF41" s="97"/>
    </row>
    <row r="42" spans="1:84">
      <c r="A42" s="114" t="s">
        <v>65</v>
      </c>
      <c r="B42" s="98">
        <v>82922</v>
      </c>
      <c r="C42" s="95">
        <f t="shared" ref="C42:C53" si="13">((D42-B42)/2)+B42</f>
        <v>82830.5</v>
      </c>
      <c r="D42" s="97">
        <v>82739</v>
      </c>
      <c r="E42" s="97">
        <v>82266</v>
      </c>
      <c r="F42" s="97">
        <v>98055</v>
      </c>
      <c r="G42" s="97">
        <v>115006</v>
      </c>
      <c r="H42" s="95">
        <f t="shared" ref="H42:K53" si="14">(($L42-$G42)/5)+G42</f>
        <v>117377.60000000001</v>
      </c>
      <c r="I42" s="97">
        <f t="shared" si="14"/>
        <v>119749.20000000001</v>
      </c>
      <c r="J42" s="97">
        <f t="shared" si="14"/>
        <v>122120.80000000002</v>
      </c>
      <c r="K42" s="97">
        <f t="shared" si="14"/>
        <v>124492.40000000002</v>
      </c>
      <c r="L42" s="97">
        <v>126864</v>
      </c>
      <c r="M42" s="97">
        <v>128843</v>
      </c>
      <c r="N42" s="99">
        <v>128843</v>
      </c>
      <c r="O42" s="97">
        <v>135735</v>
      </c>
      <c r="P42" s="99">
        <v>139104</v>
      </c>
      <c r="Q42" s="97">
        <v>141316</v>
      </c>
      <c r="R42" s="127">
        <v>146612</v>
      </c>
      <c r="S42" s="127">
        <v>142040</v>
      </c>
      <c r="T42" s="127">
        <v>140690</v>
      </c>
      <c r="U42" s="127">
        <v>139230</v>
      </c>
      <c r="V42" s="127">
        <v>135579</v>
      </c>
      <c r="W42" s="97">
        <v>136795</v>
      </c>
      <c r="X42" s="98">
        <v>136534</v>
      </c>
      <c r="Y42" s="98">
        <v>128814</v>
      </c>
      <c r="Z42" s="98">
        <v>122561</v>
      </c>
      <c r="AA42" s="98">
        <v>117027</v>
      </c>
      <c r="AB42" s="98">
        <v>114319</v>
      </c>
      <c r="AC42" s="97">
        <v>116075</v>
      </c>
      <c r="AD42" s="98">
        <v>119090</v>
      </c>
      <c r="AE42" s="98">
        <v>116660</v>
      </c>
      <c r="AF42" s="98">
        <v>108119</v>
      </c>
      <c r="AG42" s="98">
        <v>103329</v>
      </c>
      <c r="AH42" s="98">
        <v>102742</v>
      </c>
      <c r="AI42" s="97">
        <v>103628</v>
      </c>
      <c r="AJ42" s="97">
        <v>102126</v>
      </c>
      <c r="AK42" s="97">
        <v>105164</v>
      </c>
      <c r="AL42" s="97">
        <v>104626</v>
      </c>
      <c r="AM42" s="97">
        <v>110170</v>
      </c>
      <c r="AN42" s="97">
        <v>114611</v>
      </c>
      <c r="AO42" s="97">
        <v>112556</v>
      </c>
      <c r="AP42" s="97">
        <v>111835</v>
      </c>
      <c r="AQ42" s="97">
        <v>110624</v>
      </c>
      <c r="AR42" s="97">
        <v>116657</v>
      </c>
      <c r="AS42" s="97">
        <v>117507</v>
      </c>
      <c r="AT42" s="97">
        <v>124763</v>
      </c>
      <c r="AU42" s="97">
        <v>123615</v>
      </c>
      <c r="AV42" s="97">
        <v>126817</v>
      </c>
      <c r="AW42" s="97">
        <v>130220</v>
      </c>
      <c r="AX42" s="97">
        <v>135143</v>
      </c>
      <c r="AY42" s="97">
        <v>131670</v>
      </c>
      <c r="AZ42" s="97">
        <v>139035</v>
      </c>
      <c r="BA42" s="97">
        <v>134956</v>
      </c>
      <c r="BB42" s="97">
        <v>139575</v>
      </c>
      <c r="BC42" s="97">
        <v>139228</v>
      </c>
      <c r="BD42" s="97">
        <v>131676.32</v>
      </c>
      <c r="BE42" s="97">
        <v>131178.576</v>
      </c>
      <c r="BF42" s="97">
        <v>131715.315</v>
      </c>
      <c r="BG42" s="97">
        <v>137696</v>
      </c>
      <c r="BH42" s="97">
        <v>138730</v>
      </c>
      <c r="BI42" s="97">
        <v>136726</v>
      </c>
      <c r="BJ42" s="97">
        <f>150270-'NCES-Private Grads-all races'!BF41</f>
        <v>135720</v>
      </c>
      <c r="BK42" s="142">
        <v>136400</v>
      </c>
      <c r="BL42" s="143">
        <v>134660</v>
      </c>
      <c r="BM42" s="143">
        <v>141290</v>
      </c>
      <c r="BN42" s="143">
        <v>135860</v>
      </c>
      <c r="BO42" s="143">
        <v>132500</v>
      </c>
      <c r="BP42" s="143">
        <v>135230</v>
      </c>
      <c r="BQ42" s="143">
        <v>135830</v>
      </c>
      <c r="BR42" s="143">
        <v>136970</v>
      </c>
      <c r="BS42" s="143">
        <v>138510</v>
      </c>
      <c r="BT42" s="143">
        <v>139070</v>
      </c>
      <c r="BU42" s="143">
        <v>139010</v>
      </c>
      <c r="BV42" s="143">
        <v>140870</v>
      </c>
      <c r="BW42" s="143">
        <v>136320</v>
      </c>
      <c r="BX42" s="97"/>
      <c r="BY42" s="97"/>
      <c r="BZ42" s="97"/>
      <c r="CA42" s="97"/>
      <c r="CB42" s="97"/>
      <c r="CC42" s="97"/>
      <c r="CD42" s="97"/>
      <c r="CE42" s="97"/>
      <c r="CF42" s="97"/>
    </row>
    <row r="43" spans="1:84">
      <c r="A43" s="114" t="s">
        <v>66</v>
      </c>
      <c r="B43" s="98">
        <v>45914</v>
      </c>
      <c r="C43" s="95">
        <f t="shared" si="13"/>
        <v>46369.5</v>
      </c>
      <c r="D43" s="97">
        <v>46825</v>
      </c>
      <c r="E43" s="97">
        <v>46501</v>
      </c>
      <c r="F43" s="97">
        <v>54732</v>
      </c>
      <c r="G43" s="97">
        <v>66348</v>
      </c>
      <c r="H43" s="95">
        <f t="shared" si="14"/>
        <v>67075.199999999997</v>
      </c>
      <c r="I43" s="97">
        <f t="shared" si="14"/>
        <v>67802.399999999994</v>
      </c>
      <c r="J43" s="97">
        <f t="shared" si="14"/>
        <v>68529.599999999991</v>
      </c>
      <c r="K43" s="97">
        <f t="shared" si="14"/>
        <v>69256.799999999988</v>
      </c>
      <c r="L43" s="97">
        <v>69984</v>
      </c>
      <c r="M43" s="97">
        <v>70596</v>
      </c>
      <c r="N43" s="99">
        <v>72501</v>
      </c>
      <c r="O43" s="97">
        <v>73155</v>
      </c>
      <c r="P43" s="99">
        <v>73377</v>
      </c>
      <c r="Q43" s="97">
        <v>74104</v>
      </c>
      <c r="R43" s="127">
        <v>77712</v>
      </c>
      <c r="S43" s="127">
        <v>76406</v>
      </c>
      <c r="T43" s="127">
        <v>74336</v>
      </c>
      <c r="U43" s="127">
        <v>75182</v>
      </c>
      <c r="V43" s="127">
        <v>73143</v>
      </c>
      <c r="W43" s="97">
        <v>73381</v>
      </c>
      <c r="X43" s="98">
        <v>73984</v>
      </c>
      <c r="Y43" s="98">
        <v>70549</v>
      </c>
      <c r="Z43" s="98">
        <v>65710</v>
      </c>
      <c r="AA43" s="98">
        <v>63308</v>
      </c>
      <c r="AB43" s="98">
        <v>59817</v>
      </c>
      <c r="AC43" s="97">
        <v>60364</v>
      </c>
      <c r="AD43" s="98">
        <v>64037</v>
      </c>
      <c r="AE43" s="98">
        <v>63571</v>
      </c>
      <c r="AF43" s="98">
        <v>60012</v>
      </c>
      <c r="AG43" s="98">
        <v>57892</v>
      </c>
      <c r="AH43" s="98">
        <v>56630</v>
      </c>
      <c r="AI43" s="97">
        <v>57559</v>
      </c>
      <c r="AJ43" s="97">
        <v>54650</v>
      </c>
      <c r="AK43" s="97">
        <v>56058</v>
      </c>
      <c r="AL43" s="97">
        <v>56330</v>
      </c>
      <c r="AM43" s="97">
        <v>57463</v>
      </c>
      <c r="AN43" s="97">
        <v>58899</v>
      </c>
      <c r="AO43" s="97">
        <v>58964</v>
      </c>
      <c r="AP43" s="97">
        <v>57012</v>
      </c>
      <c r="AQ43" s="97">
        <v>56172</v>
      </c>
      <c r="AR43" s="97">
        <v>56722</v>
      </c>
      <c r="AS43" s="97">
        <v>57897</v>
      </c>
      <c r="AT43" s="97">
        <v>56008</v>
      </c>
      <c r="AU43" s="97">
        <v>55444</v>
      </c>
      <c r="AV43" s="97">
        <v>57920</v>
      </c>
      <c r="AW43" s="97">
        <v>59887</v>
      </c>
      <c r="AX43" s="97">
        <v>61901</v>
      </c>
      <c r="AY43" s="97">
        <v>63663</v>
      </c>
      <c r="AZ43" s="97">
        <v>64551</v>
      </c>
      <c r="BA43" s="97">
        <v>66133</v>
      </c>
      <c r="BB43" s="97">
        <v>65667</v>
      </c>
      <c r="BC43" s="97">
        <v>66595</v>
      </c>
      <c r="BD43" s="97">
        <v>66679.182000000001</v>
      </c>
      <c r="BE43" s="97">
        <v>66009.606</v>
      </c>
      <c r="BF43" s="97">
        <v>66000.983999999997</v>
      </c>
      <c r="BG43" s="97">
        <v>68813</v>
      </c>
      <c r="BH43" s="97">
        <v>69414</v>
      </c>
      <c r="BI43" s="97">
        <v>71960</v>
      </c>
      <c r="BJ43" s="97">
        <f>77810-'NCES-Private Grads-all races'!BF42</f>
        <v>70800</v>
      </c>
      <c r="BK43" s="142">
        <v>65750</v>
      </c>
      <c r="BL43" s="143">
        <v>65090</v>
      </c>
      <c r="BM43" s="143">
        <v>65670</v>
      </c>
      <c r="BN43" s="143">
        <v>66570</v>
      </c>
      <c r="BO43" s="143">
        <v>64860</v>
      </c>
      <c r="BP43" s="143">
        <v>64520</v>
      </c>
      <c r="BQ43" s="143">
        <v>64640</v>
      </c>
      <c r="BR43" s="143">
        <v>65190</v>
      </c>
      <c r="BS43" s="143">
        <v>66750</v>
      </c>
      <c r="BT43" s="143">
        <v>63860</v>
      </c>
      <c r="BU43" s="143">
        <v>63170</v>
      </c>
      <c r="BV43" s="143">
        <v>63550</v>
      </c>
      <c r="BW43" s="143">
        <v>62040</v>
      </c>
      <c r="BX43" s="97"/>
      <c r="BY43" s="97"/>
      <c r="BZ43" s="97"/>
      <c r="CA43" s="97"/>
      <c r="CB43" s="97"/>
      <c r="CC43" s="97"/>
      <c r="CD43" s="97"/>
      <c r="CE43" s="97"/>
      <c r="CF43" s="97"/>
    </row>
    <row r="44" spans="1:84">
      <c r="A44" s="114" t="s">
        <v>67</v>
      </c>
      <c r="B44" s="98">
        <v>29909</v>
      </c>
      <c r="C44" s="95">
        <f t="shared" si="13"/>
        <v>29995</v>
      </c>
      <c r="D44" s="97">
        <v>30081</v>
      </c>
      <c r="E44" s="97">
        <v>29807</v>
      </c>
      <c r="F44" s="97">
        <v>33146</v>
      </c>
      <c r="G44" s="97">
        <v>40590</v>
      </c>
      <c r="H44" s="95">
        <f t="shared" si="14"/>
        <v>41284.6</v>
      </c>
      <c r="I44" s="97">
        <f t="shared" si="14"/>
        <v>41979.199999999997</v>
      </c>
      <c r="J44" s="97">
        <f t="shared" si="14"/>
        <v>42673.799999999996</v>
      </c>
      <c r="K44" s="97">
        <f t="shared" si="14"/>
        <v>43368.399999999994</v>
      </c>
      <c r="L44" s="97">
        <v>44063</v>
      </c>
      <c r="M44" s="97">
        <v>43546</v>
      </c>
      <c r="N44" s="99">
        <v>44426</v>
      </c>
      <c r="O44" s="97">
        <v>44521</v>
      </c>
      <c r="P44" s="99">
        <v>43508</v>
      </c>
      <c r="Q44" s="97">
        <v>43005</v>
      </c>
      <c r="R44" s="127">
        <v>42318</v>
      </c>
      <c r="S44" s="127">
        <v>43720</v>
      </c>
      <c r="T44" s="127">
        <v>44168</v>
      </c>
      <c r="U44" s="127">
        <v>44488</v>
      </c>
      <c r="V44" s="127">
        <v>43445</v>
      </c>
      <c r="W44" s="97">
        <v>42635</v>
      </c>
      <c r="X44" s="98">
        <v>41509</v>
      </c>
      <c r="Y44" s="98">
        <v>39569</v>
      </c>
      <c r="Z44" s="98">
        <v>37248</v>
      </c>
      <c r="AA44" s="98">
        <v>36087</v>
      </c>
      <c r="AB44" s="98">
        <v>34279</v>
      </c>
      <c r="AC44" s="97">
        <v>34580</v>
      </c>
      <c r="AD44" s="98">
        <v>35218</v>
      </c>
      <c r="AE44" s="98">
        <v>34294</v>
      </c>
      <c r="AF44" s="98">
        <v>31796</v>
      </c>
      <c r="AG44" s="98">
        <v>28593</v>
      </c>
      <c r="AH44" s="98">
        <v>29224</v>
      </c>
      <c r="AI44" s="97">
        <v>30677</v>
      </c>
      <c r="AJ44" s="97">
        <v>30247</v>
      </c>
      <c r="AK44" s="97">
        <v>31268</v>
      </c>
      <c r="AL44" s="97">
        <v>31689</v>
      </c>
      <c r="AM44" s="97">
        <v>32986</v>
      </c>
      <c r="AN44" s="97">
        <v>34189</v>
      </c>
      <c r="AO44" s="97">
        <v>34378</v>
      </c>
      <c r="AP44" s="97">
        <v>33926</v>
      </c>
      <c r="AQ44" s="97">
        <v>33774</v>
      </c>
      <c r="AR44" s="97">
        <v>33789</v>
      </c>
      <c r="AS44" s="97">
        <v>34860</v>
      </c>
      <c r="AT44" s="97">
        <v>34339</v>
      </c>
      <c r="AU44" s="97">
        <v>33547</v>
      </c>
      <c r="AV44" s="97">
        <v>33693</v>
      </c>
      <c r="AW44" s="97">
        <v>34127</v>
      </c>
      <c r="AX44" s="97">
        <v>34573</v>
      </c>
      <c r="AY44" s="97">
        <v>33926</v>
      </c>
      <c r="AZ44" s="97">
        <v>34462</v>
      </c>
      <c r="BA44" s="97">
        <v>33853</v>
      </c>
      <c r="BB44" s="97">
        <v>33230</v>
      </c>
      <c r="BC44" s="97">
        <v>32548</v>
      </c>
      <c r="BD44" s="97">
        <v>30741.945</v>
      </c>
      <c r="BE44" s="97">
        <v>30812.071999999996</v>
      </c>
      <c r="BF44" s="97">
        <v>31524.063999999998</v>
      </c>
      <c r="BG44" s="97">
        <v>33270</v>
      </c>
      <c r="BH44" s="97">
        <v>33974</v>
      </c>
      <c r="BI44" s="97">
        <v>33750</v>
      </c>
      <c r="BJ44" s="97">
        <f>36850-'NCES-Private Grads-all races'!BF43</f>
        <v>34080</v>
      </c>
      <c r="BK44" s="142">
        <v>33370</v>
      </c>
      <c r="BL44" s="143">
        <v>32820</v>
      </c>
      <c r="BM44" s="143">
        <v>32150</v>
      </c>
      <c r="BN44" s="143">
        <v>31960</v>
      </c>
      <c r="BO44" s="143">
        <v>31770</v>
      </c>
      <c r="BP44" s="143">
        <v>32010</v>
      </c>
      <c r="BQ44" s="143">
        <v>32100</v>
      </c>
      <c r="BR44" s="143">
        <v>32530</v>
      </c>
      <c r="BS44" s="143">
        <v>32270</v>
      </c>
      <c r="BT44" s="143">
        <v>32220</v>
      </c>
      <c r="BU44" s="143">
        <v>32680</v>
      </c>
      <c r="BV44" s="143">
        <v>32840</v>
      </c>
      <c r="BW44" s="143">
        <v>33290</v>
      </c>
      <c r="BX44" s="97"/>
      <c r="BY44" s="97"/>
      <c r="BZ44" s="97"/>
      <c r="CA44" s="97"/>
      <c r="CB44" s="97"/>
      <c r="CC44" s="97"/>
      <c r="CD44" s="97"/>
      <c r="CE44" s="97"/>
      <c r="CF44" s="97"/>
    </row>
    <row r="45" spans="1:84">
      <c r="A45" s="114" t="s">
        <v>68</v>
      </c>
      <c r="B45" s="98">
        <v>21500</v>
      </c>
      <c r="C45" s="95">
        <f t="shared" si="13"/>
        <v>23107.5</v>
      </c>
      <c r="D45" s="97">
        <v>24715</v>
      </c>
      <c r="E45" s="97">
        <v>25621</v>
      </c>
      <c r="F45" s="97">
        <v>27360</v>
      </c>
      <c r="G45" s="97">
        <v>28000</v>
      </c>
      <c r="H45" s="95">
        <f t="shared" si="14"/>
        <v>29078.799999999999</v>
      </c>
      <c r="I45" s="97">
        <f t="shared" si="14"/>
        <v>30157.599999999999</v>
      </c>
      <c r="J45" s="97">
        <f t="shared" si="14"/>
        <v>31236.399999999998</v>
      </c>
      <c r="K45" s="97">
        <f t="shared" si="14"/>
        <v>32315.199999999997</v>
      </c>
      <c r="L45" s="97">
        <v>33394</v>
      </c>
      <c r="M45" s="97">
        <v>33442</v>
      </c>
      <c r="N45" s="99">
        <v>34163</v>
      </c>
      <c r="O45" s="97">
        <v>33941</v>
      </c>
      <c r="P45" s="99">
        <v>33374</v>
      </c>
      <c r="Q45" s="97">
        <v>32458</v>
      </c>
      <c r="R45" s="127">
        <v>32212</v>
      </c>
      <c r="S45" s="127">
        <v>33216</v>
      </c>
      <c r="T45" s="127">
        <v>32763</v>
      </c>
      <c r="U45" s="127">
        <v>32132</v>
      </c>
      <c r="V45" s="127">
        <v>30890</v>
      </c>
      <c r="W45" s="97">
        <v>29397</v>
      </c>
      <c r="X45" s="98">
        <v>28298</v>
      </c>
      <c r="Y45" s="98">
        <v>28316</v>
      </c>
      <c r="Z45" s="98">
        <v>26730</v>
      </c>
      <c r="AA45" s="98">
        <v>25983</v>
      </c>
      <c r="AB45" s="98">
        <v>25587</v>
      </c>
      <c r="AC45" s="97">
        <v>26933</v>
      </c>
      <c r="AD45" s="98">
        <v>27036</v>
      </c>
      <c r="AE45" s="98">
        <v>26848</v>
      </c>
      <c r="AF45" s="98">
        <v>25367</v>
      </c>
      <c r="AG45" s="98">
        <v>24414</v>
      </c>
      <c r="AH45" s="98">
        <v>24129</v>
      </c>
      <c r="AI45" s="97">
        <v>24720</v>
      </c>
      <c r="AJ45" s="97">
        <v>25319</v>
      </c>
      <c r="AK45" s="97">
        <v>26125</v>
      </c>
      <c r="AL45" s="97">
        <v>25786</v>
      </c>
      <c r="AM45" s="97">
        <v>26648</v>
      </c>
      <c r="AN45" s="97">
        <v>27856</v>
      </c>
      <c r="AO45" s="97">
        <v>28685</v>
      </c>
      <c r="AP45" s="97">
        <v>29102</v>
      </c>
      <c r="AQ45" s="97">
        <v>29360</v>
      </c>
      <c r="AR45" s="97">
        <v>29541</v>
      </c>
      <c r="AS45" s="97">
        <v>29963</v>
      </c>
      <c r="AT45" s="97">
        <v>30155</v>
      </c>
      <c r="AU45" s="97">
        <v>30355</v>
      </c>
      <c r="AV45" s="97">
        <v>29818</v>
      </c>
      <c r="AW45" s="97">
        <v>30139</v>
      </c>
      <c r="AX45" s="97">
        <v>30737</v>
      </c>
      <c r="AY45" s="97">
        <v>30368</v>
      </c>
      <c r="AZ45" s="97">
        <v>31642</v>
      </c>
      <c r="BA45" s="97">
        <v>31370</v>
      </c>
      <c r="BB45" s="97">
        <v>31898</v>
      </c>
      <c r="BC45" s="97">
        <v>31922</v>
      </c>
      <c r="BD45" s="97">
        <v>30255.527999999998</v>
      </c>
      <c r="BE45" s="97">
        <v>29847.595999999998</v>
      </c>
      <c r="BF45" s="97">
        <v>30744.875</v>
      </c>
      <c r="BG45" s="97">
        <v>32569</v>
      </c>
      <c r="BH45" s="97">
        <v>33258</v>
      </c>
      <c r="BI45" s="97">
        <v>33324</v>
      </c>
      <c r="BJ45" s="97">
        <f>36610-'NCES-Private Grads-all races'!BF44</f>
        <v>33120</v>
      </c>
      <c r="BK45" s="142">
        <v>31120</v>
      </c>
      <c r="BL45" s="143">
        <v>30470</v>
      </c>
      <c r="BM45" s="143">
        <v>30790</v>
      </c>
      <c r="BN45" s="143">
        <v>30220</v>
      </c>
      <c r="BO45" s="143">
        <v>29650</v>
      </c>
      <c r="BP45" s="143">
        <v>30530</v>
      </c>
      <c r="BQ45" s="143">
        <v>30740</v>
      </c>
      <c r="BR45" s="143">
        <v>31200</v>
      </c>
      <c r="BS45" s="143">
        <v>31370</v>
      </c>
      <c r="BT45" s="143">
        <v>31230</v>
      </c>
      <c r="BU45" s="143">
        <v>31900</v>
      </c>
      <c r="BV45" s="143">
        <v>31840</v>
      </c>
      <c r="BW45" s="143">
        <v>32150</v>
      </c>
      <c r="BX45" s="97"/>
      <c r="BY45" s="97"/>
      <c r="BZ45" s="97"/>
      <c r="CA45" s="97"/>
      <c r="CB45" s="97"/>
      <c r="CC45" s="97"/>
      <c r="CD45" s="97"/>
      <c r="CE45" s="97"/>
      <c r="CF45" s="97"/>
    </row>
    <row r="46" spans="1:84">
      <c r="A46" s="114" t="s">
        <v>69</v>
      </c>
      <c r="B46" s="98">
        <v>74424</v>
      </c>
      <c r="C46" s="95">
        <f t="shared" si="13"/>
        <v>74873.5</v>
      </c>
      <c r="D46" s="97">
        <v>75323</v>
      </c>
      <c r="E46" s="97">
        <v>75883</v>
      </c>
      <c r="F46" s="97">
        <v>85292</v>
      </c>
      <c r="G46" s="97">
        <v>103175</v>
      </c>
      <c r="H46" s="95">
        <f t="shared" si="14"/>
        <v>106740</v>
      </c>
      <c r="I46" s="97">
        <f t="shared" si="14"/>
        <v>110305</v>
      </c>
      <c r="J46" s="97">
        <f t="shared" si="14"/>
        <v>113870</v>
      </c>
      <c r="K46" s="97">
        <f t="shared" si="14"/>
        <v>117435</v>
      </c>
      <c r="L46" s="97">
        <v>121000</v>
      </c>
      <c r="M46" s="97">
        <v>131598</v>
      </c>
      <c r="N46" s="99">
        <v>126409</v>
      </c>
      <c r="O46" s="97">
        <v>130286</v>
      </c>
      <c r="P46" s="99">
        <v>134336</v>
      </c>
      <c r="Q46" s="97">
        <v>135509</v>
      </c>
      <c r="R46" s="127">
        <v>130872</v>
      </c>
      <c r="S46" s="127">
        <v>135337</v>
      </c>
      <c r="T46" s="127">
        <v>132759</v>
      </c>
      <c r="U46" s="127">
        <v>130586</v>
      </c>
      <c r="V46" s="127">
        <v>124316</v>
      </c>
      <c r="W46" s="97">
        <v>124372</v>
      </c>
      <c r="X46" s="98">
        <v>121030</v>
      </c>
      <c r="Y46" s="98">
        <v>112950</v>
      </c>
      <c r="Z46" s="98">
        <v>108926</v>
      </c>
      <c r="AA46" s="98">
        <v>105908</v>
      </c>
      <c r="AB46" s="98">
        <v>101042</v>
      </c>
      <c r="AC46" s="97">
        <v>102725</v>
      </c>
      <c r="AD46" s="98">
        <v>106151</v>
      </c>
      <c r="AE46" s="98">
        <v>101784</v>
      </c>
      <c r="AF46" s="98">
        <v>93807</v>
      </c>
      <c r="AG46" s="98">
        <v>88234</v>
      </c>
      <c r="AH46" s="98">
        <v>87756</v>
      </c>
      <c r="AI46" s="97">
        <v>85302</v>
      </c>
      <c r="AJ46" s="97">
        <v>83385</v>
      </c>
      <c r="AK46" s="97">
        <v>84628</v>
      </c>
      <c r="AL46" s="97">
        <v>85530</v>
      </c>
      <c r="AM46" s="97">
        <v>89695</v>
      </c>
      <c r="AN46" s="97">
        <v>92732</v>
      </c>
      <c r="AO46" s="97">
        <v>94125</v>
      </c>
      <c r="AP46" s="97">
        <v>97679</v>
      </c>
      <c r="AQ46" s="97">
        <v>96515</v>
      </c>
      <c r="AR46" s="97">
        <v>95001</v>
      </c>
      <c r="AS46" s="97">
        <v>100301</v>
      </c>
      <c r="AT46" s="97">
        <v>98823</v>
      </c>
      <c r="AU46" s="97">
        <v>101582</v>
      </c>
      <c r="AV46" s="97">
        <v>102582</v>
      </c>
      <c r="AW46" s="97">
        <v>111838</v>
      </c>
      <c r="AX46" s="97">
        <v>115183</v>
      </c>
      <c r="AY46" s="97">
        <v>112742</v>
      </c>
      <c r="AZ46" s="97">
        <v>110682</v>
      </c>
      <c r="BA46" s="97">
        <v>106017</v>
      </c>
      <c r="BB46" s="97">
        <v>105446</v>
      </c>
      <c r="BC46" s="97">
        <v>104210</v>
      </c>
      <c r="BD46" s="97">
        <v>97683.293999999994</v>
      </c>
      <c r="BE46" s="97">
        <v>97790.111999999994</v>
      </c>
      <c r="BF46" s="97">
        <v>97209.293000000005</v>
      </c>
      <c r="BG46" s="97">
        <v>102286</v>
      </c>
      <c r="BH46" s="97">
        <v>103880</v>
      </c>
      <c r="BI46" s="97">
        <v>103688</v>
      </c>
      <c r="BJ46" s="97">
        <f>108160-'NCES-Private Grads-all races'!BF45</f>
        <v>100280</v>
      </c>
      <c r="BK46" s="142">
        <v>107080</v>
      </c>
      <c r="BL46" s="143">
        <v>105580</v>
      </c>
      <c r="BM46" s="143">
        <v>102770</v>
      </c>
      <c r="BN46" s="143">
        <v>101970</v>
      </c>
      <c r="BO46" s="143">
        <v>98030</v>
      </c>
      <c r="BP46" s="143">
        <v>99420</v>
      </c>
      <c r="BQ46" s="143">
        <v>97710</v>
      </c>
      <c r="BR46" s="143">
        <v>98100</v>
      </c>
      <c r="BS46" s="143">
        <v>97490</v>
      </c>
      <c r="BT46" s="143">
        <v>94450</v>
      </c>
      <c r="BU46" s="143">
        <v>93630</v>
      </c>
      <c r="BV46" s="143">
        <v>94170</v>
      </c>
      <c r="BW46" s="143">
        <v>91050</v>
      </c>
      <c r="BX46" s="97"/>
      <c r="BY46" s="97"/>
      <c r="BZ46" s="97"/>
      <c r="CA46" s="97"/>
      <c r="CB46" s="97"/>
      <c r="CC46" s="97"/>
      <c r="CD46" s="97"/>
      <c r="CE46" s="97"/>
      <c r="CF46" s="97"/>
    </row>
    <row r="47" spans="1:84">
      <c r="A47" s="114" t="s">
        <v>70</v>
      </c>
      <c r="B47" s="98">
        <v>38996</v>
      </c>
      <c r="C47" s="95">
        <f t="shared" si="13"/>
        <v>38668</v>
      </c>
      <c r="D47" s="97">
        <v>38340</v>
      </c>
      <c r="E47" s="97">
        <v>38249</v>
      </c>
      <c r="F47" s="97">
        <v>45873</v>
      </c>
      <c r="G47" s="97">
        <v>53443</v>
      </c>
      <c r="H47" s="95">
        <f t="shared" si="14"/>
        <v>54850.400000000001</v>
      </c>
      <c r="I47" s="97">
        <f t="shared" si="14"/>
        <v>56257.8</v>
      </c>
      <c r="J47" s="97">
        <f t="shared" si="14"/>
        <v>57665.200000000004</v>
      </c>
      <c r="K47" s="97">
        <f t="shared" si="14"/>
        <v>59072.600000000006</v>
      </c>
      <c r="L47" s="97">
        <v>60480</v>
      </c>
      <c r="M47" s="97">
        <v>60966</v>
      </c>
      <c r="N47" s="99">
        <v>63135</v>
      </c>
      <c r="O47" s="97">
        <v>63394</v>
      </c>
      <c r="P47" s="99">
        <v>63981</v>
      </c>
      <c r="Q47" s="97">
        <v>66535</v>
      </c>
      <c r="R47" s="127">
        <v>66424</v>
      </c>
      <c r="S47" s="127">
        <v>68166</v>
      </c>
      <c r="T47" s="127">
        <v>67475</v>
      </c>
      <c r="U47" s="127">
        <v>66096</v>
      </c>
      <c r="V47" s="127">
        <v>64908</v>
      </c>
      <c r="W47" s="97">
        <v>64166</v>
      </c>
      <c r="X47" s="98">
        <v>62145</v>
      </c>
      <c r="Y47" s="98">
        <v>59015</v>
      </c>
      <c r="Z47" s="98">
        <v>55376</v>
      </c>
      <c r="AA47" s="98">
        <v>53352</v>
      </c>
      <c r="AB47" s="98">
        <v>51988</v>
      </c>
      <c r="AC47" s="97">
        <v>53533</v>
      </c>
      <c r="AD47" s="98">
        <v>54645</v>
      </c>
      <c r="AE47" s="98">
        <v>53122</v>
      </c>
      <c r="AF47" s="98">
        <v>49087</v>
      </c>
      <c r="AG47" s="98">
        <v>46474</v>
      </c>
      <c r="AH47" s="98">
        <v>46228</v>
      </c>
      <c r="AI47" s="97">
        <v>48002</v>
      </c>
      <c r="AJ47" s="97">
        <v>47514</v>
      </c>
      <c r="AK47" s="97">
        <v>49354</v>
      </c>
      <c r="AL47" s="97">
        <v>50481</v>
      </c>
      <c r="AM47" s="97">
        <v>48193</v>
      </c>
      <c r="AN47" s="97">
        <v>54628</v>
      </c>
      <c r="AO47" s="97">
        <v>56964</v>
      </c>
      <c r="AP47" s="97">
        <v>57372</v>
      </c>
      <c r="AQ47" s="97">
        <v>56581</v>
      </c>
      <c r="AR47" s="97">
        <v>57440</v>
      </c>
      <c r="AS47" s="97">
        <v>59432</v>
      </c>
      <c r="AT47" s="97">
        <v>59096</v>
      </c>
      <c r="AU47" s="97">
        <v>58391</v>
      </c>
      <c r="AV47" s="97">
        <v>58898</v>
      </c>
      <c r="AW47" s="97">
        <v>59497</v>
      </c>
      <c r="AX47" s="97">
        <v>60409</v>
      </c>
      <c r="AY47" s="97">
        <v>59729</v>
      </c>
      <c r="AZ47" s="97">
        <v>59667</v>
      </c>
      <c r="BA47" s="97">
        <v>59357</v>
      </c>
      <c r="BB47" s="97">
        <v>57501</v>
      </c>
      <c r="BC47" s="97">
        <v>58255</v>
      </c>
      <c r="BD47" s="97">
        <v>53540.844000000005</v>
      </c>
      <c r="BE47" s="97">
        <v>54265.302000000003</v>
      </c>
      <c r="BF47" s="97">
        <v>54046.500000000007</v>
      </c>
      <c r="BG47" s="97">
        <v>58313</v>
      </c>
      <c r="BH47" s="97">
        <v>59810</v>
      </c>
      <c r="BI47" s="97">
        <v>61160</v>
      </c>
      <c r="BJ47" s="97">
        <f>67840-'NCES-Private Grads-all races'!BF46</f>
        <v>59870</v>
      </c>
      <c r="BK47" s="142">
        <v>58890</v>
      </c>
      <c r="BL47" s="143">
        <v>57240</v>
      </c>
      <c r="BM47" s="143">
        <v>56690</v>
      </c>
      <c r="BN47" s="143">
        <v>55060</v>
      </c>
      <c r="BO47" s="143">
        <v>55330</v>
      </c>
      <c r="BP47" s="143">
        <v>55230</v>
      </c>
      <c r="BQ47" s="143">
        <v>55950</v>
      </c>
      <c r="BR47" s="143">
        <v>56610</v>
      </c>
      <c r="BS47" s="143">
        <v>57700</v>
      </c>
      <c r="BT47" s="143">
        <v>57420</v>
      </c>
      <c r="BU47" s="143">
        <v>59510</v>
      </c>
      <c r="BV47" s="143">
        <v>61060</v>
      </c>
      <c r="BW47" s="143">
        <v>60570</v>
      </c>
      <c r="BX47" s="97"/>
      <c r="BY47" s="97"/>
      <c r="BZ47" s="97"/>
      <c r="CA47" s="97"/>
      <c r="CB47" s="97"/>
      <c r="CC47" s="97"/>
      <c r="CD47" s="97"/>
      <c r="CE47" s="97"/>
      <c r="CF47" s="97"/>
    </row>
    <row r="48" spans="1:84">
      <c r="A48" s="114" t="s">
        <v>71</v>
      </c>
      <c r="B48" s="98">
        <v>36797</v>
      </c>
      <c r="C48" s="95">
        <f t="shared" si="13"/>
        <v>38485.5</v>
      </c>
      <c r="D48" s="97">
        <v>40174</v>
      </c>
      <c r="E48" s="97">
        <v>39700</v>
      </c>
      <c r="F48" s="97">
        <v>42149</v>
      </c>
      <c r="G48" s="97">
        <v>51261</v>
      </c>
      <c r="H48" s="95">
        <f t="shared" si="14"/>
        <v>52071.8</v>
      </c>
      <c r="I48" s="97">
        <f t="shared" si="14"/>
        <v>52882.600000000006</v>
      </c>
      <c r="J48" s="97">
        <f t="shared" si="14"/>
        <v>53693.400000000009</v>
      </c>
      <c r="K48" s="97">
        <f t="shared" si="14"/>
        <v>54504.200000000012</v>
      </c>
      <c r="L48" s="97">
        <v>55315</v>
      </c>
      <c r="M48" s="97">
        <v>57422</v>
      </c>
      <c r="N48" s="99">
        <v>58876</v>
      </c>
      <c r="O48" s="97">
        <v>60068</v>
      </c>
      <c r="P48" s="99">
        <v>62183</v>
      </c>
      <c r="Q48" s="97">
        <v>62375</v>
      </c>
      <c r="R48" s="127">
        <v>63942</v>
      </c>
      <c r="S48" s="127">
        <v>64471</v>
      </c>
      <c r="T48" s="127">
        <v>64564</v>
      </c>
      <c r="U48" s="127">
        <v>64163</v>
      </c>
      <c r="V48" s="127">
        <v>62265</v>
      </c>
      <c r="W48" s="97">
        <v>60359</v>
      </c>
      <c r="X48" s="98">
        <v>59872</v>
      </c>
      <c r="Y48" s="98">
        <v>56420</v>
      </c>
      <c r="Z48" s="98">
        <v>53388</v>
      </c>
      <c r="AA48" s="98">
        <v>51290</v>
      </c>
      <c r="AB48" s="98">
        <v>49204</v>
      </c>
      <c r="AC48" s="97">
        <v>50840</v>
      </c>
      <c r="AD48" s="98">
        <v>51316</v>
      </c>
      <c r="AE48" s="98">
        <v>51968</v>
      </c>
      <c r="AF48" s="98">
        <v>48957</v>
      </c>
      <c r="AG48" s="98">
        <v>46928</v>
      </c>
      <c r="AH48" s="98">
        <v>46556</v>
      </c>
      <c r="AI48" s="97">
        <v>46864</v>
      </c>
      <c r="AJ48" s="97">
        <v>46566</v>
      </c>
      <c r="AK48" s="97">
        <v>48862</v>
      </c>
      <c r="AL48" s="97">
        <v>49011</v>
      </c>
      <c r="AM48" s="97">
        <v>50543</v>
      </c>
      <c r="AN48" s="97">
        <v>52095</v>
      </c>
      <c r="AO48" s="97">
        <v>52531</v>
      </c>
      <c r="AP48" s="97">
        <v>52848</v>
      </c>
      <c r="AQ48" s="97">
        <v>54138</v>
      </c>
      <c r="AR48" s="97">
        <v>54487</v>
      </c>
      <c r="AS48" s="97">
        <v>56925</v>
      </c>
      <c r="AT48" s="97">
        <v>57983</v>
      </c>
      <c r="AU48" s="97">
        <v>57841</v>
      </c>
      <c r="AV48" s="97">
        <v>58417</v>
      </c>
      <c r="AW48" s="97">
        <v>60275</v>
      </c>
      <c r="AX48" s="97">
        <v>61717</v>
      </c>
      <c r="AY48" s="97">
        <v>62969</v>
      </c>
      <c r="AZ48" s="97">
        <v>63994</v>
      </c>
      <c r="BA48" s="97">
        <v>62994</v>
      </c>
      <c r="BB48" s="97">
        <v>61313</v>
      </c>
      <c r="BC48" s="97">
        <v>61407</v>
      </c>
      <c r="BD48" s="97">
        <v>58903.928999999996</v>
      </c>
      <c r="BE48" s="97">
        <v>58418.608</v>
      </c>
      <c r="BF48" s="97">
        <v>59624.66</v>
      </c>
      <c r="BG48" s="97">
        <v>61309</v>
      </c>
      <c r="BH48" s="97">
        <v>61016</v>
      </c>
      <c r="BI48" s="97">
        <v>61491</v>
      </c>
      <c r="BJ48" s="97">
        <f>70660-'NCES-Private Grads-all races'!BF47</f>
        <v>60360</v>
      </c>
      <c r="BK48" s="142">
        <v>62170</v>
      </c>
      <c r="BL48" s="143">
        <v>60760</v>
      </c>
      <c r="BM48" s="143">
        <v>60190</v>
      </c>
      <c r="BN48" s="143">
        <v>59720</v>
      </c>
      <c r="BO48" s="143">
        <v>58810</v>
      </c>
      <c r="BP48" s="143">
        <v>59990</v>
      </c>
      <c r="BQ48" s="143">
        <v>59360</v>
      </c>
      <c r="BR48" s="143">
        <v>59780</v>
      </c>
      <c r="BS48" s="143">
        <v>59310</v>
      </c>
      <c r="BT48" s="143">
        <v>58480</v>
      </c>
      <c r="BU48" s="143">
        <v>58820</v>
      </c>
      <c r="BV48" s="143">
        <v>59220</v>
      </c>
      <c r="BW48" s="143">
        <v>59680</v>
      </c>
      <c r="BX48" s="97"/>
      <c r="BY48" s="97"/>
      <c r="BZ48" s="97"/>
      <c r="CA48" s="97"/>
      <c r="CB48" s="97"/>
      <c r="CC48" s="97"/>
      <c r="CD48" s="97"/>
      <c r="CE48" s="97"/>
      <c r="CF48" s="97"/>
    </row>
    <row r="49" spans="1:84">
      <c r="A49" s="114" t="s">
        <v>72</v>
      </c>
      <c r="B49" s="98">
        <v>14347</v>
      </c>
      <c r="C49" s="95">
        <f t="shared" si="13"/>
        <v>14408</v>
      </c>
      <c r="D49" s="97">
        <v>14469</v>
      </c>
      <c r="E49" s="97">
        <v>14768</v>
      </c>
      <c r="F49" s="97">
        <v>16240</v>
      </c>
      <c r="G49" s="97">
        <v>19886</v>
      </c>
      <c r="H49" s="95">
        <f t="shared" si="14"/>
        <v>20164.8</v>
      </c>
      <c r="I49" s="97">
        <f t="shared" si="14"/>
        <v>20443.599999999999</v>
      </c>
      <c r="J49" s="97">
        <f t="shared" si="14"/>
        <v>20722.399999999998</v>
      </c>
      <c r="K49" s="97">
        <f t="shared" si="14"/>
        <v>21001.199999999997</v>
      </c>
      <c r="L49" s="97">
        <v>21280</v>
      </c>
      <c r="M49" s="97">
        <v>21410</v>
      </c>
      <c r="N49" s="99">
        <v>21720</v>
      </c>
      <c r="O49" s="97">
        <v>22459</v>
      </c>
      <c r="P49" s="99">
        <v>22276</v>
      </c>
      <c r="Q49" s="97">
        <v>22249</v>
      </c>
      <c r="R49" s="127">
        <v>22237</v>
      </c>
      <c r="S49" s="127">
        <v>23067</v>
      </c>
      <c r="T49" s="127">
        <v>23322</v>
      </c>
      <c r="U49" s="127">
        <v>23147</v>
      </c>
      <c r="V49" s="127">
        <v>22410</v>
      </c>
      <c r="W49" s="97">
        <v>21411</v>
      </c>
      <c r="X49" s="98">
        <v>21027</v>
      </c>
      <c r="Y49" s="98">
        <v>19986</v>
      </c>
      <c r="Z49" s="98">
        <v>18674</v>
      </c>
      <c r="AA49" s="98">
        <v>18036</v>
      </c>
      <c r="AB49" s="98">
        <v>17845</v>
      </c>
      <c r="AC49" s="97">
        <v>18129</v>
      </c>
      <c r="AD49" s="98">
        <v>18300</v>
      </c>
      <c r="AE49" s="98">
        <v>18690</v>
      </c>
      <c r="AF49" s="98">
        <v>17664</v>
      </c>
      <c r="AG49" s="98">
        <v>16500</v>
      </c>
      <c r="AH49" s="98">
        <v>17057</v>
      </c>
      <c r="AI49" s="97">
        <v>17569</v>
      </c>
      <c r="AJ49" s="97">
        <v>17072</v>
      </c>
      <c r="AK49" s="97">
        <v>17969</v>
      </c>
      <c r="AL49" s="97">
        <v>18014</v>
      </c>
      <c r="AM49" s="97">
        <v>18636</v>
      </c>
      <c r="AN49" s="97">
        <v>19719</v>
      </c>
      <c r="AO49" s="97">
        <v>20550</v>
      </c>
      <c r="AP49" s="97">
        <v>20149</v>
      </c>
      <c r="AQ49" s="97">
        <v>19658</v>
      </c>
      <c r="AR49" s="97">
        <v>19910</v>
      </c>
      <c r="AS49" s="97">
        <v>20161</v>
      </c>
      <c r="AT49" s="97">
        <v>20309</v>
      </c>
      <c r="AU49" s="97">
        <v>19940</v>
      </c>
      <c r="AV49" s="97">
        <v>19764</v>
      </c>
      <c r="AW49" s="97">
        <v>19873</v>
      </c>
      <c r="AX49" s="97">
        <v>20035</v>
      </c>
      <c r="AY49" s="97">
        <v>19501</v>
      </c>
      <c r="AZ49" s="97">
        <v>19370</v>
      </c>
      <c r="BA49" s="97">
        <v>20331</v>
      </c>
      <c r="BB49" s="97">
        <v>20464</v>
      </c>
      <c r="BC49" s="97">
        <v>20442</v>
      </c>
      <c r="BD49" s="97">
        <v>19504.368000000002</v>
      </c>
      <c r="BE49" s="97">
        <v>19431.761999999999</v>
      </c>
      <c r="BF49" s="97">
        <v>19675.469000000001</v>
      </c>
      <c r="BG49" s="97">
        <v>20775</v>
      </c>
      <c r="BH49" s="97">
        <v>21517</v>
      </c>
      <c r="BI49" s="97">
        <v>21389</v>
      </c>
      <c r="BJ49" s="97">
        <f>24610-'NCES-Private Grads-all races'!BF48</f>
        <v>21930</v>
      </c>
      <c r="BK49" s="142">
        <v>19230</v>
      </c>
      <c r="BL49" s="143">
        <v>19320</v>
      </c>
      <c r="BM49" s="143">
        <v>19450</v>
      </c>
      <c r="BN49" s="143">
        <v>19470</v>
      </c>
      <c r="BO49" s="143">
        <v>18990</v>
      </c>
      <c r="BP49" s="143">
        <v>19150</v>
      </c>
      <c r="BQ49" s="143">
        <v>19360</v>
      </c>
      <c r="BR49" s="143">
        <v>19940</v>
      </c>
      <c r="BS49" s="143">
        <v>20180</v>
      </c>
      <c r="BT49" s="143">
        <v>20600</v>
      </c>
      <c r="BU49" s="143">
        <v>20870</v>
      </c>
      <c r="BV49" s="143">
        <v>21510</v>
      </c>
      <c r="BW49" s="143">
        <v>21350</v>
      </c>
      <c r="BX49" s="97"/>
      <c r="BY49" s="97"/>
      <c r="BZ49" s="97"/>
      <c r="CA49" s="97"/>
      <c r="CB49" s="97"/>
      <c r="CC49" s="97"/>
      <c r="CD49" s="97"/>
      <c r="CE49" s="97"/>
      <c r="CF49" s="97"/>
    </row>
    <row r="50" spans="1:84">
      <c r="A50" s="114" t="s">
        <v>73</v>
      </c>
      <c r="B50" s="98">
        <v>7328</v>
      </c>
      <c r="C50" s="95">
        <f t="shared" si="13"/>
        <v>7466</v>
      </c>
      <c r="D50" s="97">
        <v>7604</v>
      </c>
      <c r="E50" s="97">
        <v>8155</v>
      </c>
      <c r="F50" s="97">
        <v>8733</v>
      </c>
      <c r="G50" s="97">
        <v>9536</v>
      </c>
      <c r="H50" s="95">
        <f t="shared" si="14"/>
        <v>9858.7999999999993</v>
      </c>
      <c r="I50" s="97">
        <f t="shared" si="14"/>
        <v>10181.599999999999</v>
      </c>
      <c r="J50" s="97">
        <f t="shared" si="14"/>
        <v>10504.399999999998</v>
      </c>
      <c r="K50" s="97">
        <f t="shared" si="14"/>
        <v>10827.199999999997</v>
      </c>
      <c r="L50" s="97">
        <v>11150</v>
      </c>
      <c r="M50" s="97">
        <v>11003</v>
      </c>
      <c r="N50" s="99">
        <v>10515</v>
      </c>
      <c r="O50" s="97">
        <v>10563</v>
      </c>
      <c r="P50" s="99">
        <v>10824</v>
      </c>
      <c r="Q50" s="97">
        <v>10690</v>
      </c>
      <c r="R50" s="127">
        <v>10771</v>
      </c>
      <c r="S50" s="127">
        <v>10839</v>
      </c>
      <c r="T50" s="127">
        <v>10526</v>
      </c>
      <c r="U50" s="127">
        <v>10385</v>
      </c>
      <c r="V50" s="127">
        <v>9928</v>
      </c>
      <c r="W50" s="97">
        <v>9924</v>
      </c>
      <c r="X50" s="98">
        <v>9504</v>
      </c>
      <c r="Y50" s="98">
        <v>8886</v>
      </c>
      <c r="Z50" s="98">
        <v>8569</v>
      </c>
      <c r="AA50" s="98">
        <v>8146</v>
      </c>
      <c r="AB50" s="98">
        <v>7610</v>
      </c>
      <c r="AC50" s="97">
        <v>7821</v>
      </c>
      <c r="AD50" s="98">
        <v>8432</v>
      </c>
      <c r="AE50" s="98">
        <v>8077</v>
      </c>
      <c r="AF50" s="98">
        <v>7690</v>
      </c>
      <c r="AG50" s="98">
        <v>7573</v>
      </c>
      <c r="AH50" s="98">
        <v>7438</v>
      </c>
      <c r="AI50" s="97">
        <v>7310</v>
      </c>
      <c r="AJ50" s="97">
        <v>7522</v>
      </c>
      <c r="AK50" s="97">
        <v>7817</v>
      </c>
      <c r="AL50" s="97">
        <v>8027</v>
      </c>
      <c r="AM50" s="97">
        <v>8025</v>
      </c>
      <c r="AN50" s="97">
        <v>8170</v>
      </c>
      <c r="AO50" s="97">
        <v>8388</v>
      </c>
      <c r="AP50" s="97">
        <v>8606</v>
      </c>
      <c r="AQ50" s="97">
        <v>8445</v>
      </c>
      <c r="AR50" s="97">
        <v>8114</v>
      </c>
      <c r="AS50" s="97">
        <v>8169</v>
      </c>
      <c r="AT50" s="97">
        <v>7888</v>
      </c>
      <c r="AU50" s="97">
        <v>7555</v>
      </c>
      <c r="AV50" s="97">
        <v>7192</v>
      </c>
      <c r="AW50" s="97">
        <v>7159</v>
      </c>
      <c r="AX50" s="97">
        <v>6999</v>
      </c>
      <c r="AY50" s="97">
        <v>7232</v>
      </c>
      <c r="AZ50" s="97">
        <v>7155</v>
      </c>
      <c r="BA50" s="97">
        <v>7156</v>
      </c>
      <c r="BB50" s="97">
        <v>6942</v>
      </c>
      <c r="BC50" s="97">
        <v>6900</v>
      </c>
      <c r="BD50" s="97">
        <v>6582.7280000000001</v>
      </c>
      <c r="BE50" s="97">
        <v>6556.4859999999999</v>
      </c>
      <c r="BF50" s="97">
        <v>6649.125</v>
      </c>
      <c r="BG50" s="97">
        <v>6749</v>
      </c>
      <c r="BH50" s="97">
        <v>6618</v>
      </c>
      <c r="BI50" s="97">
        <v>6850</v>
      </c>
      <c r="BJ50" s="97">
        <f>7250-'NCES-Private Grads-all races'!BF49</f>
        <v>6830</v>
      </c>
      <c r="BK50" s="142">
        <v>7060</v>
      </c>
      <c r="BL50" s="143">
        <v>6840</v>
      </c>
      <c r="BM50" s="143">
        <v>6830</v>
      </c>
      <c r="BN50" s="143">
        <v>6720</v>
      </c>
      <c r="BO50" s="143">
        <v>6660</v>
      </c>
      <c r="BP50" s="143">
        <v>6790</v>
      </c>
      <c r="BQ50" s="143">
        <v>6730</v>
      </c>
      <c r="BR50" s="143">
        <v>6480</v>
      </c>
      <c r="BS50" s="143">
        <v>6790</v>
      </c>
      <c r="BT50" s="143">
        <v>6870</v>
      </c>
      <c r="BU50" s="143">
        <v>7180</v>
      </c>
      <c r="BV50" s="143">
        <v>7520</v>
      </c>
      <c r="BW50" s="143">
        <v>7560</v>
      </c>
      <c r="BX50" s="97"/>
      <c r="BY50" s="97"/>
      <c r="BZ50" s="97"/>
      <c r="CA50" s="97"/>
      <c r="CB50" s="97"/>
      <c r="CC50" s="97"/>
      <c r="CD50" s="97"/>
      <c r="CE50" s="97"/>
      <c r="CF50" s="97"/>
    </row>
    <row r="51" spans="1:84">
      <c r="A51" s="114" t="s">
        <v>74</v>
      </c>
      <c r="B51" s="98">
        <v>89024</v>
      </c>
      <c r="C51" s="95">
        <f t="shared" si="13"/>
        <v>87852.5</v>
      </c>
      <c r="D51" s="97">
        <v>86681</v>
      </c>
      <c r="E51" s="97">
        <v>87193</v>
      </c>
      <c r="F51" s="97">
        <v>108131</v>
      </c>
      <c r="G51" s="97">
        <v>132613</v>
      </c>
      <c r="H51" s="95">
        <f t="shared" si="14"/>
        <v>134540</v>
      </c>
      <c r="I51" s="97">
        <f t="shared" si="14"/>
        <v>136467</v>
      </c>
      <c r="J51" s="97">
        <f t="shared" si="14"/>
        <v>138394</v>
      </c>
      <c r="K51" s="97">
        <f t="shared" si="14"/>
        <v>140321</v>
      </c>
      <c r="L51" s="97">
        <v>142248</v>
      </c>
      <c r="M51" s="97">
        <v>145076</v>
      </c>
      <c r="N51" s="99">
        <v>149472</v>
      </c>
      <c r="O51" s="97">
        <v>152428</v>
      </c>
      <c r="P51" s="99">
        <v>153874</v>
      </c>
      <c r="Q51" s="97">
        <v>158179</v>
      </c>
      <c r="R51" s="127">
        <v>157583</v>
      </c>
      <c r="S51" s="127">
        <v>156220</v>
      </c>
      <c r="T51" s="127">
        <v>152002</v>
      </c>
      <c r="U51" s="127">
        <v>150651</v>
      </c>
      <c r="V51" s="127">
        <v>144169</v>
      </c>
      <c r="W51" s="97">
        <v>143503</v>
      </c>
      <c r="X51" s="98">
        <v>139899</v>
      </c>
      <c r="Y51" s="98">
        <v>133524</v>
      </c>
      <c r="Z51" s="98">
        <v>127837</v>
      </c>
      <c r="AA51" s="98">
        <v>122281</v>
      </c>
      <c r="AB51" s="98">
        <v>119561</v>
      </c>
      <c r="AC51" s="97">
        <v>121121</v>
      </c>
      <c r="AD51" s="98">
        <v>124503</v>
      </c>
      <c r="AE51" s="98">
        <v>125036</v>
      </c>
      <c r="AF51" s="98">
        <v>114513</v>
      </c>
      <c r="AG51" s="98">
        <v>107484</v>
      </c>
      <c r="AH51" s="98">
        <v>104522</v>
      </c>
      <c r="AI51" s="97">
        <v>109200</v>
      </c>
      <c r="AJ51" s="97">
        <v>107700</v>
      </c>
      <c r="AK51" s="97">
        <v>109418</v>
      </c>
      <c r="AL51" s="97">
        <v>102098</v>
      </c>
      <c r="AM51" s="97">
        <v>107422</v>
      </c>
      <c r="AN51" s="97">
        <v>111211</v>
      </c>
      <c r="AO51" s="97">
        <v>111112</v>
      </c>
      <c r="AP51" s="97">
        <v>111668</v>
      </c>
      <c r="AQ51" s="97">
        <v>111281</v>
      </c>
      <c r="AR51" s="97">
        <v>110608</v>
      </c>
      <c r="AS51" s="97">
        <v>115762</v>
      </c>
      <c r="AT51" s="97">
        <v>119029</v>
      </c>
      <c r="AU51" s="97">
        <v>116702</v>
      </c>
      <c r="AV51" s="97">
        <v>117356</v>
      </c>
      <c r="AW51" s="97">
        <v>117658</v>
      </c>
      <c r="AX51" s="97">
        <v>120758</v>
      </c>
      <c r="AY51" s="97">
        <v>122203</v>
      </c>
      <c r="AZ51" s="97">
        <v>123437</v>
      </c>
      <c r="BA51" s="97">
        <v>124229</v>
      </c>
      <c r="BB51" s="97">
        <v>123135</v>
      </c>
      <c r="BC51" s="97">
        <v>122491</v>
      </c>
      <c r="BD51" s="97">
        <v>113543.30799999999</v>
      </c>
      <c r="BE51" s="97">
        <v>110664.717</v>
      </c>
      <c r="BF51" s="97">
        <v>114909.36</v>
      </c>
      <c r="BG51" s="97">
        <v>120556</v>
      </c>
      <c r="BH51" s="97">
        <v>122229</v>
      </c>
      <c r="BI51" s="97">
        <v>123414</v>
      </c>
      <c r="BJ51" s="97">
        <f>135160-'NCES-Private Grads-all races'!BF50</f>
        <v>119930</v>
      </c>
      <c r="BK51" s="142">
        <v>110360</v>
      </c>
      <c r="BL51" s="143">
        <v>109370</v>
      </c>
      <c r="BM51" s="143">
        <v>106100</v>
      </c>
      <c r="BN51" s="143">
        <v>103810</v>
      </c>
      <c r="BO51" s="143">
        <v>101340</v>
      </c>
      <c r="BP51" s="143">
        <v>102980</v>
      </c>
      <c r="BQ51" s="143">
        <v>102710</v>
      </c>
      <c r="BR51" s="143">
        <v>103610</v>
      </c>
      <c r="BS51" s="143">
        <v>103130</v>
      </c>
      <c r="BT51" s="143">
        <v>101650</v>
      </c>
      <c r="BU51" s="143">
        <v>101170</v>
      </c>
      <c r="BV51" s="143">
        <v>100990</v>
      </c>
      <c r="BW51" s="143">
        <v>99610</v>
      </c>
      <c r="BX51" s="97"/>
      <c r="BY51" s="97"/>
      <c r="BZ51" s="97"/>
      <c r="CA51" s="97"/>
      <c r="CB51" s="97"/>
      <c r="CC51" s="97"/>
      <c r="CD51" s="97"/>
      <c r="CE51" s="97"/>
      <c r="CF51" s="97"/>
    </row>
    <row r="52" spans="1:84">
      <c r="A52" s="114" t="s">
        <v>75</v>
      </c>
      <c r="B52" s="98">
        <v>7582</v>
      </c>
      <c r="C52" s="95">
        <f t="shared" si="13"/>
        <v>7884</v>
      </c>
      <c r="D52" s="97">
        <v>8186</v>
      </c>
      <c r="E52" s="97">
        <v>8174</v>
      </c>
      <c r="F52" s="97">
        <v>9086</v>
      </c>
      <c r="G52" s="97">
        <v>9898</v>
      </c>
      <c r="H52" s="95">
        <f t="shared" si="14"/>
        <v>10269.799999999999</v>
      </c>
      <c r="I52" s="97">
        <f t="shared" si="14"/>
        <v>10641.599999999999</v>
      </c>
      <c r="J52" s="97">
        <f t="shared" si="14"/>
        <v>11013.399999999998</v>
      </c>
      <c r="K52" s="97">
        <f t="shared" si="14"/>
        <v>11385.199999999997</v>
      </c>
      <c r="L52" s="97">
        <v>11757</v>
      </c>
      <c r="M52" s="97">
        <v>11875</v>
      </c>
      <c r="N52" s="99">
        <v>11945</v>
      </c>
      <c r="O52" s="97">
        <v>12164</v>
      </c>
      <c r="P52" s="99">
        <v>11894</v>
      </c>
      <c r="Q52" s="97">
        <v>11725</v>
      </c>
      <c r="R52" s="127">
        <v>11340</v>
      </c>
      <c r="S52" s="127">
        <v>11293</v>
      </c>
      <c r="T52" s="127">
        <v>11349</v>
      </c>
      <c r="U52" s="127">
        <v>11092</v>
      </c>
      <c r="V52" s="127">
        <v>10689</v>
      </c>
      <c r="W52" s="97">
        <v>10385</v>
      </c>
      <c r="X52" s="98">
        <v>9864</v>
      </c>
      <c r="Y52" s="98">
        <v>9206</v>
      </c>
      <c r="Z52" s="98">
        <v>8638</v>
      </c>
      <c r="AA52" s="98">
        <v>8206</v>
      </c>
      <c r="AB52" s="98">
        <v>7870</v>
      </c>
      <c r="AC52" s="97">
        <v>8074</v>
      </c>
      <c r="AD52" s="98">
        <v>8415</v>
      </c>
      <c r="AE52" s="98">
        <v>8181</v>
      </c>
      <c r="AF52" s="98">
        <v>7650</v>
      </c>
      <c r="AG52" s="98">
        <v>7127</v>
      </c>
      <c r="AH52" s="98">
        <v>7261</v>
      </c>
      <c r="AI52" s="97">
        <v>7952</v>
      </c>
      <c r="AJ52" s="97">
        <v>8442</v>
      </c>
      <c r="AK52" s="97">
        <v>8355</v>
      </c>
      <c r="AL52" s="97">
        <v>8532</v>
      </c>
      <c r="AM52" s="97">
        <v>9247</v>
      </c>
      <c r="AN52" s="97">
        <v>9140</v>
      </c>
      <c r="AO52" s="97">
        <v>8757</v>
      </c>
      <c r="AP52" s="97">
        <v>9278</v>
      </c>
      <c r="AQ52" s="97">
        <v>8881</v>
      </c>
      <c r="AR52" s="97">
        <v>8796</v>
      </c>
      <c r="AS52" s="97">
        <v>8999</v>
      </c>
      <c r="AT52" s="97">
        <v>9001</v>
      </c>
      <c r="AU52" s="97">
        <v>8585</v>
      </c>
      <c r="AV52" s="97">
        <v>8589</v>
      </c>
      <c r="AW52" s="97">
        <v>8346</v>
      </c>
      <c r="AX52" s="97">
        <v>8582</v>
      </c>
      <c r="AY52" s="97">
        <v>8123</v>
      </c>
      <c r="AZ52" s="97">
        <v>8162</v>
      </c>
      <c r="BA52" s="97">
        <v>8248</v>
      </c>
      <c r="BB52" s="97">
        <v>8196</v>
      </c>
      <c r="BC52" s="97">
        <v>8239</v>
      </c>
      <c r="BD52" s="97">
        <v>7761.3950000000004</v>
      </c>
      <c r="BE52" s="97">
        <v>7801.0220000000008</v>
      </c>
      <c r="BF52" s="97">
        <v>7624.8320000000003</v>
      </c>
      <c r="BG52" s="97">
        <v>8368</v>
      </c>
      <c r="BH52" s="97">
        <v>8517</v>
      </c>
      <c r="BI52" s="97">
        <v>8231</v>
      </c>
      <c r="BJ52" s="97">
        <f>9450-'NCES-Private Grads-all races'!BF51</f>
        <v>8350</v>
      </c>
      <c r="BK52" s="142">
        <v>8460</v>
      </c>
      <c r="BL52" s="143">
        <v>8090</v>
      </c>
      <c r="BM52" s="143">
        <v>8030</v>
      </c>
      <c r="BN52" s="143">
        <v>8040</v>
      </c>
      <c r="BO52" s="143">
        <v>8000</v>
      </c>
      <c r="BP52" s="143">
        <v>7880</v>
      </c>
      <c r="BQ52" s="143">
        <v>7990</v>
      </c>
      <c r="BR52" s="143">
        <v>8080</v>
      </c>
      <c r="BS52" s="143">
        <v>7920</v>
      </c>
      <c r="BT52" s="143">
        <v>8070</v>
      </c>
      <c r="BU52" s="143">
        <v>8300</v>
      </c>
      <c r="BV52" s="143">
        <v>8470</v>
      </c>
      <c r="BW52" s="143">
        <v>8880</v>
      </c>
      <c r="BX52" s="97"/>
      <c r="BY52" s="97"/>
      <c r="BZ52" s="97"/>
      <c r="CA52" s="97"/>
      <c r="CB52" s="97"/>
      <c r="CC52" s="97"/>
      <c r="CD52" s="97"/>
      <c r="CE52" s="97"/>
      <c r="CF52" s="97"/>
    </row>
    <row r="53" spans="1:84">
      <c r="A53" s="438" t="s">
        <v>76</v>
      </c>
      <c r="B53" s="434">
        <v>40004</v>
      </c>
      <c r="C53" s="116">
        <f t="shared" si="13"/>
        <v>40702.5</v>
      </c>
      <c r="D53" s="435">
        <v>41401</v>
      </c>
      <c r="E53" s="435">
        <v>42559</v>
      </c>
      <c r="F53" s="435">
        <v>48304</v>
      </c>
      <c r="G53" s="435">
        <v>58829</v>
      </c>
      <c r="H53" s="116">
        <f t="shared" si="14"/>
        <v>60413.8</v>
      </c>
      <c r="I53" s="435">
        <f t="shared" si="14"/>
        <v>61998.600000000006</v>
      </c>
      <c r="J53" s="435">
        <f t="shared" si="14"/>
        <v>63583.400000000009</v>
      </c>
      <c r="K53" s="435">
        <f t="shared" si="14"/>
        <v>65168.200000000012</v>
      </c>
      <c r="L53" s="435">
        <v>66753</v>
      </c>
      <c r="M53" s="435">
        <v>67182</v>
      </c>
      <c r="N53" s="102">
        <v>69817</v>
      </c>
      <c r="O53" s="435">
        <v>70789</v>
      </c>
      <c r="P53" s="102">
        <v>69341</v>
      </c>
      <c r="Q53" s="435">
        <v>70979</v>
      </c>
      <c r="R53" s="436">
        <v>70355</v>
      </c>
      <c r="S53" s="436">
        <v>72367</v>
      </c>
      <c r="T53" s="436">
        <v>71295</v>
      </c>
      <c r="U53" s="436">
        <v>71291</v>
      </c>
      <c r="V53" s="436">
        <v>69332</v>
      </c>
      <c r="W53" s="435">
        <v>67743</v>
      </c>
      <c r="X53" s="434">
        <v>67357</v>
      </c>
      <c r="Y53" s="434">
        <v>64321</v>
      </c>
      <c r="Z53" s="434">
        <v>62189</v>
      </c>
      <c r="AA53" s="434">
        <v>58851</v>
      </c>
      <c r="AB53" s="434">
        <v>58340</v>
      </c>
      <c r="AC53" s="435">
        <v>56872</v>
      </c>
      <c r="AD53" s="434">
        <v>58428</v>
      </c>
      <c r="AE53" s="434">
        <v>54994</v>
      </c>
      <c r="AF53" s="434">
        <v>52038</v>
      </c>
      <c r="AG53" s="434">
        <v>49340</v>
      </c>
      <c r="AH53" s="434">
        <v>48563</v>
      </c>
      <c r="AI53" s="435">
        <v>50027</v>
      </c>
      <c r="AJ53" s="435">
        <v>48371</v>
      </c>
      <c r="AK53" s="435">
        <v>51735</v>
      </c>
      <c r="AL53" s="435">
        <v>52651</v>
      </c>
      <c r="AM53" s="435">
        <v>55189</v>
      </c>
      <c r="AN53" s="435">
        <v>57607</v>
      </c>
      <c r="AO53" s="435">
        <v>58312</v>
      </c>
      <c r="AP53" s="435">
        <v>58545</v>
      </c>
      <c r="AQ53" s="435">
        <v>59341</v>
      </c>
      <c r="AR53" s="435">
        <v>60575</v>
      </c>
      <c r="AS53" s="435">
        <v>63272</v>
      </c>
      <c r="AT53" s="435">
        <v>62784</v>
      </c>
      <c r="AU53" s="435">
        <v>63229</v>
      </c>
      <c r="AV53" s="435">
        <v>63003</v>
      </c>
      <c r="AW53" s="435">
        <v>63968</v>
      </c>
      <c r="AX53" s="435">
        <v>65183</v>
      </c>
      <c r="AY53" s="435">
        <v>65410</v>
      </c>
      <c r="AZ53" s="435">
        <v>64687</v>
      </c>
      <c r="BA53" s="435">
        <v>64135</v>
      </c>
      <c r="BB53" s="435">
        <v>62705</v>
      </c>
      <c r="BC53" s="435">
        <v>61425</v>
      </c>
      <c r="BD53" s="435">
        <v>58562.827999999994</v>
      </c>
      <c r="BE53" s="435">
        <v>57671.275999999998</v>
      </c>
      <c r="BF53" s="435">
        <v>55804.14</v>
      </c>
      <c r="BG53" s="435">
        <v>60373</v>
      </c>
      <c r="BH53" s="435">
        <v>61838</v>
      </c>
      <c r="BI53" s="435">
        <v>61503</v>
      </c>
      <c r="BJ53" s="435">
        <f>65960-'NCES-Private Grads-all races'!BF52</f>
        <v>59640</v>
      </c>
      <c r="BK53" s="439">
        <v>63020</v>
      </c>
      <c r="BL53" s="440">
        <v>61710</v>
      </c>
      <c r="BM53" s="440">
        <v>59890</v>
      </c>
      <c r="BN53" s="440">
        <v>59140</v>
      </c>
      <c r="BO53" s="440">
        <v>58500</v>
      </c>
      <c r="BP53" s="440">
        <v>58610</v>
      </c>
      <c r="BQ53" s="440">
        <v>58780</v>
      </c>
      <c r="BR53" s="440">
        <v>59590</v>
      </c>
      <c r="BS53" s="440">
        <v>59180</v>
      </c>
      <c r="BT53" s="440">
        <v>58480</v>
      </c>
      <c r="BU53" s="440">
        <v>58850</v>
      </c>
      <c r="BV53" s="440">
        <v>59640</v>
      </c>
      <c r="BW53" s="440">
        <v>59120</v>
      </c>
      <c r="BX53" s="97"/>
      <c r="BY53" s="97"/>
      <c r="BZ53" s="97"/>
      <c r="CA53" s="97"/>
      <c r="CB53" s="97"/>
      <c r="CC53" s="97"/>
      <c r="CD53" s="97"/>
      <c r="CE53" s="97"/>
      <c r="CF53" s="97"/>
    </row>
    <row r="54" spans="1:84">
      <c r="A54" s="113" t="s">
        <v>77</v>
      </c>
      <c r="B54" s="95">
        <f>SUM(B56:B64)</f>
        <v>386563</v>
      </c>
      <c r="C54" s="95">
        <f t="shared" ref="C54:BW54" si="15">SUM(C56:C64)</f>
        <v>381699.5</v>
      </c>
      <c r="D54" s="95">
        <f t="shared" si="15"/>
        <v>376836</v>
      </c>
      <c r="E54" s="95">
        <f t="shared" si="15"/>
        <v>383066</v>
      </c>
      <c r="F54" s="95">
        <f t="shared" si="15"/>
        <v>473382</v>
      </c>
      <c r="G54" s="95">
        <f t="shared" si="15"/>
        <v>532565</v>
      </c>
      <c r="H54" s="95">
        <f t="shared" si="15"/>
        <v>539030.4</v>
      </c>
      <c r="I54" s="95">
        <f t="shared" si="15"/>
        <v>545495.79999999993</v>
      </c>
      <c r="J54" s="95">
        <f t="shared" si="15"/>
        <v>551961.20000000007</v>
      </c>
      <c r="K54" s="95">
        <f t="shared" si="15"/>
        <v>558426.6</v>
      </c>
      <c r="L54" s="95">
        <f t="shared" si="15"/>
        <v>564892</v>
      </c>
      <c r="M54" s="95">
        <f t="shared" si="15"/>
        <v>570751</v>
      </c>
      <c r="N54" s="95">
        <f t="shared" si="15"/>
        <v>591023</v>
      </c>
      <c r="O54" s="95">
        <f t="shared" si="15"/>
        <v>601609</v>
      </c>
      <c r="P54" s="95">
        <f t="shared" si="15"/>
        <v>620292</v>
      </c>
      <c r="Q54" s="95">
        <f t="shared" si="15"/>
        <v>635073</v>
      </c>
      <c r="R54" s="95">
        <f t="shared" si="15"/>
        <v>641103</v>
      </c>
      <c r="S54" s="95">
        <f t="shared" si="15"/>
        <v>630114</v>
      </c>
      <c r="T54" s="95">
        <f t="shared" si="15"/>
        <v>626306</v>
      </c>
      <c r="U54" s="95">
        <f t="shared" si="15"/>
        <v>621105</v>
      </c>
      <c r="V54" s="95">
        <f t="shared" si="15"/>
        <v>601335</v>
      </c>
      <c r="W54" s="95">
        <f t="shared" si="15"/>
        <v>593727</v>
      </c>
      <c r="X54" s="95">
        <f t="shared" si="15"/>
        <v>586322</v>
      </c>
      <c r="Y54" s="95">
        <f t="shared" si="15"/>
        <v>561601</v>
      </c>
      <c r="Z54" s="95">
        <f t="shared" si="15"/>
        <v>533542</v>
      </c>
      <c r="AA54" s="95">
        <f t="shared" si="15"/>
        <v>511189</v>
      </c>
      <c r="AB54" s="95">
        <f t="shared" si="15"/>
        <v>496104</v>
      </c>
      <c r="AC54" s="95">
        <f t="shared" si="15"/>
        <v>495738</v>
      </c>
      <c r="AD54" s="95">
        <f t="shared" si="15"/>
        <v>503041</v>
      </c>
      <c r="AE54" s="95">
        <f t="shared" si="15"/>
        <v>477668</v>
      </c>
      <c r="AF54" s="95">
        <f t="shared" si="15"/>
        <v>446045</v>
      </c>
      <c r="AG54" s="95">
        <f t="shared" si="15"/>
        <v>419007</v>
      </c>
      <c r="AH54" s="95">
        <f t="shared" si="15"/>
        <v>419115</v>
      </c>
      <c r="AI54" s="95">
        <f t="shared" si="15"/>
        <v>413955</v>
      </c>
      <c r="AJ54" s="95">
        <f t="shared" si="15"/>
        <v>408755</v>
      </c>
      <c r="AK54" s="95">
        <f t="shared" si="15"/>
        <v>413417</v>
      </c>
      <c r="AL54" s="95">
        <f t="shared" si="15"/>
        <v>417843</v>
      </c>
      <c r="AM54" s="95">
        <f t="shared" si="15"/>
        <v>432280</v>
      </c>
      <c r="AN54" s="95">
        <f t="shared" si="15"/>
        <v>430450</v>
      </c>
      <c r="AO54" s="95">
        <f t="shared" si="15"/>
        <v>437156</v>
      </c>
      <c r="AP54" s="95">
        <f t="shared" si="15"/>
        <v>453814</v>
      </c>
      <c r="AQ54" s="95">
        <f t="shared" si="15"/>
        <v>457638</v>
      </c>
      <c r="AR54" s="95">
        <f t="shared" si="15"/>
        <v>461479</v>
      </c>
      <c r="AS54" s="95">
        <f t="shared" si="15"/>
        <v>477241</v>
      </c>
      <c r="AT54" s="95">
        <f t="shared" si="15"/>
        <v>485670</v>
      </c>
      <c r="AU54" s="95">
        <f t="shared" si="15"/>
        <v>503528</v>
      </c>
      <c r="AV54" s="95">
        <f t="shared" si="15"/>
        <v>521015</v>
      </c>
      <c r="AW54" s="95">
        <f t="shared" si="15"/>
        <v>536697</v>
      </c>
      <c r="AX54" s="95">
        <f t="shared" si="15"/>
        <v>552289</v>
      </c>
      <c r="AY54" s="95">
        <f t="shared" si="15"/>
        <v>552973</v>
      </c>
      <c r="AZ54" s="95">
        <f>SUM(AZ56:AZ64)</f>
        <v>556400</v>
      </c>
      <c r="BA54" s="95">
        <f>SUM(BA56:BA64)</f>
        <v>556611</v>
      </c>
      <c r="BB54" s="95">
        <f>SUM(BB56:BB64)</f>
        <v>554705</v>
      </c>
      <c r="BC54" s="95">
        <f>SUM(BC56:BC64)</f>
        <v>555202</v>
      </c>
      <c r="BD54" s="95">
        <f t="shared" ref="BD54:BJ54" si="16">SUM(BD56:BD64)</f>
        <v>525281.25900000008</v>
      </c>
      <c r="BE54" s="95">
        <f t="shared" si="16"/>
        <v>520340.98600000003</v>
      </c>
      <c r="BF54" s="95">
        <f t="shared" si="16"/>
        <v>522815.26900000003</v>
      </c>
      <c r="BG54" s="95">
        <f t="shared" si="16"/>
        <v>547812</v>
      </c>
      <c r="BH54" s="95">
        <f t="shared" si="16"/>
        <v>554318</v>
      </c>
      <c r="BI54" s="95">
        <f t="shared" si="16"/>
        <v>552579</v>
      </c>
      <c r="BJ54" s="95">
        <f t="shared" si="16"/>
        <v>546690</v>
      </c>
      <c r="BK54" s="432">
        <f t="shared" si="15"/>
        <v>556040</v>
      </c>
      <c r="BL54" s="141">
        <f t="shared" si="15"/>
        <v>547540</v>
      </c>
      <c r="BM54" s="141">
        <f>SUM(BM56:BM64)</f>
        <v>541790</v>
      </c>
      <c r="BN54" s="141">
        <f t="shared" si="15"/>
        <v>524550</v>
      </c>
      <c r="BO54" s="141">
        <f t="shared" si="15"/>
        <v>511660</v>
      </c>
      <c r="BP54" s="141">
        <f t="shared" si="15"/>
        <v>510350</v>
      </c>
      <c r="BQ54" s="141">
        <f t="shared" si="15"/>
        <v>507530</v>
      </c>
      <c r="BR54" s="141">
        <f t="shared" si="15"/>
        <v>509230</v>
      </c>
      <c r="BS54" s="141">
        <f t="shared" si="15"/>
        <v>506210</v>
      </c>
      <c r="BT54" s="141">
        <f t="shared" si="15"/>
        <v>501740</v>
      </c>
      <c r="BU54" s="141">
        <f t="shared" si="15"/>
        <v>509280</v>
      </c>
      <c r="BV54" s="141">
        <f t="shared" si="15"/>
        <v>508820</v>
      </c>
      <c r="BW54" s="141">
        <f t="shared" si="15"/>
        <v>502760</v>
      </c>
      <c r="BX54" s="97"/>
      <c r="BY54" s="97"/>
      <c r="BZ54" s="97"/>
      <c r="CA54" s="97"/>
      <c r="CB54" s="97"/>
      <c r="CC54" s="97"/>
      <c r="CD54" s="97"/>
      <c r="CE54" s="97"/>
      <c r="CF54" s="97"/>
    </row>
    <row r="55" spans="1:84">
      <c r="A55" s="113" t="s">
        <v>129</v>
      </c>
      <c r="B55" s="98"/>
      <c r="C55" s="95"/>
      <c r="D55" s="97"/>
      <c r="E55" s="97"/>
      <c r="F55" s="97"/>
      <c r="G55" s="97"/>
      <c r="H55" s="95"/>
      <c r="I55" s="97"/>
      <c r="J55" s="97"/>
      <c r="K55" s="97"/>
      <c r="L55" s="97"/>
      <c r="M55" s="97"/>
      <c r="N55" s="99"/>
      <c r="O55" s="97"/>
      <c r="P55" s="99"/>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142"/>
      <c r="BL55" s="143"/>
      <c r="BM55" s="143"/>
      <c r="BN55" s="143"/>
      <c r="BO55" s="143"/>
      <c r="BP55" s="143"/>
      <c r="BQ55" s="143"/>
      <c r="BR55" s="143"/>
      <c r="BS55" s="143"/>
      <c r="BT55" s="143"/>
      <c r="BU55" s="143"/>
      <c r="BV55" s="143"/>
      <c r="BW55" s="143"/>
      <c r="BX55" s="97"/>
      <c r="BY55" s="97"/>
      <c r="BZ55" s="97"/>
      <c r="CA55" s="97"/>
      <c r="CB55" s="97"/>
      <c r="CC55" s="97"/>
      <c r="CD55" s="97"/>
      <c r="CE55" s="97"/>
      <c r="CF55" s="97"/>
    </row>
    <row r="56" spans="1:84">
      <c r="A56" s="114" t="s">
        <v>78</v>
      </c>
      <c r="B56" s="98">
        <v>22200</v>
      </c>
      <c r="C56" s="95">
        <f t="shared" ref="C56:C65" si="17">((D56-B56)/2)+B56</f>
        <v>22070.5</v>
      </c>
      <c r="D56" s="97">
        <v>21941</v>
      </c>
      <c r="E56" s="97">
        <v>22378</v>
      </c>
      <c r="F56" s="97">
        <v>27929</v>
      </c>
      <c r="G56" s="97">
        <v>31729</v>
      </c>
      <c r="H56" s="95">
        <f t="shared" ref="H56:K65" si="18">(($L56-$G56)/5)+G56</f>
        <v>32334.2</v>
      </c>
      <c r="I56" s="97">
        <f t="shared" si="18"/>
        <v>32939.4</v>
      </c>
      <c r="J56" s="97">
        <f t="shared" si="18"/>
        <v>33544.6</v>
      </c>
      <c r="K56" s="97">
        <f t="shared" si="18"/>
        <v>34149.799999999996</v>
      </c>
      <c r="L56" s="97">
        <v>34755</v>
      </c>
      <c r="M56" s="97">
        <v>35155</v>
      </c>
      <c r="N56" s="99">
        <v>37804</v>
      </c>
      <c r="O56" s="97">
        <v>37871</v>
      </c>
      <c r="P56" s="99">
        <v>39171</v>
      </c>
      <c r="Q56" s="97">
        <v>42792</v>
      </c>
      <c r="R56" s="127">
        <v>40612</v>
      </c>
      <c r="S56" s="127">
        <v>39485</v>
      </c>
      <c r="T56" s="127">
        <v>38860</v>
      </c>
      <c r="U56" s="127">
        <v>38369</v>
      </c>
      <c r="V56" s="127">
        <v>37683</v>
      </c>
      <c r="W56" s="97">
        <v>38369</v>
      </c>
      <c r="X56" s="98">
        <v>37706</v>
      </c>
      <c r="Y56" s="98">
        <v>36204</v>
      </c>
      <c r="Z56" s="98">
        <v>33679</v>
      </c>
      <c r="AA56" s="98">
        <v>32126</v>
      </c>
      <c r="AB56" s="98">
        <v>33571</v>
      </c>
      <c r="AC56" s="97">
        <v>31141</v>
      </c>
      <c r="AD56" s="98">
        <v>32383</v>
      </c>
      <c r="AE56" s="98">
        <v>30862</v>
      </c>
      <c r="AF56" s="98">
        <v>27878</v>
      </c>
      <c r="AG56" s="98">
        <v>27290</v>
      </c>
      <c r="AH56" s="98">
        <v>27079</v>
      </c>
      <c r="AI56" s="97">
        <v>26799</v>
      </c>
      <c r="AJ56" s="97">
        <v>26330</v>
      </c>
      <c r="AK56" s="97">
        <v>26445</v>
      </c>
      <c r="AL56" s="97">
        <v>26319</v>
      </c>
      <c r="AM56" s="97">
        <v>27029</v>
      </c>
      <c r="AN56" s="97">
        <v>27885</v>
      </c>
      <c r="AO56" s="97">
        <v>28284</v>
      </c>
      <c r="AP56" s="97">
        <v>31562</v>
      </c>
      <c r="AQ56" s="97">
        <v>30388</v>
      </c>
      <c r="AR56" s="97">
        <v>32327</v>
      </c>
      <c r="AS56" s="97">
        <v>33667</v>
      </c>
      <c r="AT56" s="97">
        <v>34573</v>
      </c>
      <c r="AU56" s="97">
        <v>35515</v>
      </c>
      <c r="AV56" s="97">
        <v>36222</v>
      </c>
      <c r="AW56" s="97">
        <v>37541</v>
      </c>
      <c r="AX56" s="97">
        <v>38419</v>
      </c>
      <c r="AY56" s="97">
        <v>34968</v>
      </c>
      <c r="AZ56" s="97">
        <v>34495</v>
      </c>
      <c r="BA56" s="97">
        <v>38854</v>
      </c>
      <c r="BB56" s="97">
        <v>38681</v>
      </c>
      <c r="BC56" s="97">
        <v>38722</v>
      </c>
      <c r="BD56" s="97">
        <v>37453.5</v>
      </c>
      <c r="BE56" s="97">
        <v>36969.311999999998</v>
      </c>
      <c r="BF56" s="97">
        <v>37213.172000000006</v>
      </c>
      <c r="BG56" s="97">
        <v>38775</v>
      </c>
      <c r="BH56" s="97">
        <v>38781</v>
      </c>
      <c r="BI56" s="97">
        <v>38318</v>
      </c>
      <c r="BJ56" s="97">
        <f>43180-'NCES-Private Grads-all races'!BF55</f>
        <v>37440</v>
      </c>
      <c r="BK56" s="142">
        <v>36910</v>
      </c>
      <c r="BL56" s="143">
        <v>36290</v>
      </c>
      <c r="BM56" s="143">
        <v>35820</v>
      </c>
      <c r="BN56" s="143">
        <v>35200</v>
      </c>
      <c r="BO56" s="143">
        <v>34280</v>
      </c>
      <c r="BP56" s="143">
        <v>34300</v>
      </c>
      <c r="BQ56" s="143">
        <v>33790</v>
      </c>
      <c r="BR56" s="143">
        <v>33420</v>
      </c>
      <c r="BS56" s="143">
        <v>33080</v>
      </c>
      <c r="BT56" s="143">
        <v>32330</v>
      </c>
      <c r="BU56" s="143">
        <v>32960</v>
      </c>
      <c r="BV56" s="143">
        <v>32090</v>
      </c>
      <c r="BW56" s="143">
        <v>31800</v>
      </c>
      <c r="BX56" s="97"/>
      <c r="BY56" s="97"/>
      <c r="BZ56" s="97"/>
      <c r="CA56" s="97"/>
      <c r="CB56" s="97"/>
      <c r="CC56" s="97"/>
      <c r="CD56" s="97"/>
      <c r="CE56" s="97"/>
      <c r="CF56" s="97"/>
    </row>
    <row r="57" spans="1:84">
      <c r="A57" s="114" t="s">
        <v>79</v>
      </c>
      <c r="B57" s="98">
        <v>8304</v>
      </c>
      <c r="C57" s="95">
        <f t="shared" si="17"/>
        <v>8479.5</v>
      </c>
      <c r="D57" s="97">
        <v>8655</v>
      </c>
      <c r="E57" s="97">
        <v>8513</v>
      </c>
      <c r="F57" s="97">
        <v>9779</v>
      </c>
      <c r="G57" s="97">
        <v>12661</v>
      </c>
      <c r="H57" s="95">
        <f t="shared" si="18"/>
        <v>12929.4</v>
      </c>
      <c r="I57" s="97">
        <f t="shared" si="18"/>
        <v>13197.8</v>
      </c>
      <c r="J57" s="97">
        <f t="shared" si="18"/>
        <v>13466.199999999999</v>
      </c>
      <c r="K57" s="97">
        <f t="shared" si="18"/>
        <v>13734.599999999999</v>
      </c>
      <c r="L57" s="97">
        <v>14003</v>
      </c>
      <c r="M57" s="97">
        <v>13857</v>
      </c>
      <c r="N57" s="99">
        <v>14356</v>
      </c>
      <c r="O57" s="97">
        <v>14377</v>
      </c>
      <c r="P57" s="99">
        <v>14491</v>
      </c>
      <c r="Q57" s="97">
        <v>14830</v>
      </c>
      <c r="R57" s="127">
        <v>15200</v>
      </c>
      <c r="S57" s="127">
        <v>15205</v>
      </c>
      <c r="T57" s="127">
        <v>15364</v>
      </c>
      <c r="U57" s="127">
        <v>15402</v>
      </c>
      <c r="V57" s="127">
        <v>15445</v>
      </c>
      <c r="W57" s="97">
        <v>15554</v>
      </c>
      <c r="X57" s="98">
        <v>14764</v>
      </c>
      <c r="Y57" s="98">
        <v>14600</v>
      </c>
      <c r="Z57" s="98">
        <v>13935</v>
      </c>
      <c r="AA57" s="98">
        <v>13924</v>
      </c>
      <c r="AB57" s="98">
        <v>13006</v>
      </c>
      <c r="AC57" s="97">
        <v>13692</v>
      </c>
      <c r="AD57" s="98">
        <v>13808</v>
      </c>
      <c r="AE57" s="98">
        <v>13857</v>
      </c>
      <c r="AF57" s="98">
        <v>13839</v>
      </c>
      <c r="AG57" s="98">
        <v>13151</v>
      </c>
      <c r="AH57" s="98">
        <v>13177</v>
      </c>
      <c r="AI57" s="97">
        <v>12103</v>
      </c>
      <c r="AJ57" s="97">
        <v>11384</v>
      </c>
      <c r="AK57" s="97">
        <v>11501</v>
      </c>
      <c r="AL57" s="97">
        <v>11795</v>
      </c>
      <c r="AM57" s="97">
        <v>12019</v>
      </c>
      <c r="AN57" s="97">
        <v>12171</v>
      </c>
      <c r="AO57" s="97">
        <v>11988</v>
      </c>
      <c r="AP57" s="97">
        <v>12211</v>
      </c>
      <c r="AQ57" s="97">
        <v>12654</v>
      </c>
      <c r="AR57" s="97">
        <v>12593</v>
      </c>
      <c r="AS57" s="97">
        <v>12947</v>
      </c>
      <c r="AT57" s="97">
        <v>13278</v>
      </c>
      <c r="AU57" s="97">
        <v>13077</v>
      </c>
      <c r="AV57" s="97">
        <v>12950</v>
      </c>
      <c r="AW57" s="97">
        <v>13151</v>
      </c>
      <c r="AX57" s="97">
        <v>14350</v>
      </c>
      <c r="AY57" s="97">
        <v>14093</v>
      </c>
      <c r="AZ57" s="97">
        <v>14069</v>
      </c>
      <c r="BA57" s="97">
        <v>13653</v>
      </c>
      <c r="BB57" s="97">
        <v>13473</v>
      </c>
      <c r="BC57" s="97">
        <v>13170</v>
      </c>
      <c r="BD57" s="97">
        <v>12363.445</v>
      </c>
      <c r="BE57" s="97">
        <v>12358.5</v>
      </c>
      <c r="BF57" s="97">
        <v>12396.63</v>
      </c>
      <c r="BG57" s="97">
        <v>11639</v>
      </c>
      <c r="BH57" s="97">
        <v>12511</v>
      </c>
      <c r="BI57" s="97">
        <v>11679</v>
      </c>
      <c r="BJ57" s="97">
        <f>14300-'NCES-Private Grads-all races'!BF56</f>
        <v>11850</v>
      </c>
      <c r="BK57" s="142">
        <v>14040</v>
      </c>
      <c r="BL57" s="143">
        <v>13650</v>
      </c>
      <c r="BM57" s="143">
        <v>13250</v>
      </c>
      <c r="BN57" s="143">
        <v>12850</v>
      </c>
      <c r="BO57" s="143">
        <v>12660</v>
      </c>
      <c r="BP57" s="143">
        <v>12810</v>
      </c>
      <c r="BQ57" s="143">
        <v>12610</v>
      </c>
      <c r="BR57" s="143">
        <v>12560</v>
      </c>
      <c r="BS57" s="143">
        <v>12490</v>
      </c>
      <c r="BT57" s="143">
        <v>12330</v>
      </c>
      <c r="BU57" s="143">
        <v>12350</v>
      </c>
      <c r="BV57" s="143">
        <v>12580</v>
      </c>
      <c r="BW57" s="143">
        <v>12740</v>
      </c>
      <c r="BX57" s="97"/>
      <c r="BY57" s="97"/>
      <c r="BZ57" s="97"/>
      <c r="CA57" s="97"/>
      <c r="CB57" s="97"/>
      <c r="CC57" s="97"/>
      <c r="CD57" s="97"/>
      <c r="CE57" s="97"/>
      <c r="CF57" s="97"/>
    </row>
    <row r="58" spans="1:84">
      <c r="A58" s="114" t="s">
        <v>80</v>
      </c>
      <c r="B58" s="98">
        <v>47599</v>
      </c>
      <c r="C58" s="95">
        <f t="shared" si="17"/>
        <v>46712.5</v>
      </c>
      <c r="D58" s="97">
        <v>45826</v>
      </c>
      <c r="E58" s="97">
        <v>43909</v>
      </c>
      <c r="F58" s="97">
        <v>53606</v>
      </c>
      <c r="G58" s="97">
        <v>63364</v>
      </c>
      <c r="H58" s="95">
        <f t="shared" si="18"/>
        <v>63464.2</v>
      </c>
      <c r="I58" s="97">
        <f t="shared" si="18"/>
        <v>63564.399999999994</v>
      </c>
      <c r="J58" s="97">
        <f t="shared" si="18"/>
        <v>63664.599999999991</v>
      </c>
      <c r="K58" s="97">
        <f t="shared" si="18"/>
        <v>63764.799999999988</v>
      </c>
      <c r="L58" s="97">
        <v>63865</v>
      </c>
      <c r="M58" s="97">
        <v>62153</v>
      </c>
      <c r="N58" s="99">
        <v>67487</v>
      </c>
      <c r="O58" s="97">
        <v>72696</v>
      </c>
      <c r="P58" s="99">
        <v>78000</v>
      </c>
      <c r="Q58" s="97">
        <v>79000</v>
      </c>
      <c r="R58" s="127">
        <v>81207</v>
      </c>
      <c r="S58" s="127">
        <v>75386</v>
      </c>
      <c r="T58" s="127">
        <v>78348</v>
      </c>
      <c r="U58" s="127">
        <v>76097</v>
      </c>
      <c r="V58" s="127">
        <v>73802</v>
      </c>
      <c r="W58" s="97">
        <v>74831</v>
      </c>
      <c r="X58" s="98">
        <v>73414</v>
      </c>
      <c r="Y58" s="98">
        <v>71219</v>
      </c>
      <c r="Z58" s="98">
        <v>65885</v>
      </c>
      <c r="AA58" s="98">
        <v>63411</v>
      </c>
      <c r="AB58" s="98">
        <v>60360</v>
      </c>
      <c r="AC58" s="97">
        <v>61010</v>
      </c>
      <c r="AD58" s="98">
        <v>59515</v>
      </c>
      <c r="AE58" s="98">
        <v>57328</v>
      </c>
      <c r="AF58" s="98">
        <v>55941</v>
      </c>
      <c r="AG58" s="98">
        <v>50216</v>
      </c>
      <c r="AH58" s="98">
        <v>50317</v>
      </c>
      <c r="AI58" s="97">
        <v>48321</v>
      </c>
      <c r="AJ58" s="97">
        <v>47453</v>
      </c>
      <c r="AK58" s="97">
        <v>47679</v>
      </c>
      <c r="AL58" s="97">
        <v>47993</v>
      </c>
      <c r="AM58" s="97">
        <v>49008</v>
      </c>
      <c r="AN58" s="97">
        <v>50452</v>
      </c>
      <c r="AO58" s="97">
        <v>51465</v>
      </c>
      <c r="AP58" s="97">
        <v>52950</v>
      </c>
      <c r="AQ58" s="97">
        <v>54393</v>
      </c>
      <c r="AR58" s="97">
        <v>55272</v>
      </c>
      <c r="AS58" s="97">
        <v>55987</v>
      </c>
      <c r="AT58" s="97">
        <v>58326</v>
      </c>
      <c r="AU58" s="97">
        <v>59665</v>
      </c>
      <c r="AV58" s="97">
        <v>61272</v>
      </c>
      <c r="AW58" s="97">
        <v>63903</v>
      </c>
      <c r="AX58" s="97">
        <v>65197</v>
      </c>
      <c r="AY58" s="97">
        <v>65258</v>
      </c>
      <c r="AZ58" s="97">
        <v>64462</v>
      </c>
      <c r="BA58" s="97">
        <v>64724</v>
      </c>
      <c r="BB58" s="97">
        <v>65157</v>
      </c>
      <c r="BC58" s="97">
        <v>66360</v>
      </c>
      <c r="BD58" s="97">
        <v>62997.648000000001</v>
      </c>
      <c r="BE58" s="97">
        <v>63269.802000000003</v>
      </c>
      <c r="BF58" s="97">
        <v>64789.375</v>
      </c>
      <c r="BG58" s="97">
        <v>67052</v>
      </c>
      <c r="BH58" s="97">
        <v>67061</v>
      </c>
      <c r="BI58" s="97">
        <v>67914</v>
      </c>
      <c r="BJ58" s="97">
        <f>78590-'NCES-Private Grads-all races'!BF57</f>
        <v>67240</v>
      </c>
      <c r="BK58" s="142">
        <v>63320</v>
      </c>
      <c r="BL58" s="143">
        <v>63090</v>
      </c>
      <c r="BM58" s="143">
        <v>63370</v>
      </c>
      <c r="BN58" s="143">
        <v>62250</v>
      </c>
      <c r="BO58" s="143">
        <v>61490</v>
      </c>
      <c r="BP58" s="143">
        <v>62440</v>
      </c>
      <c r="BQ58" s="143">
        <v>61730</v>
      </c>
      <c r="BR58" s="143">
        <v>61660</v>
      </c>
      <c r="BS58" s="143">
        <v>61650</v>
      </c>
      <c r="BT58" s="143">
        <v>60910</v>
      </c>
      <c r="BU58" s="143">
        <v>61510</v>
      </c>
      <c r="BV58" s="143">
        <v>61250</v>
      </c>
      <c r="BW58" s="143">
        <v>60370</v>
      </c>
      <c r="BX58" s="97"/>
      <c r="BY58" s="97"/>
      <c r="BZ58" s="97"/>
      <c r="CA58" s="97"/>
      <c r="CB58" s="97"/>
      <c r="CC58" s="97"/>
      <c r="CD58" s="97"/>
      <c r="CE58" s="97"/>
      <c r="CF58" s="97"/>
    </row>
    <row r="59" spans="1:84">
      <c r="A59" s="114" t="s">
        <v>81</v>
      </c>
      <c r="B59" s="98">
        <v>4947</v>
      </c>
      <c r="C59" s="95">
        <f t="shared" si="17"/>
        <v>4921.5</v>
      </c>
      <c r="D59" s="97">
        <v>4896</v>
      </c>
      <c r="E59" s="97">
        <v>4840</v>
      </c>
      <c r="F59" s="97">
        <v>6181</v>
      </c>
      <c r="G59" s="97">
        <v>7775</v>
      </c>
      <c r="H59" s="95">
        <f t="shared" si="18"/>
        <v>7923.2</v>
      </c>
      <c r="I59" s="97">
        <f t="shared" si="18"/>
        <v>8071.4</v>
      </c>
      <c r="J59" s="97">
        <f t="shared" si="18"/>
        <v>8219.6</v>
      </c>
      <c r="K59" s="97">
        <f t="shared" si="18"/>
        <v>8367.8000000000011</v>
      </c>
      <c r="L59" s="97">
        <v>8516</v>
      </c>
      <c r="M59" s="97">
        <v>9119</v>
      </c>
      <c r="N59" s="99">
        <v>9290</v>
      </c>
      <c r="O59" s="97">
        <v>9849</v>
      </c>
      <c r="P59" s="99">
        <v>9932</v>
      </c>
      <c r="Q59" s="97">
        <v>11050</v>
      </c>
      <c r="R59" s="127">
        <v>10663</v>
      </c>
      <c r="S59" s="127">
        <v>11477</v>
      </c>
      <c r="T59" s="127">
        <v>11360</v>
      </c>
      <c r="U59" s="127">
        <v>11853</v>
      </c>
      <c r="V59" s="127">
        <v>11722</v>
      </c>
      <c r="W59" s="97">
        <v>11552</v>
      </c>
      <c r="X59" s="98">
        <v>11669</v>
      </c>
      <c r="Y59" s="98">
        <v>11470</v>
      </c>
      <c r="Z59" s="98">
        <v>11478</v>
      </c>
      <c r="AA59" s="98">
        <v>11052</v>
      </c>
      <c r="AB59" s="98">
        <v>10648</v>
      </c>
      <c r="AC59" s="97">
        <v>10796</v>
      </c>
      <c r="AD59" s="98">
        <v>11685</v>
      </c>
      <c r="AE59" s="98">
        <v>11340</v>
      </c>
      <c r="AF59" s="98">
        <v>10766</v>
      </c>
      <c r="AG59" s="98">
        <v>10059</v>
      </c>
      <c r="AH59" s="98">
        <v>10329</v>
      </c>
      <c r="AI59" s="97">
        <v>10065</v>
      </c>
      <c r="AJ59" s="97">
        <v>9933</v>
      </c>
      <c r="AK59" s="97">
        <v>10145</v>
      </c>
      <c r="AL59" s="97">
        <v>10094</v>
      </c>
      <c r="AM59" s="97">
        <v>10487</v>
      </c>
      <c r="AN59" s="97">
        <v>10843</v>
      </c>
      <c r="AO59" s="97">
        <v>11251</v>
      </c>
      <c r="AP59" s="97">
        <v>11829</v>
      </c>
      <c r="AQ59" s="97">
        <v>12294</v>
      </c>
      <c r="AR59" s="97">
        <v>12452</v>
      </c>
      <c r="AS59" s="97">
        <v>13210</v>
      </c>
      <c r="AT59" s="97">
        <v>13309</v>
      </c>
      <c r="AU59" s="97">
        <v>13775</v>
      </c>
      <c r="AV59" s="97">
        <v>13988</v>
      </c>
      <c r="AW59" s="97">
        <v>14452</v>
      </c>
      <c r="AX59" s="97">
        <v>14982</v>
      </c>
      <c r="AY59" s="97">
        <v>14757</v>
      </c>
      <c r="AZ59" s="97">
        <v>15034</v>
      </c>
      <c r="BA59" s="97">
        <v>14495</v>
      </c>
      <c r="BB59" s="97">
        <v>14426</v>
      </c>
      <c r="BC59" s="97">
        <v>14262</v>
      </c>
      <c r="BD59" s="97">
        <v>13385.032999999998</v>
      </c>
      <c r="BE59" s="97">
        <v>13017.655999999999</v>
      </c>
      <c r="BF59" s="97">
        <v>12943.35</v>
      </c>
      <c r="BG59" s="97">
        <v>13037</v>
      </c>
      <c r="BH59" s="97">
        <v>12962</v>
      </c>
      <c r="BI59" s="97">
        <v>12785</v>
      </c>
      <c r="BJ59" s="97">
        <f>16060-'NCES-Private Grads-all races'!BF58</f>
        <v>13040</v>
      </c>
      <c r="BK59" s="142">
        <v>14330</v>
      </c>
      <c r="BL59" s="143">
        <v>14230</v>
      </c>
      <c r="BM59" s="143">
        <v>14160</v>
      </c>
      <c r="BN59" s="143">
        <v>13770</v>
      </c>
      <c r="BO59" s="143">
        <v>13710</v>
      </c>
      <c r="BP59" s="143">
        <v>13450</v>
      </c>
      <c r="BQ59" s="143">
        <v>13170</v>
      </c>
      <c r="BR59" s="143">
        <v>12980</v>
      </c>
      <c r="BS59" s="143">
        <v>12690</v>
      </c>
      <c r="BT59" s="143">
        <v>12660</v>
      </c>
      <c r="BU59" s="143">
        <v>12460</v>
      </c>
      <c r="BV59" s="143">
        <v>12410</v>
      </c>
      <c r="BW59" s="143">
        <v>12030</v>
      </c>
      <c r="BX59" s="97"/>
      <c r="BY59" s="97"/>
      <c r="BZ59" s="97"/>
      <c r="CA59" s="97"/>
      <c r="CB59" s="97"/>
      <c r="CC59" s="97"/>
      <c r="CD59" s="97"/>
      <c r="CE59" s="97"/>
      <c r="CF59" s="97"/>
    </row>
    <row r="60" spans="1:84">
      <c r="A60" s="114" t="s">
        <v>82</v>
      </c>
      <c r="B60" s="98">
        <v>52442</v>
      </c>
      <c r="C60" s="95">
        <f t="shared" si="17"/>
        <v>51709.5</v>
      </c>
      <c r="D60" s="97">
        <v>50977</v>
      </c>
      <c r="E60" s="97">
        <v>54439</v>
      </c>
      <c r="F60" s="97">
        <v>68142</v>
      </c>
      <c r="G60" s="97">
        <v>78000</v>
      </c>
      <c r="H60" s="95">
        <f t="shared" si="18"/>
        <v>79699.600000000006</v>
      </c>
      <c r="I60" s="97">
        <f t="shared" si="18"/>
        <v>81399.200000000012</v>
      </c>
      <c r="J60" s="97">
        <f t="shared" si="18"/>
        <v>83098.800000000017</v>
      </c>
      <c r="K60" s="97">
        <f t="shared" si="18"/>
        <v>84798.400000000023</v>
      </c>
      <c r="L60" s="97">
        <v>86498</v>
      </c>
      <c r="M60" s="97">
        <v>87718</v>
      </c>
      <c r="N60" s="99">
        <v>88106</v>
      </c>
      <c r="O60" s="97">
        <v>91629</v>
      </c>
      <c r="P60" s="99">
        <v>93918</v>
      </c>
      <c r="Q60" s="97">
        <v>96000</v>
      </c>
      <c r="R60" s="127">
        <v>97985</v>
      </c>
      <c r="S60" s="127">
        <v>97494</v>
      </c>
      <c r="T60" s="127">
        <v>97079</v>
      </c>
      <c r="U60" s="127">
        <v>97643</v>
      </c>
      <c r="V60" s="127">
        <v>94564</v>
      </c>
      <c r="W60" s="97">
        <v>93168</v>
      </c>
      <c r="X60" s="98">
        <v>93750</v>
      </c>
      <c r="Y60" s="98">
        <v>90048</v>
      </c>
      <c r="Z60" s="98">
        <v>85569</v>
      </c>
      <c r="AA60" s="98">
        <v>81547</v>
      </c>
      <c r="AB60" s="98">
        <v>78781</v>
      </c>
      <c r="AC60" s="97">
        <v>79376</v>
      </c>
      <c r="AD60" s="98">
        <v>80863</v>
      </c>
      <c r="AE60" s="98">
        <v>76263</v>
      </c>
      <c r="AF60" s="98">
        <v>69824</v>
      </c>
      <c r="AG60" s="98">
        <v>67003</v>
      </c>
      <c r="AH60" s="98">
        <v>66669</v>
      </c>
      <c r="AI60" s="97">
        <v>67134</v>
      </c>
      <c r="AJ60" s="97">
        <v>66125</v>
      </c>
      <c r="AK60" s="97">
        <v>67403</v>
      </c>
      <c r="AL60" s="97">
        <v>67704</v>
      </c>
      <c r="AM60" s="97">
        <v>70028</v>
      </c>
      <c r="AN60" s="97">
        <v>65106</v>
      </c>
      <c r="AO60" s="97">
        <v>67410</v>
      </c>
      <c r="AP60" s="97">
        <v>74420</v>
      </c>
      <c r="AQ60" s="97">
        <v>76130</v>
      </c>
      <c r="AR60" s="97">
        <v>77664</v>
      </c>
      <c r="AS60" s="97">
        <v>81391</v>
      </c>
      <c r="AT60" s="97">
        <v>83826</v>
      </c>
      <c r="AU60" s="97">
        <v>86502</v>
      </c>
      <c r="AV60" s="97">
        <v>90049</v>
      </c>
      <c r="AW60" s="97">
        <v>93013</v>
      </c>
      <c r="AX60" s="97">
        <v>94994</v>
      </c>
      <c r="AY60" s="97">
        <v>95085</v>
      </c>
      <c r="AZ60" s="97">
        <v>96225</v>
      </c>
      <c r="BA60" s="97">
        <v>95186</v>
      </c>
      <c r="BB60" s="97">
        <v>93819</v>
      </c>
      <c r="BC60" s="97">
        <v>96490</v>
      </c>
      <c r="BD60" s="97">
        <v>94059.531999999992</v>
      </c>
      <c r="BE60" s="97">
        <v>95183.361000000004</v>
      </c>
      <c r="BF60" s="97">
        <v>95774.497999999992</v>
      </c>
      <c r="BG60" s="97">
        <v>96773</v>
      </c>
      <c r="BH60" s="97">
        <v>99116</v>
      </c>
      <c r="BI60" s="97">
        <v>98061</v>
      </c>
      <c r="BJ60" s="97">
        <f>112600-'NCES-Private Grads-all races'!BF59</f>
        <v>96610</v>
      </c>
      <c r="BK60" s="142">
        <v>94280</v>
      </c>
      <c r="BL60" s="143">
        <v>91100</v>
      </c>
      <c r="BM60" s="143">
        <v>90870</v>
      </c>
      <c r="BN60" s="143">
        <v>88030</v>
      </c>
      <c r="BO60" s="143">
        <v>86950</v>
      </c>
      <c r="BP60" s="143">
        <v>86110</v>
      </c>
      <c r="BQ60" s="143">
        <v>85340</v>
      </c>
      <c r="BR60" s="143">
        <v>83940</v>
      </c>
      <c r="BS60" s="143">
        <v>84400</v>
      </c>
      <c r="BT60" s="143">
        <v>83260</v>
      </c>
      <c r="BU60" s="143">
        <v>84200</v>
      </c>
      <c r="BV60" s="143">
        <v>84430</v>
      </c>
      <c r="BW60" s="143">
        <v>81870</v>
      </c>
      <c r="BX60" s="97"/>
      <c r="BY60" s="97"/>
      <c r="BZ60" s="97"/>
      <c r="CA60" s="97"/>
      <c r="CB60" s="97"/>
      <c r="CC60" s="97"/>
      <c r="CD60" s="97"/>
      <c r="CE60" s="97"/>
      <c r="CF60" s="97"/>
    </row>
    <row r="61" spans="1:84">
      <c r="A61" s="114" t="s">
        <v>83</v>
      </c>
      <c r="B61" s="98">
        <v>134471</v>
      </c>
      <c r="C61" s="95">
        <f t="shared" si="17"/>
        <v>133106</v>
      </c>
      <c r="D61" s="97">
        <v>131741</v>
      </c>
      <c r="E61" s="97">
        <v>139500</v>
      </c>
      <c r="F61" s="97">
        <v>170698</v>
      </c>
      <c r="G61" s="97">
        <v>182227</v>
      </c>
      <c r="H61" s="95">
        <f t="shared" si="18"/>
        <v>183781.6</v>
      </c>
      <c r="I61" s="97">
        <f t="shared" si="18"/>
        <v>185336.2</v>
      </c>
      <c r="J61" s="97">
        <f t="shared" si="18"/>
        <v>186890.80000000002</v>
      </c>
      <c r="K61" s="97">
        <f t="shared" si="18"/>
        <v>188445.40000000002</v>
      </c>
      <c r="L61" s="97">
        <v>190000</v>
      </c>
      <c r="M61" s="97">
        <v>192807</v>
      </c>
      <c r="N61" s="100">
        <v>199771</v>
      </c>
      <c r="O61" s="97">
        <v>204037</v>
      </c>
      <c r="P61" s="100">
        <v>207413</v>
      </c>
      <c r="Q61" s="97">
        <v>210780</v>
      </c>
      <c r="R61" s="66">
        <v>214234</v>
      </c>
      <c r="S61" s="66">
        <v>212907</v>
      </c>
      <c r="T61" s="66">
        <v>210720</v>
      </c>
      <c r="U61" s="66">
        <v>208335</v>
      </c>
      <c r="V61" s="66">
        <v>204064</v>
      </c>
      <c r="W61" s="97">
        <v>198465</v>
      </c>
      <c r="X61" s="98">
        <v>194605</v>
      </c>
      <c r="Y61" s="98">
        <v>184022</v>
      </c>
      <c r="Z61" s="98">
        <v>174762</v>
      </c>
      <c r="AA61" s="98">
        <v>166752</v>
      </c>
      <c r="AB61" s="98">
        <v>162165</v>
      </c>
      <c r="AC61" s="97">
        <v>163765</v>
      </c>
      <c r="AD61" s="98">
        <v>165379</v>
      </c>
      <c r="AE61" s="98">
        <v>154580</v>
      </c>
      <c r="AF61" s="98">
        <v>143318</v>
      </c>
      <c r="AG61" s="98">
        <v>133562</v>
      </c>
      <c r="AH61" s="98">
        <v>134573</v>
      </c>
      <c r="AI61" s="97">
        <v>132963</v>
      </c>
      <c r="AJ61" s="97">
        <v>132708</v>
      </c>
      <c r="AK61" s="97">
        <v>132401</v>
      </c>
      <c r="AL61" s="97">
        <v>134401</v>
      </c>
      <c r="AM61" s="97">
        <v>140861</v>
      </c>
      <c r="AN61" s="97">
        <v>138531</v>
      </c>
      <c r="AO61" s="97">
        <v>139426</v>
      </c>
      <c r="AP61" s="97">
        <v>141731</v>
      </c>
      <c r="AQ61" s="97">
        <v>141884</v>
      </c>
      <c r="AR61" s="97">
        <v>140139</v>
      </c>
      <c r="AS61" s="97">
        <v>143818</v>
      </c>
      <c r="AT61" s="97">
        <v>142526</v>
      </c>
      <c r="AU61" s="97">
        <v>153203</v>
      </c>
      <c r="AV61" s="97">
        <v>161817</v>
      </c>
      <c r="AW61" s="97">
        <v>168333</v>
      </c>
      <c r="AX61" s="97">
        <v>176310</v>
      </c>
      <c r="AY61" s="97">
        <v>180917</v>
      </c>
      <c r="AZ61" s="97">
        <v>183826</v>
      </c>
      <c r="BA61" s="97">
        <v>182759</v>
      </c>
      <c r="BB61" s="97">
        <v>180806</v>
      </c>
      <c r="BC61" s="97">
        <v>180351</v>
      </c>
      <c r="BD61" s="97">
        <v>169744.818</v>
      </c>
      <c r="BE61" s="97">
        <v>167774.90400000001</v>
      </c>
      <c r="BF61" s="97">
        <v>167544.75600000002</v>
      </c>
      <c r="BG61" s="97">
        <v>180236</v>
      </c>
      <c r="BH61" s="97">
        <v>183149</v>
      </c>
      <c r="BI61" s="97">
        <v>182799</v>
      </c>
      <c r="BJ61" s="97">
        <f>213590-'NCES-Private Grads-all races'!BF60</f>
        <v>181640</v>
      </c>
      <c r="BK61" s="142">
        <v>185630</v>
      </c>
      <c r="BL61" s="143">
        <v>184900</v>
      </c>
      <c r="BM61" s="143">
        <v>184490</v>
      </c>
      <c r="BN61" s="143">
        <v>176890</v>
      </c>
      <c r="BO61" s="143">
        <v>171440</v>
      </c>
      <c r="BP61" s="143">
        <v>170400</v>
      </c>
      <c r="BQ61" s="143">
        <v>170290</v>
      </c>
      <c r="BR61" s="143">
        <v>173720</v>
      </c>
      <c r="BS61" s="143">
        <v>171570</v>
      </c>
      <c r="BT61" s="143">
        <v>171540</v>
      </c>
      <c r="BU61" s="143">
        <v>175330</v>
      </c>
      <c r="BV61" s="143">
        <v>174530</v>
      </c>
      <c r="BW61" s="143">
        <v>173620</v>
      </c>
      <c r="BX61" s="97"/>
      <c r="BY61" s="97"/>
      <c r="BZ61" s="97"/>
      <c r="CA61" s="97"/>
      <c r="CB61" s="97"/>
      <c r="CC61" s="97"/>
      <c r="CD61" s="97"/>
      <c r="CE61" s="97"/>
      <c r="CF61" s="97"/>
    </row>
    <row r="62" spans="1:84">
      <c r="A62" s="114" t="s">
        <v>84</v>
      </c>
      <c r="B62" s="98">
        <v>107175</v>
      </c>
      <c r="C62" s="95">
        <f t="shared" si="17"/>
        <v>105106</v>
      </c>
      <c r="D62" s="97">
        <v>103037</v>
      </c>
      <c r="E62" s="97">
        <v>99600</v>
      </c>
      <c r="F62" s="97">
        <v>125099</v>
      </c>
      <c r="G62" s="97">
        <v>143200</v>
      </c>
      <c r="H62" s="95">
        <f t="shared" si="18"/>
        <v>144762.79999999999</v>
      </c>
      <c r="I62" s="97">
        <f t="shared" si="18"/>
        <v>146325.59999999998</v>
      </c>
      <c r="J62" s="97">
        <f t="shared" si="18"/>
        <v>147888.39999999997</v>
      </c>
      <c r="K62" s="97">
        <f t="shared" si="18"/>
        <v>149451.19999999995</v>
      </c>
      <c r="L62" s="97">
        <v>151014</v>
      </c>
      <c r="M62" s="97">
        <v>153568</v>
      </c>
      <c r="N62" s="99">
        <v>157415</v>
      </c>
      <c r="O62" s="97">
        <v>154045</v>
      </c>
      <c r="P62" s="100">
        <v>159934</v>
      </c>
      <c r="Q62" s="97">
        <v>163124</v>
      </c>
      <c r="R62" s="127">
        <v>163812</v>
      </c>
      <c r="S62" s="127">
        <v>160665</v>
      </c>
      <c r="T62" s="127">
        <v>156918</v>
      </c>
      <c r="U62" s="127">
        <v>155442</v>
      </c>
      <c r="V62" s="127">
        <v>146458</v>
      </c>
      <c r="W62" s="97">
        <v>144645</v>
      </c>
      <c r="X62" s="98">
        <v>143356</v>
      </c>
      <c r="Y62" s="98">
        <v>137494</v>
      </c>
      <c r="Z62" s="98">
        <v>132412</v>
      </c>
      <c r="AA62" s="98">
        <v>127226</v>
      </c>
      <c r="AB62" s="98">
        <v>122871</v>
      </c>
      <c r="AC62" s="97">
        <v>121219</v>
      </c>
      <c r="AD62" s="98">
        <v>124376</v>
      </c>
      <c r="AE62" s="98">
        <v>118921</v>
      </c>
      <c r="AF62" s="98">
        <v>110527</v>
      </c>
      <c r="AG62" s="98">
        <v>104770</v>
      </c>
      <c r="AH62" s="98">
        <v>103881</v>
      </c>
      <c r="AI62" s="97">
        <v>103715</v>
      </c>
      <c r="AJ62" s="97">
        <v>101958</v>
      </c>
      <c r="AK62" s="97">
        <v>104146</v>
      </c>
      <c r="AL62" s="97">
        <v>105981</v>
      </c>
      <c r="AM62" s="97">
        <v>108817</v>
      </c>
      <c r="AN62" s="97">
        <v>110919</v>
      </c>
      <c r="AO62" s="97">
        <v>112632</v>
      </c>
      <c r="AP62" s="97">
        <v>113959</v>
      </c>
      <c r="AQ62" s="97">
        <v>114436</v>
      </c>
      <c r="AR62" s="97">
        <v>114943</v>
      </c>
      <c r="AS62" s="97">
        <v>119933</v>
      </c>
      <c r="AT62" s="97">
        <v>123474</v>
      </c>
      <c r="AU62" s="97">
        <v>124758</v>
      </c>
      <c r="AV62" s="97">
        <v>127830</v>
      </c>
      <c r="AW62" s="97">
        <v>128603</v>
      </c>
      <c r="AX62" s="97">
        <v>130298</v>
      </c>
      <c r="AY62" s="97">
        <v>130658</v>
      </c>
      <c r="AZ62" s="97">
        <v>131182</v>
      </c>
      <c r="BA62" s="97">
        <v>130284</v>
      </c>
      <c r="BB62" s="97">
        <v>131733</v>
      </c>
      <c r="BC62" s="97">
        <v>129777</v>
      </c>
      <c r="BD62" s="97">
        <v>120671.351</v>
      </c>
      <c r="BE62" s="97">
        <v>117286.03199999999</v>
      </c>
      <c r="BF62" s="97">
        <v>117628.098</v>
      </c>
      <c r="BG62" s="97">
        <v>125505</v>
      </c>
      <c r="BH62" s="97">
        <v>125746</v>
      </c>
      <c r="BI62" s="97">
        <v>125515</v>
      </c>
      <c r="BJ62" s="97">
        <f>143190-'NCES-Private Grads-all races'!BF61</f>
        <v>123450</v>
      </c>
      <c r="BK62" s="142">
        <v>130950</v>
      </c>
      <c r="BL62" s="143">
        <v>127790</v>
      </c>
      <c r="BM62" s="143">
        <v>123540</v>
      </c>
      <c r="BN62" s="143">
        <v>119990</v>
      </c>
      <c r="BO62" s="143">
        <v>116150</v>
      </c>
      <c r="BP62" s="143">
        <v>115720</v>
      </c>
      <c r="BQ62" s="143">
        <v>116570</v>
      </c>
      <c r="BR62" s="143">
        <v>116860</v>
      </c>
      <c r="BS62" s="143">
        <v>115670</v>
      </c>
      <c r="BT62" s="143">
        <v>114170</v>
      </c>
      <c r="BU62" s="143">
        <v>115930</v>
      </c>
      <c r="BV62" s="143">
        <v>116870</v>
      </c>
      <c r="BW62" s="143">
        <v>115890</v>
      </c>
      <c r="BX62" s="97"/>
      <c r="BY62" s="97"/>
      <c r="BZ62" s="97"/>
      <c r="CA62" s="97"/>
      <c r="CB62" s="97"/>
      <c r="CC62" s="97"/>
      <c r="CD62" s="97"/>
      <c r="CE62" s="97"/>
      <c r="CF62" s="97"/>
    </row>
    <row r="63" spans="1:84">
      <c r="A63" s="114" t="s">
        <v>85</v>
      </c>
      <c r="B63" s="98">
        <v>6250</v>
      </c>
      <c r="C63" s="95">
        <f t="shared" si="17"/>
        <v>6349</v>
      </c>
      <c r="D63" s="97">
        <v>6448</v>
      </c>
      <c r="E63" s="97">
        <v>6485</v>
      </c>
      <c r="F63" s="97">
        <v>8157</v>
      </c>
      <c r="G63" s="97">
        <v>9157</v>
      </c>
      <c r="H63" s="95">
        <f t="shared" si="18"/>
        <v>9354.7999999999993</v>
      </c>
      <c r="I63" s="97">
        <f t="shared" si="18"/>
        <v>9552.5999999999985</v>
      </c>
      <c r="J63" s="97">
        <f t="shared" si="18"/>
        <v>9750.3999999999978</v>
      </c>
      <c r="K63" s="97">
        <f t="shared" si="18"/>
        <v>9948.1999999999971</v>
      </c>
      <c r="L63" s="97">
        <v>10146</v>
      </c>
      <c r="M63" s="97">
        <v>10435</v>
      </c>
      <c r="N63" s="99">
        <v>10909</v>
      </c>
      <c r="O63" s="97">
        <v>10802</v>
      </c>
      <c r="P63" s="99">
        <v>11117</v>
      </c>
      <c r="Q63" s="97">
        <v>11042</v>
      </c>
      <c r="R63" s="127">
        <v>10831</v>
      </c>
      <c r="S63" s="127">
        <v>10796</v>
      </c>
      <c r="T63" s="127">
        <v>10884</v>
      </c>
      <c r="U63" s="127">
        <v>11243</v>
      </c>
      <c r="V63" s="127">
        <v>10864</v>
      </c>
      <c r="W63" s="97">
        <v>10719</v>
      </c>
      <c r="X63" s="98">
        <v>10545</v>
      </c>
      <c r="Y63" s="98">
        <v>10533</v>
      </c>
      <c r="Z63" s="98">
        <v>9820</v>
      </c>
      <c r="AA63" s="98">
        <v>9382</v>
      </c>
      <c r="AB63" s="98">
        <v>8908</v>
      </c>
      <c r="AC63" s="97">
        <v>8771</v>
      </c>
      <c r="AD63" s="98">
        <v>8855</v>
      </c>
      <c r="AE63" s="98">
        <v>8554</v>
      </c>
      <c r="AF63" s="98">
        <v>7825</v>
      </c>
      <c r="AG63" s="98">
        <v>7744</v>
      </c>
      <c r="AH63" s="98">
        <v>7859</v>
      </c>
      <c r="AI63" s="97">
        <v>7640</v>
      </c>
      <c r="AJ63" s="97">
        <v>7450</v>
      </c>
      <c r="AK63" s="97">
        <v>7826</v>
      </c>
      <c r="AL63" s="97">
        <v>7689</v>
      </c>
      <c r="AM63" s="97">
        <v>7850</v>
      </c>
      <c r="AN63" s="97">
        <v>8074</v>
      </c>
      <c r="AO63" s="97">
        <v>8179</v>
      </c>
      <c r="AP63" s="97">
        <v>8477</v>
      </c>
      <c r="AQ63" s="97">
        <v>8603</v>
      </c>
      <c r="AR63" s="97">
        <v>9006</v>
      </c>
      <c r="AS63" s="97">
        <v>9318</v>
      </c>
      <c r="AT63" s="97">
        <v>9258</v>
      </c>
      <c r="AU63" s="97">
        <v>9881</v>
      </c>
      <c r="AV63" s="97">
        <v>10108</v>
      </c>
      <c r="AW63" s="97">
        <v>10384</v>
      </c>
      <c r="AX63" s="97">
        <v>10347</v>
      </c>
      <c r="AY63" s="97">
        <v>10028</v>
      </c>
      <c r="AZ63" s="97">
        <v>9908</v>
      </c>
      <c r="BA63" s="97">
        <v>9724</v>
      </c>
      <c r="BB63" s="97">
        <v>9751</v>
      </c>
      <c r="BC63" s="97">
        <v>9579</v>
      </c>
      <c r="BD63" s="97">
        <v>9157.0639999999985</v>
      </c>
      <c r="BE63" s="97">
        <v>9072.9600000000009</v>
      </c>
      <c r="BF63" s="97">
        <v>9209.0159999999996</v>
      </c>
      <c r="BG63" s="97">
        <v>8715</v>
      </c>
      <c r="BH63" s="97">
        <v>9202</v>
      </c>
      <c r="BI63" s="97">
        <v>9798</v>
      </c>
      <c r="BJ63" s="97">
        <f>11630-'NCES-Private Grads-all races'!BF62</f>
        <v>9780</v>
      </c>
      <c r="BK63" s="142">
        <v>9730</v>
      </c>
      <c r="BL63" s="143">
        <v>9820</v>
      </c>
      <c r="BM63" s="143">
        <v>9810</v>
      </c>
      <c r="BN63" s="143">
        <v>9430</v>
      </c>
      <c r="BO63" s="143">
        <v>9020</v>
      </c>
      <c r="BP63" s="143">
        <v>9220</v>
      </c>
      <c r="BQ63" s="143">
        <v>8190</v>
      </c>
      <c r="BR63" s="143">
        <v>8460</v>
      </c>
      <c r="BS63" s="143">
        <v>9000</v>
      </c>
      <c r="BT63" s="143">
        <v>8980</v>
      </c>
      <c r="BU63" s="143">
        <v>8950</v>
      </c>
      <c r="BV63" s="143">
        <v>9040</v>
      </c>
      <c r="BW63" s="143">
        <v>8800</v>
      </c>
      <c r="BX63" s="97"/>
      <c r="BY63" s="97"/>
      <c r="BZ63" s="97"/>
      <c r="CA63" s="97"/>
      <c r="CB63" s="97"/>
      <c r="CC63" s="97"/>
      <c r="CD63" s="97"/>
      <c r="CE63" s="97"/>
      <c r="CF63" s="97"/>
    </row>
    <row r="64" spans="1:84">
      <c r="A64" s="438" t="s">
        <v>86</v>
      </c>
      <c r="B64" s="434">
        <v>3175</v>
      </c>
      <c r="C64" s="116">
        <f t="shared" si="17"/>
        <v>3245</v>
      </c>
      <c r="D64" s="435">
        <v>3315</v>
      </c>
      <c r="E64" s="435">
        <v>3402</v>
      </c>
      <c r="F64" s="435">
        <v>3791</v>
      </c>
      <c r="G64" s="435">
        <v>4452</v>
      </c>
      <c r="H64" s="116">
        <f t="shared" si="18"/>
        <v>4780.6000000000004</v>
      </c>
      <c r="I64" s="435">
        <f t="shared" si="18"/>
        <v>5109.2000000000007</v>
      </c>
      <c r="J64" s="435">
        <f t="shared" si="18"/>
        <v>5437.8000000000011</v>
      </c>
      <c r="K64" s="435">
        <f t="shared" si="18"/>
        <v>5766.4000000000015</v>
      </c>
      <c r="L64" s="435">
        <v>6095</v>
      </c>
      <c r="M64" s="435">
        <v>5939</v>
      </c>
      <c r="N64" s="101">
        <v>5885</v>
      </c>
      <c r="O64" s="435">
        <v>6303</v>
      </c>
      <c r="P64" s="101">
        <v>6316</v>
      </c>
      <c r="Q64" s="435">
        <v>6455</v>
      </c>
      <c r="R64" s="436">
        <v>6559</v>
      </c>
      <c r="S64" s="436">
        <v>6699</v>
      </c>
      <c r="T64" s="436">
        <v>6773</v>
      </c>
      <c r="U64" s="436">
        <v>6721</v>
      </c>
      <c r="V64" s="436">
        <v>6733</v>
      </c>
      <c r="W64" s="435">
        <v>6424</v>
      </c>
      <c r="X64" s="434">
        <v>6513</v>
      </c>
      <c r="Y64" s="434">
        <v>6011</v>
      </c>
      <c r="Z64" s="434">
        <v>6002</v>
      </c>
      <c r="AA64" s="434">
        <v>5769</v>
      </c>
      <c r="AB64" s="434">
        <v>5794</v>
      </c>
      <c r="AC64" s="435">
        <v>5968</v>
      </c>
      <c r="AD64" s="434">
        <v>6177</v>
      </c>
      <c r="AE64" s="434">
        <v>5963</v>
      </c>
      <c r="AF64" s="434">
        <v>6127</v>
      </c>
      <c r="AG64" s="434">
        <v>5212</v>
      </c>
      <c r="AH64" s="434">
        <v>5231</v>
      </c>
      <c r="AI64" s="435">
        <v>5215</v>
      </c>
      <c r="AJ64" s="435">
        <v>5414</v>
      </c>
      <c r="AK64" s="435">
        <v>5871</v>
      </c>
      <c r="AL64" s="435">
        <v>5867</v>
      </c>
      <c r="AM64" s="435">
        <v>6181</v>
      </c>
      <c r="AN64" s="435">
        <v>6469</v>
      </c>
      <c r="AO64" s="435">
        <v>6521</v>
      </c>
      <c r="AP64" s="435">
        <v>6675</v>
      </c>
      <c r="AQ64" s="435">
        <v>6856</v>
      </c>
      <c r="AR64" s="435">
        <v>7083</v>
      </c>
      <c r="AS64" s="435">
        <v>6970</v>
      </c>
      <c r="AT64" s="435">
        <v>7100</v>
      </c>
      <c r="AU64" s="435">
        <v>7152</v>
      </c>
      <c r="AV64" s="435">
        <v>6779</v>
      </c>
      <c r="AW64" s="435">
        <v>7317</v>
      </c>
      <c r="AX64" s="435">
        <v>7392</v>
      </c>
      <c r="AY64" s="435">
        <v>7209</v>
      </c>
      <c r="AZ64" s="435">
        <v>7199</v>
      </c>
      <c r="BA64" s="435">
        <v>6932</v>
      </c>
      <c r="BB64" s="435">
        <v>6859</v>
      </c>
      <c r="BC64" s="435">
        <v>6491</v>
      </c>
      <c r="BD64" s="435">
        <v>5448.8680000000004</v>
      </c>
      <c r="BE64" s="435">
        <v>5408.4589999999998</v>
      </c>
      <c r="BF64" s="435">
        <v>5316.3739999999998</v>
      </c>
      <c r="BG64" s="435">
        <v>6080</v>
      </c>
      <c r="BH64" s="435">
        <v>5790</v>
      </c>
      <c r="BI64" s="435">
        <v>5710</v>
      </c>
      <c r="BJ64" s="435">
        <f>6520-'NCES-Private Grads-all races'!BF63</f>
        <v>5640</v>
      </c>
      <c r="BK64" s="439">
        <v>6850</v>
      </c>
      <c r="BL64" s="440">
        <v>6670</v>
      </c>
      <c r="BM64" s="440">
        <v>6480</v>
      </c>
      <c r="BN64" s="440">
        <v>6140</v>
      </c>
      <c r="BO64" s="440">
        <v>5960</v>
      </c>
      <c r="BP64" s="440">
        <v>5900</v>
      </c>
      <c r="BQ64" s="440">
        <v>5840</v>
      </c>
      <c r="BR64" s="440">
        <v>5630</v>
      </c>
      <c r="BS64" s="440">
        <v>5660</v>
      </c>
      <c r="BT64" s="440">
        <v>5560</v>
      </c>
      <c r="BU64" s="440">
        <v>5590</v>
      </c>
      <c r="BV64" s="440">
        <v>5620</v>
      </c>
      <c r="BW64" s="440">
        <v>5640</v>
      </c>
      <c r="BX64" s="97"/>
      <c r="BY64" s="97"/>
      <c r="BZ64" s="97"/>
      <c r="CA64" s="97"/>
      <c r="CB64" s="97"/>
      <c r="CC64" s="97"/>
      <c r="CD64" s="97"/>
      <c r="CE64" s="97"/>
      <c r="CF64" s="97"/>
    </row>
    <row r="65" spans="1:84">
      <c r="A65" s="111" t="s">
        <v>87</v>
      </c>
      <c r="B65" s="103">
        <v>3599</v>
      </c>
      <c r="C65" s="119">
        <f t="shared" si="17"/>
        <v>3558</v>
      </c>
      <c r="D65" s="104">
        <v>3517</v>
      </c>
      <c r="E65" s="104">
        <v>3527</v>
      </c>
      <c r="F65" s="104">
        <v>4058</v>
      </c>
      <c r="G65" s="104">
        <v>4709</v>
      </c>
      <c r="H65" s="119">
        <f t="shared" si="18"/>
        <v>4763.2</v>
      </c>
      <c r="I65" s="104">
        <f t="shared" si="18"/>
        <v>4817.3999999999996</v>
      </c>
      <c r="J65" s="104">
        <f t="shared" si="18"/>
        <v>4871.5999999999995</v>
      </c>
      <c r="K65" s="104">
        <f t="shared" si="18"/>
        <v>4925.7999999999993</v>
      </c>
      <c r="L65" s="104">
        <v>4980</v>
      </c>
      <c r="M65" s="104">
        <v>4760</v>
      </c>
      <c r="N65" s="105">
        <v>4965</v>
      </c>
      <c r="O65" s="104">
        <v>5213</v>
      </c>
      <c r="P65" s="106">
        <v>5540</v>
      </c>
      <c r="Q65" s="104">
        <v>5367</v>
      </c>
      <c r="R65" s="129">
        <v>5106</v>
      </c>
      <c r="S65" s="129">
        <v>5335</v>
      </c>
      <c r="T65" s="129">
        <v>5186</v>
      </c>
      <c r="U65" s="129">
        <v>5812</v>
      </c>
      <c r="V65" s="129">
        <v>4959</v>
      </c>
      <c r="W65" s="104">
        <v>4848</v>
      </c>
      <c r="X65" s="103">
        <v>4871</v>
      </c>
      <c r="Y65" s="103">
        <v>4909</v>
      </c>
      <c r="Z65" s="103">
        <v>4073</v>
      </c>
      <c r="AA65" s="103">
        <v>3940</v>
      </c>
      <c r="AB65" s="103">
        <v>3875</v>
      </c>
      <c r="AC65" s="104">
        <v>3842</v>
      </c>
      <c r="AD65" s="103">
        <v>3882</v>
      </c>
      <c r="AE65" s="103">
        <v>3565</v>
      </c>
      <c r="AF65" s="103">
        <v>3626</v>
      </c>
      <c r="AG65" s="103">
        <v>3369</v>
      </c>
      <c r="AH65" s="103">
        <v>3385</v>
      </c>
      <c r="AI65" s="104">
        <v>3136</v>
      </c>
      <c r="AJ65" s="104">
        <v>3207</v>
      </c>
      <c r="AK65" s="104">
        <v>2974</v>
      </c>
      <c r="AL65" s="104">
        <v>2696</v>
      </c>
      <c r="AM65" s="104">
        <v>2853</v>
      </c>
      <c r="AN65" s="104">
        <v>2777</v>
      </c>
      <c r="AO65" s="104">
        <v>2675</v>
      </c>
      <c r="AP65" s="104">
        <v>2695</v>
      </c>
      <c r="AQ65" s="104">
        <v>2808</v>
      </c>
      <c r="AR65" s="104">
        <v>3090</v>
      </c>
      <c r="AS65" s="104">
        <v>2725</v>
      </c>
      <c r="AT65" s="104">
        <v>3031</v>
      </c>
      <c r="AU65" s="104">
        <v>2781</v>
      </c>
      <c r="AV65" s="104">
        <v>3150</v>
      </c>
      <c r="AW65" s="104">
        <v>2944</v>
      </c>
      <c r="AX65" s="104">
        <v>3352</v>
      </c>
      <c r="AY65" s="104">
        <v>3517</v>
      </c>
      <c r="AZ65" s="104">
        <v>3602</v>
      </c>
      <c r="BA65" s="104">
        <v>3477</v>
      </c>
      <c r="BB65" s="104">
        <v>3860</v>
      </c>
      <c r="BC65" s="104">
        <v>3961</v>
      </c>
      <c r="BD65" s="104">
        <v>3131.4</v>
      </c>
      <c r="BE65" s="104">
        <v>3041.4</v>
      </c>
      <c r="BF65" s="104">
        <v>3376.9600000000005</v>
      </c>
      <c r="BG65" s="104">
        <v>3436</v>
      </c>
      <c r="BH65" s="104">
        <v>3534</v>
      </c>
      <c r="BI65" s="104">
        <v>3275</v>
      </c>
      <c r="BJ65" s="104">
        <f>4570-'NCES-Private Grads-all races'!BF64</f>
        <v>3500</v>
      </c>
      <c r="BK65" s="144">
        <v>3290</v>
      </c>
      <c r="BL65" s="145">
        <v>3080</v>
      </c>
      <c r="BM65" s="145">
        <v>3100</v>
      </c>
      <c r="BN65" s="145">
        <v>3020</v>
      </c>
      <c r="BO65" s="145">
        <v>3090</v>
      </c>
      <c r="BP65" s="440">
        <v>2970</v>
      </c>
      <c r="BQ65" s="440">
        <v>2780</v>
      </c>
      <c r="BR65" s="440">
        <v>2900</v>
      </c>
      <c r="BS65" s="440">
        <v>2920</v>
      </c>
      <c r="BT65" s="440">
        <v>2760</v>
      </c>
      <c r="BU65" s="440">
        <v>2700</v>
      </c>
      <c r="BV65" s="440">
        <v>2710</v>
      </c>
      <c r="BW65" s="440">
        <v>2930</v>
      </c>
      <c r="BX65" s="107"/>
      <c r="BY65" s="107"/>
      <c r="BZ65" s="107"/>
      <c r="CA65" s="107"/>
      <c r="CB65" s="107"/>
      <c r="CC65" s="107"/>
      <c r="CD65" s="107"/>
      <c r="CE65" s="107"/>
      <c r="CF65" s="107"/>
    </row>
    <row r="66" spans="1:84">
      <c r="B66" s="108"/>
      <c r="C66" s="98"/>
      <c r="D66" s="97"/>
      <c r="E66" s="97"/>
      <c r="F66" s="97"/>
      <c r="G66" s="97"/>
      <c r="H66" s="97"/>
      <c r="I66" s="97"/>
      <c r="J66" s="97"/>
      <c r="K66" s="97"/>
      <c r="L66" s="97"/>
      <c r="M66" s="97"/>
      <c r="N66" s="109"/>
      <c r="O66" s="97"/>
      <c r="P66" s="109"/>
      <c r="Q66" s="97"/>
      <c r="R66" s="97"/>
      <c r="S66" s="97"/>
      <c r="T66" s="97"/>
      <c r="U66" s="97"/>
      <c r="V66" s="97"/>
      <c r="W66" s="109"/>
      <c r="X66" s="109"/>
      <c r="Y66" s="97"/>
      <c r="Z66" s="97"/>
      <c r="AA66" s="97"/>
      <c r="AB66" s="97"/>
      <c r="AC66" s="109"/>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row>
    <row r="67" spans="1:84" s="124" customFormat="1" ht="312.60000000000002">
      <c r="A67" s="79"/>
      <c r="B67" s="120" t="s">
        <v>245</v>
      </c>
      <c r="C67" s="120"/>
      <c r="D67" s="110" t="s">
        <v>246</v>
      </c>
      <c r="E67" s="110" t="s">
        <v>247</v>
      </c>
      <c r="F67" s="110" t="s">
        <v>248</v>
      </c>
      <c r="G67" s="110" t="s">
        <v>249</v>
      </c>
      <c r="H67" s="110"/>
      <c r="I67" s="110"/>
      <c r="J67" s="110"/>
      <c r="K67" s="110"/>
      <c r="L67" s="110" t="s">
        <v>250</v>
      </c>
      <c r="M67" s="110" t="s">
        <v>251</v>
      </c>
      <c r="N67" s="121"/>
      <c r="O67" s="110"/>
      <c r="P67" s="121"/>
      <c r="Q67" s="110"/>
      <c r="R67" s="110"/>
      <c r="S67" s="110"/>
      <c r="T67" s="110"/>
      <c r="U67" s="110"/>
      <c r="V67" s="110"/>
      <c r="W67" s="110"/>
      <c r="X67" s="110"/>
      <c r="Y67" s="110"/>
      <c r="Z67" s="110"/>
      <c r="AA67" s="110"/>
      <c r="AB67" s="110"/>
      <c r="AC67" s="110"/>
      <c r="AD67" s="122"/>
      <c r="AE67" s="122"/>
      <c r="AF67" s="122"/>
      <c r="AG67" s="122"/>
      <c r="AH67" s="122"/>
      <c r="AI67" s="122"/>
      <c r="AJ67" s="122"/>
      <c r="AK67" s="122" t="s">
        <v>252</v>
      </c>
      <c r="AL67" s="122" t="s">
        <v>253</v>
      </c>
      <c r="AM67" s="122" t="s">
        <v>254</v>
      </c>
      <c r="AN67" s="122"/>
      <c r="AO67" s="122"/>
      <c r="AP67" s="122" t="s">
        <v>255</v>
      </c>
      <c r="AQ67" s="122" t="s">
        <v>256</v>
      </c>
      <c r="AR67" s="122"/>
      <c r="AS67" s="122" t="s">
        <v>257</v>
      </c>
      <c r="AT67" s="122"/>
      <c r="AU67" s="122"/>
      <c r="AV67" s="122"/>
      <c r="AW67" s="122" t="s">
        <v>258</v>
      </c>
      <c r="AX67" s="122"/>
      <c r="AY67" s="122"/>
      <c r="AZ67" s="122" t="s">
        <v>259</v>
      </c>
      <c r="BA67" s="122" t="s">
        <v>260</v>
      </c>
      <c r="BB67" s="122" t="s">
        <v>261</v>
      </c>
      <c r="BC67" s="122" t="s">
        <v>262</v>
      </c>
      <c r="BD67" s="122" t="s">
        <v>263</v>
      </c>
      <c r="BE67" s="122" t="s">
        <v>264</v>
      </c>
      <c r="BF67" s="122" t="s">
        <v>264</v>
      </c>
      <c r="BG67" s="513" t="s">
        <v>265</v>
      </c>
      <c r="BH67" s="513" t="s">
        <v>265</v>
      </c>
      <c r="BI67" s="513" t="s">
        <v>265</v>
      </c>
      <c r="BJ67" s="513"/>
      <c r="BK67" s="122" t="s">
        <v>266</v>
      </c>
      <c r="BL67" s="122"/>
      <c r="BM67" s="122"/>
      <c r="BN67" s="122"/>
      <c r="BO67" s="122"/>
      <c r="BP67" s="122"/>
      <c r="BQ67" s="122"/>
      <c r="BR67" s="122"/>
      <c r="BS67" s="122"/>
      <c r="BT67" s="122"/>
      <c r="BU67" s="122"/>
      <c r="BV67" s="122"/>
      <c r="BW67" s="122" t="s">
        <v>266</v>
      </c>
      <c r="BX67" s="123"/>
      <c r="BY67" s="123"/>
      <c r="BZ67" s="123"/>
      <c r="CA67" s="123"/>
      <c r="CB67" s="123"/>
      <c r="CC67" s="123"/>
      <c r="CD67" s="123"/>
      <c r="CE67" s="123"/>
      <c r="CF67" s="123"/>
    </row>
    <row r="68" spans="1:84">
      <c r="B68" s="98"/>
      <c r="C68" s="98"/>
      <c r="D68" s="97"/>
      <c r="E68" s="97"/>
      <c r="F68" s="97"/>
      <c r="G68" s="97"/>
      <c r="H68" s="97"/>
      <c r="I68" s="97"/>
      <c r="J68" s="97"/>
      <c r="K68" s="97"/>
      <c r="L68" s="97"/>
      <c r="M68" s="97"/>
      <c r="N68" s="99"/>
      <c r="O68" s="97"/>
      <c r="P68" s="99"/>
      <c r="Q68" s="97"/>
      <c r="R68" s="97"/>
      <c r="S68" s="97"/>
      <c r="T68" s="97"/>
      <c r="U68" s="97"/>
      <c r="V68" s="97"/>
      <c r="W68" s="97"/>
      <c r="X68" s="97"/>
      <c r="Y68" s="97"/>
      <c r="Z68" s="97"/>
      <c r="AA68" s="97"/>
      <c r="AB68" s="97"/>
      <c r="AC68" s="97"/>
      <c r="AD68" s="107"/>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450"/>
      <c r="BE68" s="450"/>
      <c r="BF68" s="450"/>
      <c r="BG68" s="450"/>
      <c r="BH68" s="450"/>
      <c r="BI68" s="450"/>
      <c r="BJ68" s="450"/>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row>
    <row r="69" spans="1:84">
      <c r="B69" s="98"/>
      <c r="C69" s="98"/>
      <c r="D69" s="97"/>
      <c r="E69" s="97"/>
      <c r="F69" s="97"/>
      <c r="G69" s="97"/>
      <c r="H69" s="97"/>
      <c r="I69" s="97"/>
      <c r="J69" s="97"/>
      <c r="K69" s="97"/>
      <c r="L69" s="97"/>
      <c r="M69" s="97"/>
      <c r="N69" s="99"/>
      <c r="O69" s="97"/>
      <c r="P69" s="99"/>
      <c r="Q69" s="97"/>
      <c r="R69" s="97"/>
      <c r="S69" s="97"/>
      <c r="T69" s="97"/>
      <c r="U69" s="97"/>
      <c r="V69" s="97"/>
      <c r="W69" s="97"/>
      <c r="X69" s="97"/>
      <c r="Y69" s="97"/>
      <c r="Z69" s="97"/>
      <c r="AA69" s="97"/>
      <c r="AB69" s="97"/>
      <c r="AC69" s="97"/>
      <c r="AD69" s="107"/>
      <c r="AE69" s="107"/>
      <c r="AF69" s="107"/>
      <c r="AG69" s="107"/>
      <c r="AH69" s="107"/>
      <c r="AI69" s="107"/>
      <c r="AJ69" s="107"/>
      <c r="AK69" s="107"/>
      <c r="AL69" s="107"/>
      <c r="AM69" s="107"/>
      <c r="AN69" s="107"/>
      <c r="AO69" s="107"/>
      <c r="AP69" s="107"/>
      <c r="AQ69" s="107"/>
      <c r="AR69" s="107"/>
      <c r="AS69" s="107"/>
      <c r="AT69" s="107"/>
      <c r="AU69" s="107"/>
      <c r="AV69" s="107"/>
      <c r="AW69" s="107"/>
      <c r="AX69" s="107"/>
      <c r="AY69" s="107"/>
      <c r="AZ69" s="107"/>
      <c r="BA69" s="107"/>
      <c r="BB69" s="107"/>
      <c r="BC69" s="107"/>
      <c r="BD69" s="450"/>
      <c r="BE69" s="450"/>
      <c r="BF69" s="450"/>
      <c r="BG69" s="450"/>
      <c r="BH69" s="450"/>
      <c r="BI69" s="450"/>
      <c r="BJ69" s="450"/>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row>
    <row r="70" spans="1:84">
      <c r="B70" s="98"/>
      <c r="C70" s="98"/>
      <c r="D70" s="97"/>
      <c r="E70" s="97"/>
      <c r="F70" s="97"/>
      <c r="G70" s="97"/>
      <c r="H70" s="97"/>
      <c r="I70" s="97"/>
      <c r="J70" s="97"/>
      <c r="K70" s="97"/>
      <c r="L70" s="97"/>
      <c r="M70" s="97"/>
      <c r="N70" s="99"/>
      <c r="O70" s="97"/>
      <c r="P70" s="99"/>
      <c r="Q70" s="97"/>
      <c r="R70" s="97"/>
      <c r="S70" s="97"/>
      <c r="T70" s="97"/>
      <c r="U70" s="97"/>
      <c r="V70" s="97"/>
      <c r="W70" s="97"/>
      <c r="X70" s="97"/>
      <c r="Y70" s="97"/>
      <c r="Z70" s="97"/>
      <c r="AA70" s="97"/>
      <c r="AB70" s="97"/>
      <c r="AC70" s="9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450"/>
      <c r="BE70" s="450"/>
      <c r="BF70" s="450"/>
      <c r="BG70" s="450"/>
      <c r="BH70" s="450"/>
      <c r="BI70" s="450"/>
      <c r="BJ70" s="450"/>
      <c r="BL70" s="107"/>
      <c r="BM70" s="107"/>
      <c r="BN70" s="107"/>
      <c r="BO70" s="107"/>
      <c r="BP70" s="107"/>
      <c r="BQ70" s="107"/>
      <c r="BR70" s="107"/>
      <c r="BS70" s="107"/>
      <c r="BT70" s="107"/>
      <c r="BU70" s="107"/>
      <c r="BV70" s="107"/>
      <c r="BW70" s="107"/>
      <c r="BX70" s="107"/>
      <c r="BY70" s="107"/>
      <c r="BZ70" s="107"/>
      <c r="CA70" s="107"/>
      <c r="CB70" s="107"/>
      <c r="CC70" s="107"/>
      <c r="CD70" s="107"/>
      <c r="CE70" s="107"/>
      <c r="CF70" s="107"/>
    </row>
    <row r="71" spans="1:84">
      <c r="B71" s="98"/>
      <c r="C71" s="98"/>
      <c r="D71" s="97"/>
      <c r="E71" s="97"/>
      <c r="F71" s="97"/>
      <c r="G71" s="97"/>
      <c r="H71" s="97"/>
      <c r="I71" s="97"/>
      <c r="J71" s="97"/>
      <c r="K71" s="97"/>
      <c r="L71" s="97"/>
      <c r="M71" s="97"/>
      <c r="N71" s="99"/>
      <c r="O71" s="97"/>
      <c r="P71" s="99"/>
      <c r="Q71" s="97"/>
      <c r="R71" s="97"/>
      <c r="S71" s="97"/>
      <c r="T71" s="97"/>
      <c r="U71" s="97"/>
      <c r="V71" s="97"/>
      <c r="W71" s="97"/>
      <c r="X71" s="97"/>
      <c r="Y71" s="97"/>
      <c r="Z71" s="97"/>
      <c r="AA71" s="97"/>
      <c r="AB71" s="97"/>
      <c r="AC71" s="97"/>
      <c r="AD71" s="107"/>
      <c r="AE71" s="107"/>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450"/>
      <c r="BE71" s="450"/>
      <c r="BF71" s="450"/>
      <c r="BG71" s="450"/>
      <c r="BH71" s="450"/>
      <c r="BI71" s="450"/>
      <c r="BJ71" s="450"/>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107"/>
    </row>
    <row r="72" spans="1:84">
      <c r="B72" s="98"/>
      <c r="C72" s="98"/>
      <c r="D72" s="97"/>
      <c r="E72" s="97"/>
      <c r="F72" s="97"/>
      <c r="G72" s="97"/>
      <c r="H72" s="97"/>
      <c r="I72" s="97"/>
      <c r="J72" s="97"/>
      <c r="K72" s="97"/>
      <c r="L72" s="97"/>
      <c r="M72" s="97"/>
      <c r="N72" s="99"/>
      <c r="O72" s="97"/>
      <c r="P72" s="99"/>
      <c r="Q72" s="97"/>
      <c r="R72" s="97"/>
      <c r="S72" s="97"/>
      <c r="T72" s="97"/>
      <c r="U72" s="97"/>
      <c r="V72" s="97"/>
      <c r="W72" s="97"/>
      <c r="X72" s="97"/>
      <c r="Y72" s="97"/>
      <c r="Z72" s="97"/>
      <c r="AA72" s="97"/>
      <c r="AB72" s="97"/>
      <c r="AC72" s="97"/>
      <c r="AD72" s="107"/>
      <c r="AE72" s="107"/>
      <c r="AF72" s="107"/>
      <c r="AG72" s="107"/>
      <c r="AH72" s="107"/>
      <c r="AI72" s="107"/>
      <c r="AJ72" s="107"/>
      <c r="AK72" s="107"/>
      <c r="AL72" s="107"/>
      <c r="AM72" s="107"/>
      <c r="AN72" s="107"/>
      <c r="AO72" s="107"/>
      <c r="AP72" s="107"/>
      <c r="AQ72" s="107"/>
      <c r="AR72" s="107"/>
      <c r="AS72" s="107"/>
      <c r="AT72" s="107"/>
      <c r="AU72" s="107"/>
      <c r="AV72" s="107"/>
      <c r="AW72" s="107"/>
      <c r="AX72" s="107"/>
      <c r="AY72" s="107"/>
      <c r="AZ72" s="107"/>
      <c r="BA72" s="107"/>
      <c r="BB72" s="107"/>
      <c r="BC72" s="107"/>
      <c r="BD72" s="450"/>
      <c r="BE72" s="450"/>
      <c r="BF72" s="450"/>
      <c r="BG72" s="450"/>
      <c r="BH72" s="450"/>
      <c r="BI72" s="450"/>
      <c r="BJ72" s="450"/>
      <c r="BK72" s="107"/>
      <c r="BL72" s="107"/>
      <c r="BM72" s="107"/>
      <c r="BN72" s="107"/>
      <c r="BO72" s="107"/>
      <c r="BP72" s="107"/>
      <c r="BQ72" s="107"/>
      <c r="BR72" s="107"/>
      <c r="BS72" s="107"/>
      <c r="BT72" s="107"/>
      <c r="BU72" s="107"/>
      <c r="BV72" s="107"/>
      <c r="BW72" s="107"/>
      <c r="BX72" s="107"/>
      <c r="BY72" s="107"/>
      <c r="BZ72" s="107"/>
      <c r="CA72" s="107"/>
      <c r="CB72" s="107"/>
      <c r="CC72" s="107"/>
      <c r="CD72" s="107"/>
      <c r="CE72" s="107"/>
      <c r="CF72" s="107"/>
    </row>
    <row r="73" spans="1:84">
      <c r="B73" s="98"/>
      <c r="C73" s="98"/>
      <c r="D73" s="97"/>
      <c r="E73" s="97"/>
      <c r="F73" s="97"/>
      <c r="G73" s="97"/>
      <c r="H73" s="97"/>
      <c r="I73" s="97"/>
      <c r="J73" s="97"/>
      <c r="K73" s="97"/>
      <c r="L73" s="97"/>
      <c r="M73" s="97"/>
      <c r="N73" s="99"/>
      <c r="O73" s="97"/>
      <c r="P73" s="99"/>
      <c r="Q73" s="97"/>
      <c r="R73" s="97"/>
      <c r="S73" s="97"/>
      <c r="T73" s="97"/>
      <c r="U73" s="97"/>
      <c r="V73" s="97"/>
      <c r="W73" s="97"/>
      <c r="X73" s="97"/>
      <c r="Y73" s="97"/>
      <c r="Z73" s="97"/>
      <c r="AA73" s="97"/>
      <c r="AB73" s="97"/>
      <c r="AC73" s="97"/>
      <c r="AD73" s="107"/>
      <c r="AE73" s="107"/>
      <c r="AF73" s="107"/>
      <c r="AG73" s="107"/>
      <c r="AH73" s="107"/>
      <c r="AI73" s="107"/>
      <c r="AJ73" s="107"/>
      <c r="AK73" s="107"/>
      <c r="AL73" s="107"/>
      <c r="AM73" s="107"/>
      <c r="AN73" s="107"/>
      <c r="AO73" s="107"/>
      <c r="AP73" s="107"/>
      <c r="AQ73" s="107"/>
      <c r="AR73" s="107"/>
      <c r="AS73" s="107"/>
      <c r="AT73" s="107"/>
      <c r="AU73" s="107"/>
      <c r="AV73" s="107"/>
      <c r="AW73" s="107"/>
      <c r="AX73" s="107"/>
      <c r="AY73" s="107"/>
      <c r="AZ73" s="107"/>
      <c r="BA73" s="107"/>
      <c r="BB73" s="107"/>
      <c r="BC73" s="107"/>
      <c r="BD73" s="450"/>
      <c r="BE73" s="450"/>
      <c r="BF73" s="450"/>
      <c r="BG73" s="450"/>
      <c r="BH73" s="450"/>
      <c r="BI73" s="450"/>
      <c r="BJ73" s="450"/>
      <c r="BK73" s="107"/>
      <c r="BL73" s="107"/>
      <c r="BM73" s="107"/>
      <c r="BN73" s="107"/>
      <c r="BO73" s="107"/>
      <c r="BP73" s="107"/>
      <c r="BQ73" s="107"/>
      <c r="BR73" s="107"/>
      <c r="BS73" s="107"/>
      <c r="BT73" s="107"/>
      <c r="BU73" s="107"/>
      <c r="BV73" s="107"/>
      <c r="BW73" s="107"/>
      <c r="BX73" s="107"/>
      <c r="BY73" s="107"/>
      <c r="BZ73" s="107"/>
      <c r="CA73" s="107"/>
      <c r="CB73" s="107"/>
      <c r="CC73" s="107"/>
      <c r="CD73" s="107"/>
      <c r="CE73" s="107"/>
      <c r="CF73" s="107"/>
    </row>
    <row r="74" spans="1:84">
      <c r="B74" s="98"/>
      <c r="C74" s="98"/>
      <c r="D74" s="97"/>
      <c r="E74" s="97"/>
      <c r="F74" s="97"/>
      <c r="G74" s="97"/>
      <c r="H74" s="97"/>
      <c r="I74" s="97"/>
      <c r="J74" s="97"/>
      <c r="K74" s="97"/>
      <c r="L74" s="97"/>
      <c r="M74" s="97"/>
      <c r="N74" s="99"/>
      <c r="O74" s="97"/>
      <c r="P74" s="99"/>
      <c r="Q74" s="97"/>
      <c r="R74" s="97"/>
      <c r="S74" s="97"/>
      <c r="T74" s="97"/>
      <c r="U74" s="97"/>
      <c r="V74" s="97"/>
      <c r="W74" s="97"/>
      <c r="X74" s="97"/>
      <c r="Y74" s="97"/>
      <c r="Z74" s="97"/>
      <c r="AA74" s="97"/>
      <c r="AB74" s="97"/>
      <c r="AC74" s="97"/>
      <c r="AD74" s="107"/>
      <c r="AE74" s="107"/>
      <c r="AF74" s="107"/>
      <c r="AG74" s="107"/>
      <c r="AH74" s="107"/>
      <c r="AI74" s="107"/>
      <c r="AJ74" s="107"/>
      <c r="AK74" s="107"/>
      <c r="AL74" s="107"/>
      <c r="AM74" s="107"/>
      <c r="AN74" s="107"/>
      <c r="AO74" s="107"/>
      <c r="AP74" s="107"/>
      <c r="AQ74" s="107"/>
      <c r="AR74" s="107"/>
      <c r="AS74" s="107"/>
      <c r="AT74" s="107"/>
      <c r="AU74" s="107"/>
      <c r="AV74" s="107"/>
      <c r="AW74" s="107"/>
      <c r="AX74" s="107"/>
      <c r="AY74" s="107"/>
      <c r="AZ74" s="107"/>
      <c r="BA74" s="107"/>
      <c r="BB74" s="107"/>
      <c r="BC74" s="107"/>
      <c r="BD74" s="450"/>
      <c r="BE74" s="450"/>
      <c r="BF74" s="450"/>
      <c r="BG74" s="450"/>
      <c r="BH74" s="450"/>
      <c r="BI74" s="450"/>
      <c r="BJ74" s="450"/>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107"/>
    </row>
    <row r="75" spans="1:84">
      <c r="B75" s="98"/>
      <c r="C75" s="98"/>
      <c r="D75" s="97"/>
      <c r="E75" s="97"/>
      <c r="F75" s="97"/>
      <c r="G75" s="97"/>
      <c r="H75" s="97"/>
      <c r="I75" s="97"/>
      <c r="J75" s="97"/>
      <c r="K75" s="97"/>
      <c r="L75" s="97"/>
      <c r="M75" s="97"/>
      <c r="N75" s="99"/>
      <c r="O75" s="97"/>
      <c r="P75" s="99"/>
      <c r="Q75" s="97"/>
      <c r="R75" s="97"/>
      <c r="S75" s="97"/>
      <c r="T75" s="97"/>
      <c r="U75" s="97"/>
      <c r="V75" s="97"/>
      <c r="W75" s="97"/>
      <c r="X75" s="97"/>
      <c r="Y75" s="97"/>
      <c r="Z75" s="97"/>
      <c r="AA75" s="97"/>
      <c r="AB75" s="97"/>
      <c r="AC75" s="97"/>
      <c r="AD75" s="107"/>
      <c r="AE75" s="107"/>
      <c r="AF75" s="107"/>
      <c r="AG75" s="107"/>
      <c r="AH75" s="107"/>
      <c r="AI75" s="107"/>
      <c r="AJ75" s="107"/>
      <c r="AK75" s="107"/>
      <c r="AL75" s="107"/>
      <c r="AM75" s="107"/>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7"/>
      <c r="BQ75" s="107"/>
      <c r="BR75" s="107"/>
      <c r="BS75" s="107"/>
      <c r="BT75" s="107"/>
      <c r="BU75" s="107"/>
      <c r="BV75" s="107"/>
      <c r="BW75" s="107"/>
      <c r="BX75" s="107"/>
      <c r="BY75" s="107"/>
      <c r="BZ75" s="107"/>
      <c r="CA75" s="107"/>
      <c r="CB75" s="107"/>
      <c r="CC75" s="107"/>
      <c r="CD75" s="107"/>
      <c r="CE75" s="107"/>
      <c r="CF75" s="107"/>
    </row>
    <row r="76" spans="1:84">
      <c r="B76" s="98"/>
      <c r="C76" s="98"/>
      <c r="D76" s="97"/>
      <c r="E76" s="97"/>
      <c r="F76" s="97"/>
      <c r="G76" s="97"/>
      <c r="H76" s="97"/>
      <c r="I76" s="97"/>
      <c r="J76" s="97"/>
      <c r="K76" s="97"/>
      <c r="L76" s="97"/>
      <c r="M76" s="97"/>
      <c r="N76" s="99"/>
      <c r="O76" s="97"/>
      <c r="P76" s="99"/>
      <c r="Q76" s="97"/>
      <c r="R76" s="97"/>
      <c r="S76" s="97"/>
      <c r="T76" s="97"/>
      <c r="U76" s="97"/>
      <c r="V76" s="97"/>
      <c r="W76" s="97"/>
      <c r="X76" s="97"/>
      <c r="Y76" s="97"/>
      <c r="Z76" s="97"/>
      <c r="AA76" s="97"/>
      <c r="AB76" s="97"/>
      <c r="AC76" s="97"/>
      <c r="AD76" s="107"/>
      <c r="AE76" s="107"/>
      <c r="AF76" s="107"/>
      <c r="AG76" s="107"/>
      <c r="AH76" s="107"/>
      <c r="AI76" s="107"/>
      <c r="AJ76" s="107"/>
      <c r="AK76" s="107"/>
      <c r="AL76" s="107"/>
      <c r="AM76" s="107"/>
      <c r="AN76" s="107"/>
      <c r="AO76" s="107"/>
      <c r="AP76" s="107"/>
      <c r="AQ76" s="107"/>
      <c r="AR76" s="107"/>
      <c r="AS76" s="107"/>
      <c r="AT76" s="107"/>
      <c r="AU76" s="107"/>
      <c r="AV76" s="107"/>
      <c r="AW76" s="107"/>
      <c r="AX76" s="107"/>
      <c r="AY76" s="107"/>
      <c r="AZ76" s="107"/>
      <c r="BA76" s="107"/>
      <c r="BB76" s="107"/>
      <c r="BC76" s="107"/>
      <c r="BD76" s="107"/>
      <c r="BE76" s="107"/>
      <c r="BF76" s="107"/>
      <c r="BG76" s="107"/>
      <c r="BH76" s="107"/>
      <c r="BI76" s="107"/>
      <c r="BJ76" s="107"/>
      <c r="BK76" s="107"/>
      <c r="BL76" s="107"/>
      <c r="BM76" s="107"/>
      <c r="BN76" s="107"/>
      <c r="BO76" s="107"/>
      <c r="BP76" s="107"/>
      <c r="BQ76" s="107"/>
      <c r="BR76" s="107"/>
      <c r="BS76" s="107"/>
      <c r="BT76" s="107"/>
      <c r="BU76" s="107"/>
      <c r="BV76" s="107"/>
      <c r="BW76" s="107"/>
      <c r="BX76" s="107"/>
      <c r="BY76" s="107"/>
      <c r="BZ76" s="107"/>
      <c r="CA76" s="107"/>
      <c r="CB76" s="107"/>
      <c r="CC76" s="107"/>
      <c r="CD76" s="107"/>
      <c r="CE76" s="107"/>
      <c r="CF76" s="107"/>
    </row>
    <row r="77" spans="1:84">
      <c r="B77" s="98"/>
      <c r="C77" s="98"/>
      <c r="D77" s="97"/>
      <c r="E77" s="97"/>
      <c r="F77" s="97"/>
      <c r="G77" s="97"/>
      <c r="H77" s="97"/>
      <c r="I77" s="97"/>
      <c r="J77" s="97"/>
      <c r="K77" s="97"/>
      <c r="L77" s="97"/>
      <c r="M77" s="97"/>
      <c r="N77" s="99"/>
      <c r="O77" s="97"/>
      <c r="P77" s="99"/>
      <c r="Q77" s="97"/>
      <c r="R77" s="97"/>
      <c r="S77" s="97"/>
      <c r="T77" s="97"/>
      <c r="U77" s="97"/>
      <c r="V77" s="97"/>
      <c r="W77" s="97"/>
      <c r="X77" s="97"/>
      <c r="Y77" s="97"/>
      <c r="Z77" s="97"/>
      <c r="AA77" s="97"/>
      <c r="AB77" s="97"/>
      <c r="AC77" s="97"/>
      <c r="AD77" s="107"/>
      <c r="AE77" s="107"/>
      <c r="AF77" s="107"/>
      <c r="AG77" s="107"/>
      <c r="AH77" s="107"/>
      <c r="AI77" s="107"/>
      <c r="AJ77" s="107"/>
      <c r="AK77" s="107"/>
      <c r="AL77" s="107"/>
      <c r="AM77" s="107"/>
      <c r="AN77" s="107"/>
      <c r="AO77" s="107"/>
      <c r="AP77" s="107"/>
      <c r="AQ77" s="107"/>
      <c r="AR77" s="107"/>
      <c r="AS77" s="107"/>
      <c r="AT77" s="107"/>
      <c r="AU77" s="107"/>
      <c r="AV77" s="107"/>
      <c r="AW77" s="107"/>
      <c r="AX77" s="107"/>
      <c r="AY77" s="107"/>
      <c r="AZ77" s="107"/>
      <c r="BA77" s="107"/>
      <c r="BB77" s="107"/>
      <c r="BC77" s="107"/>
      <c r="BD77" s="107"/>
      <c r="BE77" s="107"/>
      <c r="BF77" s="107"/>
      <c r="BG77" s="107"/>
      <c r="BH77" s="107"/>
      <c r="BI77" s="107"/>
      <c r="BJ77" s="107"/>
      <c r="BK77" s="107"/>
      <c r="BL77" s="107"/>
      <c r="BM77" s="107"/>
      <c r="BN77" s="107"/>
      <c r="BO77" s="107"/>
      <c r="BP77" s="107"/>
      <c r="BQ77" s="107"/>
      <c r="BR77" s="107"/>
      <c r="BS77" s="107"/>
      <c r="BT77" s="107"/>
      <c r="BU77" s="107"/>
      <c r="BV77" s="107"/>
      <c r="BW77" s="107"/>
      <c r="BX77" s="107"/>
      <c r="BY77" s="107"/>
      <c r="BZ77" s="107"/>
      <c r="CA77" s="107"/>
      <c r="CB77" s="107"/>
      <c r="CC77" s="107"/>
      <c r="CD77" s="107"/>
      <c r="CE77" s="107"/>
      <c r="CF77" s="107"/>
    </row>
    <row r="78" spans="1:84">
      <c r="B78" s="98"/>
      <c r="C78" s="98"/>
      <c r="D78" s="97"/>
      <c r="E78" s="97"/>
      <c r="F78" s="97"/>
      <c r="G78" s="97"/>
      <c r="H78" s="97"/>
      <c r="I78" s="97"/>
      <c r="J78" s="97"/>
      <c r="K78" s="97"/>
      <c r="L78" s="97"/>
      <c r="M78" s="97"/>
      <c r="N78" s="99"/>
      <c r="O78" s="97"/>
      <c r="P78" s="99"/>
      <c r="Q78" s="97"/>
      <c r="R78" s="97"/>
      <c r="S78" s="97"/>
      <c r="T78" s="97"/>
      <c r="U78" s="97"/>
      <c r="V78" s="97"/>
      <c r="W78" s="97"/>
      <c r="X78" s="97"/>
      <c r="Y78" s="97"/>
      <c r="Z78" s="97"/>
      <c r="AA78" s="97"/>
      <c r="AB78" s="97"/>
      <c r="AC78" s="97"/>
      <c r="AD78" s="107"/>
      <c r="AE78" s="107"/>
      <c r="AF78" s="107"/>
      <c r="AG78" s="107"/>
      <c r="AH78" s="107"/>
      <c r="AI78" s="107"/>
      <c r="AJ78" s="107"/>
      <c r="AK78" s="107"/>
      <c r="AL78" s="107"/>
      <c r="AM78" s="107"/>
      <c r="AN78" s="107"/>
      <c r="AO78" s="107"/>
      <c r="AP78" s="107"/>
      <c r="AQ78" s="107"/>
      <c r="AR78" s="107"/>
      <c r="AS78" s="107"/>
      <c r="AT78" s="107"/>
      <c r="AU78" s="107"/>
      <c r="AV78" s="107"/>
      <c r="AW78" s="107"/>
      <c r="AX78" s="107"/>
      <c r="AY78" s="107"/>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c r="BZ78" s="107"/>
      <c r="CA78" s="107"/>
      <c r="CB78" s="107"/>
      <c r="CC78" s="107"/>
      <c r="CD78" s="107"/>
      <c r="CE78" s="107"/>
      <c r="CF78" s="107"/>
    </row>
    <row r="79" spans="1:84">
      <c r="B79" s="98"/>
      <c r="C79" s="98"/>
      <c r="D79" s="97"/>
      <c r="E79" s="97"/>
      <c r="F79" s="97"/>
      <c r="G79" s="97"/>
      <c r="H79" s="97"/>
      <c r="I79" s="97"/>
      <c r="J79" s="97"/>
      <c r="K79" s="97"/>
      <c r="L79" s="97"/>
      <c r="M79" s="97"/>
      <c r="N79" s="99"/>
      <c r="O79" s="97"/>
      <c r="P79" s="99"/>
      <c r="Q79" s="97"/>
      <c r="R79" s="97"/>
      <c r="S79" s="97"/>
      <c r="T79" s="97"/>
      <c r="U79" s="97"/>
      <c r="V79" s="97"/>
      <c r="W79" s="97"/>
      <c r="X79" s="97"/>
      <c r="Y79" s="97"/>
      <c r="Z79" s="97"/>
      <c r="AA79" s="97"/>
      <c r="AB79" s="97"/>
      <c r="AC79" s="97"/>
      <c r="AD79" s="107"/>
      <c r="AE79" s="107"/>
      <c r="AF79" s="107"/>
      <c r="AG79" s="107"/>
      <c r="AH79" s="107"/>
      <c r="AI79" s="107"/>
      <c r="AJ79" s="107"/>
      <c r="AK79" s="107"/>
      <c r="AL79" s="107"/>
      <c r="AM79" s="107"/>
      <c r="AN79" s="107"/>
      <c r="AO79" s="107"/>
      <c r="AP79" s="107"/>
      <c r="AQ79" s="107"/>
      <c r="AR79" s="107"/>
      <c r="AS79" s="107"/>
      <c r="AT79" s="107"/>
      <c r="AU79" s="107"/>
      <c r="AV79" s="107"/>
      <c r="AW79" s="107"/>
      <c r="AX79" s="107"/>
      <c r="AY79" s="107"/>
      <c r="AZ79" s="107"/>
      <c r="BA79" s="107"/>
      <c r="BB79" s="107"/>
      <c r="BC79" s="107"/>
      <c r="BD79" s="107"/>
      <c r="BE79" s="107"/>
      <c r="BF79" s="107"/>
      <c r="BG79" s="107"/>
      <c r="BH79" s="107"/>
      <c r="BI79" s="107"/>
      <c r="BJ79" s="107"/>
      <c r="BK79" s="107"/>
      <c r="BL79" s="107"/>
      <c r="BM79" s="107"/>
      <c r="BN79" s="107"/>
      <c r="BO79" s="107"/>
      <c r="BP79" s="107"/>
      <c r="BQ79" s="107"/>
      <c r="BR79" s="107"/>
      <c r="BS79" s="107"/>
      <c r="BT79" s="107"/>
      <c r="BU79" s="107"/>
      <c r="BV79" s="107"/>
      <c r="BW79" s="107"/>
      <c r="BX79" s="107"/>
      <c r="BY79" s="107"/>
      <c r="BZ79" s="107"/>
      <c r="CA79" s="107"/>
      <c r="CB79" s="107"/>
      <c r="CC79" s="107"/>
      <c r="CD79" s="107"/>
      <c r="CE79" s="107"/>
      <c r="CF79" s="107"/>
    </row>
    <row r="80" spans="1:84">
      <c r="B80" s="98"/>
      <c r="C80" s="98"/>
      <c r="D80" s="97"/>
      <c r="E80" s="97"/>
      <c r="F80" s="97"/>
      <c r="G80" s="97"/>
      <c r="H80" s="97"/>
      <c r="I80" s="97"/>
      <c r="J80" s="97"/>
      <c r="K80" s="97"/>
      <c r="L80" s="97"/>
      <c r="M80" s="97"/>
      <c r="N80" s="99"/>
      <c r="O80" s="97"/>
      <c r="P80" s="99"/>
      <c r="Q80" s="97"/>
      <c r="R80" s="97"/>
      <c r="S80" s="97"/>
      <c r="T80" s="97"/>
      <c r="U80" s="97"/>
      <c r="V80" s="97"/>
      <c r="W80" s="97"/>
      <c r="X80" s="97"/>
      <c r="Y80" s="97"/>
      <c r="Z80" s="97"/>
      <c r="AA80" s="97"/>
      <c r="AB80" s="97"/>
      <c r="AC80" s="97"/>
      <c r="AD80" s="107"/>
      <c r="AE80" s="107"/>
      <c r="AF80" s="107"/>
      <c r="AG80" s="107"/>
      <c r="AH80" s="107"/>
      <c r="AI80" s="107"/>
      <c r="AJ80" s="107"/>
      <c r="AK80" s="107"/>
      <c r="AL80" s="107"/>
      <c r="AM80" s="107"/>
      <c r="AN80" s="107"/>
      <c r="AO80" s="107"/>
      <c r="AP80" s="107"/>
      <c r="AQ80" s="107"/>
      <c r="AR80" s="107"/>
      <c r="AS80" s="107"/>
      <c r="AT80" s="107"/>
      <c r="AU80" s="107"/>
      <c r="AV80" s="107"/>
      <c r="AW80" s="107"/>
      <c r="AX80" s="107"/>
      <c r="AY80" s="107"/>
      <c r="AZ80" s="107"/>
      <c r="BA80" s="107"/>
      <c r="BB80" s="107"/>
      <c r="BC80" s="107"/>
      <c r="BD80" s="107"/>
      <c r="BE80" s="107"/>
      <c r="BF80" s="107"/>
      <c r="BG80" s="107"/>
      <c r="BH80" s="107"/>
      <c r="BI80" s="107"/>
      <c r="BJ80" s="107"/>
      <c r="BK80" s="107"/>
      <c r="BL80" s="107"/>
      <c r="BM80" s="107"/>
      <c r="BN80" s="107"/>
      <c r="BO80" s="107"/>
      <c r="BP80" s="107"/>
      <c r="BQ80" s="107"/>
      <c r="BR80" s="107"/>
      <c r="BS80" s="107"/>
      <c r="BT80" s="107"/>
      <c r="BU80" s="107"/>
      <c r="BV80" s="107"/>
      <c r="BW80" s="107"/>
      <c r="BX80" s="107"/>
      <c r="BY80" s="107"/>
      <c r="BZ80" s="107"/>
      <c r="CA80" s="107"/>
      <c r="CB80" s="107"/>
      <c r="CC80" s="107"/>
      <c r="CD80" s="107"/>
      <c r="CE80" s="107"/>
      <c r="CF80" s="107"/>
    </row>
    <row r="81" spans="2:84">
      <c r="B81" s="98"/>
      <c r="C81" s="98"/>
      <c r="D81" s="97"/>
      <c r="E81" s="97"/>
      <c r="F81" s="97"/>
      <c r="G81" s="97"/>
      <c r="H81" s="97"/>
      <c r="I81" s="97"/>
      <c r="J81" s="97"/>
      <c r="K81" s="97"/>
      <c r="L81" s="97"/>
      <c r="M81" s="97"/>
      <c r="N81" s="99"/>
      <c r="O81" s="97"/>
      <c r="P81" s="99"/>
      <c r="Q81" s="97"/>
      <c r="R81" s="97"/>
      <c r="S81" s="97"/>
      <c r="T81" s="97"/>
      <c r="U81" s="97"/>
      <c r="V81" s="97"/>
      <c r="W81" s="97"/>
      <c r="X81" s="97"/>
      <c r="Y81" s="97"/>
      <c r="Z81" s="97"/>
      <c r="AA81" s="97"/>
      <c r="AB81" s="97"/>
      <c r="AC81" s="97"/>
      <c r="AD81" s="107"/>
      <c r="AE81" s="107"/>
      <c r="AF81" s="107"/>
      <c r="AG81" s="107"/>
      <c r="AH81" s="107"/>
      <c r="AI81" s="107"/>
      <c r="AJ81" s="107"/>
      <c r="AK81" s="107"/>
      <c r="AL81" s="107"/>
      <c r="AM81" s="107"/>
      <c r="AN81" s="107"/>
      <c r="AO81" s="107"/>
      <c r="AP81" s="107"/>
      <c r="AQ81" s="107"/>
      <c r="AR81" s="107"/>
      <c r="AS81" s="107"/>
      <c r="AT81" s="107"/>
      <c r="AU81" s="107"/>
      <c r="AV81" s="107"/>
      <c r="AW81" s="107"/>
      <c r="AX81" s="107"/>
      <c r="AY81" s="107"/>
      <c r="AZ81" s="107"/>
      <c r="BA81" s="107"/>
      <c r="BB81" s="107"/>
      <c r="BC81" s="107"/>
      <c r="BD81" s="107"/>
      <c r="BE81" s="107"/>
      <c r="BF81" s="107"/>
      <c r="BG81" s="107"/>
      <c r="BH81" s="107"/>
      <c r="BI81" s="107"/>
      <c r="BJ81" s="107"/>
      <c r="BK81" s="107"/>
      <c r="BL81" s="107"/>
      <c r="BM81" s="107"/>
      <c r="BN81" s="107"/>
      <c r="BO81" s="107"/>
      <c r="BP81" s="107"/>
      <c r="BQ81" s="107"/>
      <c r="BR81" s="107"/>
      <c r="BS81" s="107"/>
      <c r="BT81" s="107"/>
      <c r="BU81" s="107"/>
      <c r="BV81" s="107"/>
      <c r="BW81" s="107"/>
      <c r="BX81" s="107"/>
      <c r="BY81" s="107"/>
      <c r="BZ81" s="107"/>
      <c r="CA81" s="107"/>
      <c r="CB81" s="107"/>
      <c r="CC81" s="107"/>
      <c r="CD81" s="107"/>
      <c r="CE81" s="107"/>
      <c r="CF81" s="107"/>
    </row>
    <row r="82" spans="2:84">
      <c r="B82" s="98"/>
      <c r="C82" s="98"/>
      <c r="D82" s="97"/>
      <c r="E82" s="97"/>
      <c r="F82" s="97"/>
      <c r="G82" s="97"/>
      <c r="H82" s="97"/>
      <c r="I82" s="97"/>
      <c r="J82" s="97"/>
      <c r="K82" s="97"/>
      <c r="L82" s="97"/>
      <c r="M82" s="97"/>
      <c r="N82" s="99"/>
      <c r="O82" s="97"/>
      <c r="P82" s="99"/>
      <c r="Q82" s="97"/>
      <c r="R82" s="97"/>
      <c r="S82" s="97"/>
      <c r="T82" s="97"/>
      <c r="U82" s="97"/>
      <c r="V82" s="97"/>
      <c r="W82" s="97"/>
      <c r="X82" s="97"/>
      <c r="Y82" s="97"/>
      <c r="Z82" s="97"/>
      <c r="AA82" s="97"/>
      <c r="AB82" s="97"/>
      <c r="AC82" s="97"/>
      <c r="AD82" s="107"/>
      <c r="AE82" s="107"/>
      <c r="AF82" s="107"/>
      <c r="AG82" s="107"/>
      <c r="AH82" s="107"/>
      <c r="AI82" s="107"/>
      <c r="AJ82" s="107"/>
      <c r="AK82" s="107"/>
      <c r="AL82" s="107"/>
      <c r="AM82" s="107"/>
      <c r="AN82" s="107"/>
      <c r="AO82" s="107"/>
      <c r="AP82" s="107"/>
      <c r="AQ82" s="107"/>
      <c r="AR82" s="107"/>
      <c r="AS82" s="107"/>
      <c r="AT82" s="107"/>
      <c r="AU82" s="107"/>
      <c r="AV82" s="107"/>
      <c r="AW82" s="107"/>
      <c r="AX82" s="107"/>
      <c r="AY82" s="107"/>
      <c r="AZ82" s="107"/>
      <c r="BA82" s="107"/>
      <c r="BB82" s="107"/>
      <c r="BC82" s="107"/>
      <c r="BD82" s="107"/>
      <c r="BE82" s="107"/>
      <c r="BF82" s="107"/>
      <c r="BG82" s="107"/>
      <c r="BH82" s="107"/>
      <c r="BI82" s="107"/>
      <c r="BJ82" s="107"/>
      <c r="BK82" s="107"/>
      <c r="BL82" s="107"/>
      <c r="BM82" s="107"/>
      <c r="BN82" s="107"/>
      <c r="BO82" s="107"/>
      <c r="BP82" s="107"/>
      <c r="BQ82" s="107"/>
      <c r="BR82" s="107"/>
      <c r="BS82" s="107"/>
      <c r="BT82" s="107"/>
      <c r="BU82" s="107"/>
      <c r="BV82" s="107"/>
      <c r="BW82" s="107"/>
      <c r="BX82" s="107"/>
      <c r="BY82" s="107"/>
      <c r="BZ82" s="107"/>
      <c r="CA82" s="107"/>
      <c r="CB82" s="107"/>
      <c r="CC82" s="107"/>
      <c r="CD82" s="107"/>
      <c r="CE82" s="107"/>
      <c r="CF82" s="107"/>
    </row>
    <row r="83" spans="2:84">
      <c r="B83" s="98"/>
      <c r="C83" s="98"/>
      <c r="D83" s="97"/>
      <c r="E83" s="97"/>
      <c r="F83" s="97"/>
      <c r="G83" s="97"/>
      <c r="H83" s="97"/>
      <c r="I83" s="97"/>
      <c r="J83" s="97"/>
      <c r="K83" s="97"/>
      <c r="L83" s="97"/>
      <c r="M83" s="97"/>
      <c r="N83" s="99"/>
      <c r="O83" s="97"/>
      <c r="P83" s="99"/>
      <c r="Q83" s="97"/>
      <c r="R83" s="97"/>
      <c r="S83" s="97"/>
      <c r="T83" s="97"/>
      <c r="U83" s="97"/>
      <c r="V83" s="97"/>
      <c r="W83" s="97"/>
      <c r="X83" s="97"/>
      <c r="Y83" s="97"/>
      <c r="Z83" s="97"/>
      <c r="AA83" s="97"/>
      <c r="AB83" s="97"/>
      <c r="AC83" s="97"/>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row>
    <row r="84" spans="2:84">
      <c r="B84" s="98"/>
      <c r="C84" s="98"/>
      <c r="D84" s="97"/>
      <c r="E84" s="97"/>
      <c r="F84" s="97"/>
      <c r="G84" s="97"/>
      <c r="H84" s="97"/>
      <c r="I84" s="97"/>
      <c r="J84" s="97"/>
      <c r="K84" s="97"/>
      <c r="L84" s="97"/>
      <c r="M84" s="97"/>
      <c r="N84" s="99"/>
      <c r="O84" s="97"/>
      <c r="P84" s="99"/>
      <c r="Q84" s="97"/>
      <c r="R84" s="97"/>
      <c r="S84" s="97"/>
      <c r="T84" s="97"/>
      <c r="U84" s="97"/>
      <c r="V84" s="97"/>
      <c r="W84" s="97"/>
      <c r="X84" s="97"/>
      <c r="Y84" s="97"/>
      <c r="Z84" s="97"/>
      <c r="AA84" s="97"/>
      <c r="AB84" s="97"/>
      <c r="AC84" s="97"/>
      <c r="AD84" s="107"/>
      <c r="AE84" s="107"/>
      <c r="AF84" s="107"/>
      <c r="AG84" s="107"/>
      <c r="AH84" s="107"/>
      <c r="AI84" s="107"/>
      <c r="AJ84" s="107"/>
      <c r="AK84" s="107"/>
      <c r="AL84" s="107"/>
      <c r="AM84" s="107"/>
      <c r="AN84" s="107"/>
      <c r="AO84" s="107"/>
      <c r="AP84" s="107"/>
      <c r="AQ84" s="107"/>
      <c r="AR84" s="107"/>
      <c r="AS84" s="107"/>
      <c r="AT84" s="107"/>
      <c r="AU84" s="107"/>
      <c r="AV84" s="107"/>
      <c r="AW84" s="107"/>
      <c r="AX84" s="107"/>
      <c r="AY84" s="107"/>
      <c r="AZ84" s="107"/>
      <c r="BA84" s="107"/>
      <c r="BB84" s="107"/>
      <c r="BC84" s="107"/>
      <c r="BD84" s="107"/>
      <c r="BE84" s="107"/>
      <c r="BF84" s="107"/>
      <c r="BG84" s="107"/>
      <c r="BH84" s="107"/>
      <c r="BI84" s="107"/>
      <c r="BJ84" s="107"/>
      <c r="BK84" s="107"/>
      <c r="BL84" s="107"/>
      <c r="BM84" s="107"/>
      <c r="BN84" s="107"/>
      <c r="BO84" s="107"/>
      <c r="BP84" s="107"/>
      <c r="BQ84" s="107"/>
      <c r="BR84" s="107"/>
      <c r="BS84" s="107"/>
      <c r="BT84" s="107"/>
      <c r="BU84" s="107"/>
      <c r="BV84" s="107"/>
      <c r="BW84" s="107"/>
      <c r="BX84" s="107"/>
      <c r="BY84" s="107"/>
      <c r="BZ84" s="107"/>
      <c r="CA84" s="107"/>
      <c r="CB84" s="107"/>
      <c r="CC84" s="107"/>
      <c r="CD84" s="107"/>
      <c r="CE84" s="107"/>
      <c r="CF84" s="107"/>
    </row>
    <row r="85" spans="2:84">
      <c r="B85" s="98"/>
      <c r="C85" s="98"/>
      <c r="D85" s="97"/>
      <c r="E85" s="97"/>
      <c r="F85" s="97"/>
      <c r="G85" s="97"/>
      <c r="H85" s="97"/>
      <c r="I85" s="97"/>
      <c r="J85" s="97"/>
      <c r="K85" s="97"/>
      <c r="L85" s="97"/>
      <c r="M85" s="97"/>
      <c r="N85" s="99"/>
      <c r="O85" s="97"/>
      <c r="P85" s="99"/>
      <c r="Q85" s="97"/>
      <c r="R85" s="97"/>
      <c r="S85" s="97"/>
      <c r="T85" s="97"/>
      <c r="U85" s="97"/>
      <c r="V85" s="97"/>
      <c r="W85" s="97"/>
      <c r="X85" s="97"/>
      <c r="Y85" s="97"/>
      <c r="Z85" s="97"/>
      <c r="AA85" s="97"/>
      <c r="AB85" s="97"/>
      <c r="AC85" s="97"/>
      <c r="AD85" s="107"/>
      <c r="AE85" s="107"/>
      <c r="AF85" s="107"/>
      <c r="AG85" s="107"/>
      <c r="AH85" s="107"/>
      <c r="AI85" s="107"/>
      <c r="AJ85" s="107"/>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c r="BR85" s="107"/>
      <c r="BS85" s="107"/>
      <c r="BT85" s="107"/>
      <c r="BU85" s="107"/>
      <c r="BV85" s="107"/>
      <c r="BW85" s="107"/>
      <c r="BX85" s="107"/>
      <c r="BY85" s="107"/>
      <c r="BZ85" s="107"/>
      <c r="CA85" s="107"/>
      <c r="CB85" s="107"/>
      <c r="CC85" s="107"/>
      <c r="CD85" s="107"/>
      <c r="CE85" s="107"/>
      <c r="CF85" s="107"/>
    </row>
    <row r="86" spans="2:84">
      <c r="B86" s="98"/>
      <c r="C86" s="98"/>
      <c r="D86" s="97"/>
      <c r="E86" s="97"/>
      <c r="F86" s="97"/>
      <c r="G86" s="97"/>
      <c r="H86" s="97"/>
      <c r="I86" s="97"/>
      <c r="J86" s="97"/>
      <c r="K86" s="97"/>
      <c r="L86" s="97"/>
      <c r="M86" s="97"/>
      <c r="N86" s="99"/>
      <c r="O86" s="97"/>
      <c r="P86" s="99"/>
      <c r="Q86" s="97"/>
      <c r="R86" s="97"/>
      <c r="S86" s="97"/>
      <c r="T86" s="97"/>
      <c r="U86" s="97"/>
      <c r="V86" s="97"/>
      <c r="W86" s="97"/>
      <c r="X86" s="97"/>
      <c r="Y86" s="97"/>
      <c r="Z86" s="97"/>
      <c r="AA86" s="97"/>
      <c r="AB86" s="97"/>
      <c r="AC86" s="97"/>
      <c r="AD86" s="107"/>
      <c r="AE86" s="107"/>
      <c r="AF86" s="107"/>
      <c r="AG86" s="107"/>
      <c r="AH86" s="107"/>
      <c r="AI86" s="107"/>
      <c r="AJ86" s="107"/>
      <c r="AK86" s="107"/>
      <c r="AL86" s="107"/>
      <c r="AM86" s="107"/>
      <c r="AN86" s="107"/>
      <c r="AO86" s="107"/>
      <c r="AP86" s="107"/>
      <c r="AQ86" s="107"/>
      <c r="AR86" s="107"/>
      <c r="AS86" s="107"/>
      <c r="AT86" s="107"/>
      <c r="AU86" s="107"/>
      <c r="AV86" s="107"/>
      <c r="AW86" s="107"/>
      <c r="AX86" s="107"/>
      <c r="AY86" s="107"/>
      <c r="AZ86" s="107"/>
      <c r="BA86" s="107"/>
      <c r="BB86" s="107"/>
      <c r="BC86" s="107"/>
      <c r="BD86" s="107"/>
      <c r="BE86" s="107"/>
      <c r="BF86" s="107"/>
      <c r="BG86" s="107"/>
      <c r="BH86" s="107"/>
      <c r="BI86" s="107"/>
      <c r="BJ86" s="107"/>
      <c r="BK86" s="107"/>
      <c r="BL86" s="107"/>
      <c r="BM86" s="107"/>
      <c r="BN86" s="107"/>
      <c r="BO86" s="107"/>
      <c r="BP86" s="107"/>
      <c r="BQ86" s="107"/>
      <c r="BR86" s="107"/>
      <c r="BS86" s="107"/>
      <c r="BT86" s="107"/>
      <c r="BU86" s="107"/>
      <c r="BV86" s="107"/>
      <c r="BW86" s="107"/>
      <c r="BX86" s="107"/>
      <c r="BY86" s="107"/>
      <c r="BZ86" s="107"/>
      <c r="CA86" s="107"/>
      <c r="CB86" s="107"/>
      <c r="CC86" s="107"/>
      <c r="CD86" s="107"/>
      <c r="CE86" s="107"/>
      <c r="CF86" s="107"/>
    </row>
    <row r="87" spans="2:84">
      <c r="B87" s="98"/>
      <c r="C87" s="98"/>
      <c r="D87" s="97"/>
      <c r="E87" s="97"/>
      <c r="F87" s="97"/>
      <c r="G87" s="97"/>
      <c r="H87" s="97"/>
      <c r="I87" s="97"/>
      <c r="J87" s="97"/>
      <c r="K87" s="97"/>
      <c r="L87" s="97"/>
      <c r="M87" s="97"/>
      <c r="N87" s="99"/>
      <c r="O87" s="97"/>
      <c r="P87" s="99"/>
      <c r="Q87" s="97"/>
      <c r="R87" s="97"/>
      <c r="S87" s="97"/>
      <c r="T87" s="97"/>
      <c r="U87" s="97"/>
      <c r="V87" s="97"/>
      <c r="W87" s="97"/>
      <c r="X87" s="97"/>
      <c r="Y87" s="97"/>
      <c r="Z87" s="97"/>
      <c r="AA87" s="97"/>
      <c r="AB87" s="97"/>
      <c r="AC87" s="97"/>
      <c r="AD87" s="107"/>
      <c r="AE87" s="107"/>
      <c r="AF87" s="107"/>
      <c r="AG87" s="107"/>
      <c r="AH87" s="107"/>
      <c r="AI87" s="107"/>
      <c r="AJ87" s="107"/>
      <c r="AK87" s="107"/>
      <c r="AL87" s="107"/>
      <c r="AM87" s="107"/>
      <c r="AN87" s="107"/>
      <c r="AO87" s="107"/>
      <c r="AP87" s="107"/>
      <c r="AQ87" s="107"/>
      <c r="AR87" s="107"/>
      <c r="AS87" s="107"/>
      <c r="AT87" s="107"/>
      <c r="AU87" s="107"/>
      <c r="AV87" s="107"/>
      <c r="AW87" s="107"/>
      <c r="AX87" s="107"/>
      <c r="AY87" s="107"/>
      <c r="AZ87" s="107"/>
      <c r="BA87" s="107"/>
      <c r="BB87" s="107"/>
      <c r="BC87" s="107"/>
      <c r="BD87" s="107"/>
      <c r="BE87" s="107"/>
      <c r="BF87" s="107"/>
      <c r="BG87" s="107"/>
      <c r="BH87" s="107"/>
      <c r="BI87" s="107"/>
      <c r="BJ87" s="107"/>
      <c r="BK87" s="107"/>
      <c r="BL87" s="107"/>
      <c r="BM87" s="107"/>
      <c r="BN87" s="107"/>
      <c r="BO87" s="107"/>
      <c r="BP87" s="107"/>
      <c r="BQ87" s="107"/>
      <c r="BR87" s="107"/>
      <c r="BS87" s="107"/>
      <c r="BT87" s="107"/>
      <c r="BU87" s="107"/>
      <c r="BV87" s="107"/>
      <c r="BW87" s="107"/>
      <c r="BX87" s="107"/>
      <c r="BY87" s="107"/>
      <c r="BZ87" s="107"/>
      <c r="CA87" s="107"/>
      <c r="CB87" s="107"/>
      <c r="CC87" s="107"/>
      <c r="CD87" s="107"/>
      <c r="CE87" s="107"/>
      <c r="CF87" s="107"/>
    </row>
    <row r="88" spans="2:84">
      <c r="B88" s="98"/>
      <c r="C88" s="98"/>
      <c r="D88" s="97"/>
      <c r="E88" s="97"/>
      <c r="F88" s="97"/>
      <c r="G88" s="97"/>
      <c r="H88" s="97"/>
      <c r="I88" s="97"/>
      <c r="J88" s="97"/>
      <c r="K88" s="97"/>
      <c r="L88" s="97"/>
      <c r="M88" s="97"/>
      <c r="N88" s="99"/>
      <c r="O88" s="97"/>
      <c r="P88" s="99"/>
      <c r="Q88" s="97"/>
      <c r="R88" s="97"/>
      <c r="S88" s="97"/>
      <c r="T88" s="97"/>
      <c r="U88" s="97"/>
      <c r="V88" s="97"/>
      <c r="W88" s="97"/>
      <c r="X88" s="97"/>
      <c r="Y88" s="97"/>
      <c r="Z88" s="97"/>
      <c r="AA88" s="97"/>
      <c r="AB88" s="97"/>
      <c r="AC88" s="97"/>
      <c r="AD88" s="107"/>
      <c r="AE88" s="107"/>
      <c r="AF88" s="107"/>
      <c r="AG88" s="107"/>
      <c r="AH88" s="107"/>
      <c r="AI88" s="107"/>
      <c r="AJ88" s="107"/>
      <c r="AK88" s="107"/>
      <c r="AL88" s="107"/>
      <c r="AM88" s="107"/>
      <c r="AN88" s="107"/>
      <c r="AO88" s="107"/>
      <c r="AP88" s="107"/>
      <c r="AQ88" s="107"/>
      <c r="AR88" s="107"/>
      <c r="AS88" s="107"/>
      <c r="AT88" s="107"/>
      <c r="AU88" s="107"/>
      <c r="AV88" s="107"/>
      <c r="AW88" s="107"/>
      <c r="AX88" s="107"/>
      <c r="AY88" s="107"/>
      <c r="AZ88" s="107"/>
      <c r="BA88" s="107"/>
      <c r="BB88" s="107"/>
      <c r="BC88" s="107"/>
      <c r="BD88" s="107"/>
      <c r="BE88" s="107"/>
      <c r="BF88" s="107"/>
      <c r="BG88" s="107"/>
      <c r="BH88" s="107"/>
      <c r="BI88" s="107"/>
      <c r="BJ88" s="107"/>
      <c r="BK88" s="107"/>
      <c r="BL88" s="107"/>
      <c r="BM88" s="107"/>
      <c r="BN88" s="107"/>
      <c r="BO88" s="107"/>
      <c r="BP88" s="107"/>
      <c r="BQ88" s="107"/>
      <c r="BR88" s="107"/>
      <c r="BS88" s="107"/>
      <c r="BT88" s="107"/>
      <c r="BU88" s="107"/>
      <c r="BV88" s="107"/>
      <c r="BW88" s="107"/>
      <c r="BX88" s="107"/>
      <c r="BY88" s="107"/>
      <c r="BZ88" s="107"/>
      <c r="CA88" s="107"/>
      <c r="CB88" s="107"/>
      <c r="CC88" s="107"/>
      <c r="CD88" s="107"/>
      <c r="CE88" s="107"/>
      <c r="CF88" s="107"/>
    </row>
    <row r="89" spans="2:84">
      <c r="B89" s="98"/>
      <c r="C89" s="98"/>
      <c r="D89" s="97"/>
      <c r="E89" s="97"/>
      <c r="F89" s="97"/>
      <c r="G89" s="97"/>
      <c r="H89" s="97"/>
      <c r="I89" s="97"/>
      <c r="J89" s="97"/>
      <c r="K89" s="97"/>
      <c r="L89" s="97"/>
      <c r="M89" s="97"/>
      <c r="N89" s="99"/>
      <c r="O89" s="97"/>
      <c r="P89" s="99"/>
      <c r="Q89" s="97"/>
      <c r="R89" s="97"/>
      <c r="S89" s="97"/>
      <c r="T89" s="97"/>
      <c r="U89" s="97"/>
      <c r="V89" s="97"/>
      <c r="W89" s="97"/>
      <c r="X89" s="97"/>
      <c r="Y89" s="97"/>
      <c r="Z89" s="97"/>
      <c r="AA89" s="97"/>
      <c r="AB89" s="97"/>
      <c r="AC89" s="97"/>
      <c r="AD89" s="107"/>
      <c r="AE89" s="107"/>
      <c r="AF89" s="107"/>
      <c r="AG89" s="107"/>
      <c r="AH89" s="107"/>
      <c r="AI89" s="107"/>
      <c r="AJ89" s="107"/>
      <c r="AK89" s="107"/>
      <c r="AL89" s="107"/>
      <c r="AM89" s="107"/>
      <c r="AN89" s="107"/>
      <c r="AO89" s="107"/>
      <c r="AP89" s="107"/>
      <c r="AQ89" s="107"/>
      <c r="AR89" s="107"/>
      <c r="AS89" s="107"/>
      <c r="AT89" s="107"/>
      <c r="AU89" s="107"/>
      <c r="AV89" s="107"/>
      <c r="AW89" s="107"/>
      <c r="AX89" s="107"/>
      <c r="AY89" s="107"/>
      <c r="AZ89" s="107"/>
      <c r="BA89" s="107"/>
      <c r="BB89" s="107"/>
      <c r="BC89" s="107"/>
      <c r="BD89" s="107"/>
      <c r="BE89" s="107"/>
      <c r="BF89" s="107"/>
      <c r="BG89" s="107"/>
      <c r="BH89" s="107"/>
      <c r="BI89" s="107"/>
      <c r="BJ89" s="107"/>
      <c r="BK89" s="107"/>
      <c r="BL89" s="107"/>
      <c r="BM89" s="107"/>
      <c r="BN89" s="107"/>
      <c r="BO89" s="107"/>
      <c r="BP89" s="107"/>
      <c r="BQ89" s="107"/>
      <c r="BR89" s="107"/>
      <c r="BS89" s="107"/>
      <c r="BT89" s="107"/>
      <c r="BU89" s="107"/>
      <c r="BV89" s="107"/>
      <c r="BW89" s="107"/>
      <c r="BX89" s="107"/>
      <c r="BY89" s="107"/>
      <c r="BZ89" s="107"/>
      <c r="CA89" s="107"/>
      <c r="CB89" s="107"/>
      <c r="CC89" s="107"/>
      <c r="CD89" s="107"/>
      <c r="CE89" s="107"/>
      <c r="CF89" s="107"/>
    </row>
    <row r="90" spans="2:84">
      <c r="B90" s="98"/>
      <c r="C90" s="98"/>
      <c r="D90" s="97"/>
      <c r="E90" s="97"/>
      <c r="F90" s="97"/>
      <c r="G90" s="97"/>
      <c r="H90" s="97"/>
      <c r="I90" s="97"/>
      <c r="J90" s="97"/>
      <c r="K90" s="97"/>
      <c r="L90" s="97"/>
      <c r="M90" s="97"/>
      <c r="N90" s="99"/>
      <c r="O90" s="97"/>
      <c r="P90" s="99"/>
      <c r="Q90" s="97"/>
      <c r="R90" s="97"/>
      <c r="S90" s="97"/>
      <c r="T90" s="97"/>
      <c r="U90" s="97"/>
      <c r="V90" s="97"/>
      <c r="W90" s="97"/>
      <c r="X90" s="97"/>
      <c r="Y90" s="97"/>
      <c r="Z90" s="97"/>
      <c r="AA90" s="97"/>
      <c r="AB90" s="97"/>
      <c r="AC90" s="97"/>
      <c r="AD90" s="107"/>
      <c r="AE90" s="107"/>
      <c r="AF90" s="107"/>
      <c r="AG90" s="107"/>
      <c r="AH90" s="107"/>
      <c r="AI90" s="107"/>
      <c r="AJ90" s="107"/>
      <c r="AK90" s="107"/>
      <c r="AL90" s="107"/>
      <c r="AM90" s="107"/>
      <c r="AN90" s="107"/>
      <c r="AO90" s="107"/>
      <c r="AP90" s="107"/>
      <c r="AQ90" s="107"/>
      <c r="AR90" s="107"/>
      <c r="AS90" s="107"/>
      <c r="AT90" s="107"/>
      <c r="AU90" s="107"/>
      <c r="AV90" s="107"/>
      <c r="AW90" s="107"/>
      <c r="AX90" s="107"/>
      <c r="AY90" s="107"/>
      <c r="AZ90" s="107"/>
      <c r="BA90" s="107"/>
      <c r="BB90" s="107"/>
      <c r="BC90" s="107"/>
      <c r="BD90" s="107"/>
      <c r="BE90" s="107"/>
      <c r="BF90" s="107"/>
      <c r="BG90" s="107"/>
      <c r="BH90" s="107"/>
      <c r="BI90" s="107"/>
      <c r="BJ90" s="107"/>
      <c r="BK90" s="107"/>
      <c r="BL90" s="107"/>
      <c r="BM90" s="107"/>
      <c r="BN90" s="107"/>
      <c r="BO90" s="107"/>
      <c r="BP90" s="107"/>
      <c r="BQ90" s="107"/>
      <c r="BR90" s="107"/>
      <c r="BS90" s="107"/>
      <c r="BT90" s="107"/>
      <c r="BU90" s="107"/>
      <c r="BV90" s="107"/>
      <c r="BW90" s="107"/>
      <c r="BX90" s="107"/>
      <c r="BY90" s="107"/>
      <c r="BZ90" s="107"/>
      <c r="CA90" s="107"/>
      <c r="CB90" s="107"/>
      <c r="CC90" s="107"/>
      <c r="CD90" s="107"/>
      <c r="CE90" s="107"/>
      <c r="CF90" s="107"/>
    </row>
    <row r="91" spans="2:84">
      <c r="B91" s="98"/>
      <c r="C91" s="98"/>
      <c r="D91" s="97"/>
      <c r="E91" s="97"/>
      <c r="F91" s="97"/>
      <c r="G91" s="97"/>
      <c r="H91" s="97"/>
      <c r="I91" s="97"/>
      <c r="J91" s="97"/>
      <c r="K91" s="97"/>
      <c r="L91" s="97"/>
      <c r="M91" s="97"/>
      <c r="N91" s="99"/>
      <c r="O91" s="97"/>
      <c r="P91" s="99"/>
      <c r="Q91" s="97"/>
      <c r="R91" s="97"/>
      <c r="S91" s="97"/>
      <c r="T91" s="97"/>
      <c r="U91" s="97"/>
      <c r="V91" s="97"/>
      <c r="W91" s="97"/>
      <c r="X91" s="97"/>
      <c r="Y91" s="97"/>
      <c r="Z91" s="97"/>
      <c r="AA91" s="97"/>
      <c r="AB91" s="97"/>
      <c r="AC91" s="97"/>
      <c r="AD91" s="107"/>
      <c r="AE91" s="107"/>
      <c r="AF91" s="107"/>
      <c r="AG91" s="107"/>
      <c r="AH91" s="107"/>
      <c r="AI91" s="107"/>
      <c r="AJ91" s="107"/>
      <c r="AK91" s="107"/>
      <c r="AL91" s="107"/>
      <c r="AM91" s="107"/>
      <c r="AN91" s="107"/>
      <c r="AO91" s="107"/>
      <c r="AP91" s="107"/>
      <c r="AQ91" s="107"/>
      <c r="AR91" s="107"/>
      <c r="AS91" s="107"/>
      <c r="AT91" s="107"/>
      <c r="AU91" s="107"/>
      <c r="AV91" s="107"/>
      <c r="AW91" s="107"/>
      <c r="AX91" s="107"/>
      <c r="AY91" s="107"/>
      <c r="AZ91" s="107"/>
      <c r="BA91" s="107"/>
      <c r="BB91" s="107"/>
      <c r="BC91" s="107"/>
      <c r="BD91" s="107"/>
      <c r="BE91" s="107"/>
      <c r="BF91" s="107"/>
      <c r="BG91" s="107"/>
      <c r="BH91" s="107"/>
      <c r="BI91" s="107"/>
      <c r="BJ91" s="107"/>
      <c r="BK91" s="107"/>
      <c r="BL91" s="107"/>
      <c r="BM91" s="107"/>
      <c r="BN91" s="107"/>
      <c r="BO91" s="107"/>
      <c r="BP91" s="107"/>
      <c r="BQ91" s="107"/>
      <c r="BR91" s="107"/>
      <c r="BS91" s="107"/>
      <c r="BT91" s="107"/>
      <c r="BU91" s="107"/>
      <c r="BV91" s="107"/>
      <c r="BW91" s="107"/>
      <c r="BX91" s="107"/>
      <c r="BY91" s="107"/>
      <c r="BZ91" s="107"/>
      <c r="CA91" s="107"/>
      <c r="CB91" s="107"/>
      <c r="CC91" s="107"/>
      <c r="CD91" s="107"/>
      <c r="CE91" s="107"/>
      <c r="CF91" s="107"/>
    </row>
    <row r="92" spans="2:84">
      <c r="B92" s="98"/>
      <c r="C92" s="98"/>
      <c r="D92" s="97"/>
      <c r="E92" s="97"/>
      <c r="F92" s="97"/>
      <c r="G92" s="97"/>
      <c r="H92" s="97"/>
      <c r="I92" s="97"/>
      <c r="J92" s="97"/>
      <c r="K92" s="97"/>
      <c r="L92" s="97"/>
      <c r="M92" s="97"/>
      <c r="N92" s="99"/>
      <c r="O92" s="97"/>
      <c r="P92" s="99"/>
      <c r="Q92" s="97"/>
      <c r="R92" s="97"/>
      <c r="S92" s="97"/>
      <c r="T92" s="97"/>
      <c r="U92" s="97"/>
      <c r="V92" s="97"/>
      <c r="W92" s="97"/>
      <c r="X92" s="97"/>
      <c r="Y92" s="97"/>
      <c r="Z92" s="97"/>
      <c r="AA92" s="97"/>
      <c r="AB92" s="97"/>
      <c r="AC92" s="97"/>
      <c r="AD92" s="107"/>
      <c r="AE92" s="107"/>
      <c r="AF92" s="107"/>
      <c r="AG92" s="107"/>
      <c r="AH92" s="107"/>
      <c r="AI92" s="107"/>
      <c r="AJ92" s="107"/>
      <c r="AK92" s="107"/>
      <c r="AL92" s="107"/>
      <c r="AM92" s="107"/>
      <c r="AN92" s="107"/>
      <c r="AO92" s="107"/>
      <c r="AP92" s="107"/>
      <c r="AQ92" s="107"/>
      <c r="AR92" s="107"/>
      <c r="AS92" s="107"/>
      <c r="AT92" s="107"/>
      <c r="AU92" s="107"/>
      <c r="AV92" s="107"/>
      <c r="AW92" s="107"/>
      <c r="AX92" s="107"/>
      <c r="AY92" s="107"/>
      <c r="AZ92" s="107"/>
      <c r="BA92" s="107"/>
      <c r="BB92" s="107"/>
      <c r="BC92" s="107"/>
      <c r="BD92" s="107"/>
      <c r="BE92" s="107"/>
      <c r="BF92" s="107"/>
      <c r="BG92" s="107"/>
      <c r="BH92" s="107"/>
      <c r="BI92" s="107"/>
      <c r="BJ92" s="107"/>
      <c r="BK92" s="107"/>
      <c r="BL92" s="107"/>
      <c r="BM92" s="107"/>
      <c r="BN92" s="107"/>
      <c r="BO92" s="107"/>
      <c r="BP92" s="107"/>
      <c r="BQ92" s="107"/>
      <c r="BR92" s="107"/>
      <c r="BS92" s="107"/>
      <c r="BT92" s="107"/>
      <c r="BU92" s="107"/>
      <c r="BV92" s="107"/>
      <c r="BW92" s="107"/>
      <c r="BX92" s="107"/>
      <c r="BY92" s="107"/>
      <c r="BZ92" s="107"/>
      <c r="CA92" s="107"/>
      <c r="CB92" s="107"/>
      <c r="CC92" s="107"/>
      <c r="CD92" s="107"/>
      <c r="CE92" s="107"/>
      <c r="CF92" s="107"/>
    </row>
    <row r="93" spans="2:84">
      <c r="B93" s="98"/>
      <c r="C93" s="98"/>
      <c r="D93" s="97"/>
      <c r="E93" s="97"/>
      <c r="F93" s="97"/>
      <c r="G93" s="97"/>
      <c r="H93" s="97"/>
      <c r="I93" s="97"/>
      <c r="J93" s="97"/>
      <c r="K93" s="97"/>
      <c r="L93" s="97"/>
      <c r="M93" s="97"/>
      <c r="N93" s="99"/>
      <c r="O93" s="97"/>
      <c r="P93" s="99"/>
      <c r="Q93" s="97"/>
      <c r="R93" s="97"/>
      <c r="S93" s="97"/>
      <c r="T93" s="97"/>
      <c r="U93" s="97"/>
      <c r="V93" s="97"/>
      <c r="W93" s="97"/>
      <c r="X93" s="97"/>
      <c r="Y93" s="97"/>
      <c r="Z93" s="97"/>
      <c r="AA93" s="97"/>
      <c r="AB93" s="97"/>
      <c r="AC93" s="97"/>
      <c r="AD93" s="107"/>
      <c r="AE93" s="107"/>
      <c r="AF93" s="107"/>
      <c r="AG93" s="107"/>
      <c r="AH93" s="107"/>
      <c r="AI93" s="107"/>
      <c r="AJ93" s="107"/>
      <c r="AK93" s="107"/>
      <c r="AL93" s="107"/>
      <c r="AM93" s="107"/>
      <c r="AN93" s="107"/>
      <c r="AO93" s="107"/>
      <c r="AP93" s="107"/>
      <c r="AQ93" s="107"/>
      <c r="AR93" s="107"/>
      <c r="AS93" s="107"/>
      <c r="AT93" s="107"/>
      <c r="AU93" s="107"/>
      <c r="AV93" s="107"/>
      <c r="AW93" s="107"/>
      <c r="AX93" s="107"/>
      <c r="AY93" s="107"/>
      <c r="AZ93" s="107"/>
      <c r="BA93" s="107"/>
      <c r="BB93" s="107"/>
      <c r="BC93" s="107"/>
      <c r="BD93" s="107"/>
      <c r="BE93" s="107"/>
      <c r="BF93" s="107"/>
      <c r="BG93" s="107"/>
      <c r="BH93" s="107"/>
      <c r="BI93" s="107"/>
      <c r="BJ93" s="107"/>
      <c r="BK93" s="107"/>
      <c r="BL93" s="107"/>
      <c r="BM93" s="107"/>
      <c r="BN93" s="107"/>
      <c r="BO93" s="107"/>
      <c r="BP93" s="107"/>
      <c r="BQ93" s="107"/>
      <c r="BR93" s="107"/>
      <c r="BS93" s="107"/>
      <c r="BT93" s="107"/>
      <c r="BU93" s="107"/>
      <c r="BV93" s="107"/>
      <c r="BW93" s="107"/>
      <c r="BX93" s="107"/>
      <c r="BY93" s="107"/>
      <c r="BZ93" s="107"/>
      <c r="CA93" s="107"/>
      <c r="CB93" s="107"/>
      <c r="CC93" s="107"/>
      <c r="CD93" s="107"/>
      <c r="CE93" s="107"/>
      <c r="CF93" s="107"/>
    </row>
    <row r="94" spans="2:84">
      <c r="B94" s="98"/>
      <c r="C94" s="98"/>
      <c r="D94" s="97"/>
      <c r="E94" s="97"/>
      <c r="F94" s="97"/>
      <c r="G94" s="97"/>
      <c r="H94" s="97"/>
      <c r="I94" s="97"/>
      <c r="J94" s="97"/>
      <c r="K94" s="97"/>
      <c r="L94" s="97"/>
      <c r="M94" s="97"/>
      <c r="N94" s="99"/>
      <c r="O94" s="97"/>
      <c r="P94" s="99"/>
      <c r="Q94" s="97"/>
      <c r="R94" s="97"/>
      <c r="S94" s="97"/>
      <c r="T94" s="97"/>
      <c r="U94" s="97"/>
      <c r="V94" s="97"/>
      <c r="W94" s="97"/>
      <c r="X94" s="97"/>
      <c r="Y94" s="97"/>
      <c r="Z94" s="97"/>
      <c r="AA94" s="97"/>
      <c r="AB94" s="97"/>
      <c r="AC94" s="97"/>
      <c r="AD94" s="107"/>
      <c r="AE94" s="107"/>
      <c r="AF94" s="107"/>
      <c r="AG94" s="107"/>
      <c r="AH94" s="107"/>
      <c r="AI94" s="107"/>
      <c r="AJ94" s="107"/>
      <c r="AK94" s="107"/>
      <c r="AL94" s="107"/>
      <c r="AM94" s="107"/>
      <c r="AN94" s="107"/>
      <c r="AO94" s="107"/>
      <c r="AP94" s="107"/>
      <c r="AQ94" s="107"/>
      <c r="AR94" s="107"/>
      <c r="AS94" s="107"/>
      <c r="AT94" s="107"/>
      <c r="AU94" s="107"/>
      <c r="AV94" s="107"/>
      <c r="AW94" s="107"/>
      <c r="AX94" s="107"/>
      <c r="AY94" s="107"/>
      <c r="AZ94" s="107"/>
      <c r="BA94" s="107"/>
      <c r="BB94" s="107"/>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row>
    <row r="95" spans="2:84">
      <c r="B95" s="98"/>
      <c r="C95" s="98"/>
      <c r="D95" s="97"/>
      <c r="E95" s="97"/>
      <c r="F95" s="97"/>
      <c r="G95" s="97"/>
      <c r="H95" s="97"/>
      <c r="I95" s="97"/>
      <c r="J95" s="97"/>
      <c r="K95" s="97"/>
      <c r="L95" s="97"/>
      <c r="M95" s="97"/>
      <c r="N95" s="99"/>
      <c r="O95" s="97"/>
      <c r="P95" s="99"/>
      <c r="Q95" s="97"/>
      <c r="R95" s="97"/>
      <c r="S95" s="97"/>
      <c r="T95" s="97"/>
      <c r="U95" s="97"/>
      <c r="V95" s="97"/>
      <c r="W95" s="97"/>
      <c r="X95" s="97"/>
      <c r="Y95" s="97"/>
      <c r="Z95" s="97"/>
      <c r="AA95" s="97"/>
      <c r="AB95" s="97"/>
      <c r="AC95" s="97"/>
      <c r="AD95" s="107"/>
      <c r="AE95" s="107"/>
      <c r="AF95" s="107"/>
      <c r="AG95" s="107"/>
      <c r="AH95" s="107"/>
      <c r="AI95" s="107"/>
      <c r="AJ95" s="107"/>
      <c r="AK95" s="107"/>
      <c r="AL95" s="107"/>
      <c r="AM95" s="107"/>
      <c r="AN95" s="107"/>
      <c r="AO95" s="107"/>
      <c r="AP95" s="107"/>
      <c r="AQ95" s="107"/>
      <c r="AR95" s="107"/>
      <c r="AS95" s="107"/>
      <c r="AT95" s="107"/>
      <c r="AU95" s="107"/>
      <c r="AV95" s="107"/>
      <c r="AW95" s="107"/>
      <c r="AX95" s="107"/>
      <c r="AY95" s="107"/>
      <c r="AZ95" s="107"/>
      <c r="BA95" s="107"/>
      <c r="BB95" s="107"/>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row>
    <row r="96" spans="2:84">
      <c r="B96" s="98"/>
      <c r="C96" s="98"/>
      <c r="D96" s="97"/>
      <c r="E96" s="97"/>
      <c r="F96" s="97"/>
      <c r="G96" s="97"/>
      <c r="H96" s="97"/>
      <c r="I96" s="97"/>
      <c r="J96" s="97"/>
      <c r="K96" s="97"/>
      <c r="L96" s="97"/>
      <c r="M96" s="97"/>
      <c r="N96" s="99"/>
      <c r="O96" s="97"/>
      <c r="P96" s="99"/>
      <c r="Q96" s="97"/>
      <c r="R96" s="97"/>
      <c r="S96" s="97"/>
      <c r="T96" s="97"/>
      <c r="U96" s="97"/>
      <c r="V96" s="97"/>
      <c r="W96" s="97"/>
      <c r="X96" s="97"/>
      <c r="Y96" s="97"/>
      <c r="Z96" s="97"/>
      <c r="AA96" s="97"/>
      <c r="AB96" s="97"/>
      <c r="AC96" s="97"/>
      <c r="AD96" s="107"/>
      <c r="AE96" s="107"/>
      <c r="AF96" s="107"/>
      <c r="AG96" s="107"/>
      <c r="AH96" s="107"/>
      <c r="AI96" s="107"/>
      <c r="AJ96" s="107"/>
      <c r="AK96" s="107"/>
      <c r="AL96" s="107"/>
      <c r="AM96" s="107"/>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row>
    <row r="97" spans="2:84">
      <c r="B97" s="98"/>
      <c r="C97" s="98"/>
      <c r="D97" s="97"/>
      <c r="E97" s="97"/>
      <c r="F97" s="97"/>
      <c r="G97" s="97"/>
      <c r="H97" s="97"/>
      <c r="I97" s="97"/>
      <c r="J97" s="97"/>
      <c r="K97" s="97"/>
      <c r="L97" s="97"/>
      <c r="M97" s="97"/>
      <c r="N97" s="99"/>
      <c r="O97" s="97"/>
      <c r="P97" s="99"/>
      <c r="Q97" s="97"/>
      <c r="R97" s="97"/>
      <c r="S97" s="97"/>
      <c r="T97" s="97"/>
      <c r="U97" s="97"/>
      <c r="V97" s="97"/>
      <c r="W97" s="97"/>
      <c r="X97" s="97"/>
      <c r="Y97" s="97"/>
      <c r="Z97" s="97"/>
      <c r="AA97" s="97"/>
      <c r="AB97" s="97"/>
      <c r="AC97" s="97"/>
      <c r="AD97" s="107"/>
      <c r="AE97" s="107"/>
      <c r="AF97" s="107"/>
      <c r="AG97" s="107"/>
      <c r="AH97" s="107"/>
      <c r="AI97" s="107"/>
      <c r="AJ97" s="107"/>
      <c r="AK97" s="107"/>
      <c r="AL97" s="107"/>
      <c r="AM97" s="107"/>
      <c r="AN97" s="107"/>
      <c r="AO97" s="107"/>
      <c r="AP97" s="107"/>
      <c r="AQ97" s="107"/>
      <c r="AR97" s="107"/>
      <c r="AS97" s="107"/>
      <c r="AT97" s="107"/>
      <c r="AU97" s="107"/>
      <c r="AV97" s="107"/>
      <c r="AW97" s="107"/>
      <c r="AX97" s="107"/>
      <c r="AY97" s="107"/>
      <c r="AZ97" s="107"/>
      <c r="BA97" s="107"/>
      <c r="BB97" s="107"/>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row>
    <row r="98" spans="2:84">
      <c r="B98" s="98"/>
      <c r="C98" s="98"/>
      <c r="D98" s="97"/>
      <c r="E98" s="97"/>
      <c r="F98" s="97"/>
      <c r="G98" s="97"/>
      <c r="H98" s="97"/>
      <c r="I98" s="97"/>
      <c r="J98" s="97"/>
      <c r="K98" s="97"/>
      <c r="L98" s="97"/>
      <c r="M98" s="97"/>
      <c r="N98" s="99"/>
      <c r="O98" s="97"/>
      <c r="P98" s="99"/>
      <c r="Q98" s="97"/>
      <c r="R98" s="97"/>
      <c r="S98" s="97"/>
      <c r="T98" s="97"/>
      <c r="U98" s="97"/>
      <c r="V98" s="97"/>
      <c r="W98" s="97"/>
      <c r="X98" s="97"/>
      <c r="Y98" s="97"/>
      <c r="Z98" s="97"/>
      <c r="AA98" s="97"/>
      <c r="AB98" s="97"/>
      <c r="AC98" s="97"/>
      <c r="AD98" s="107"/>
      <c r="AE98" s="107"/>
      <c r="AF98" s="107"/>
      <c r="AG98" s="107"/>
      <c r="AH98" s="107"/>
      <c r="AI98" s="107"/>
      <c r="AJ98" s="107"/>
      <c r="AK98" s="107"/>
      <c r="AL98" s="107"/>
      <c r="AM98" s="107"/>
      <c r="AN98" s="107"/>
      <c r="AO98" s="107"/>
      <c r="AP98" s="107"/>
      <c r="AQ98" s="107"/>
      <c r="AR98" s="107"/>
      <c r="AS98" s="107"/>
      <c r="AT98" s="107"/>
      <c r="AU98" s="107"/>
      <c r="AV98" s="107"/>
      <c r="AW98" s="107"/>
      <c r="AX98" s="107"/>
      <c r="AY98" s="107"/>
      <c r="AZ98" s="107"/>
      <c r="BA98" s="107"/>
      <c r="BB98" s="107"/>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row>
    <row r="99" spans="2:84">
      <c r="B99" s="98"/>
      <c r="C99" s="98"/>
      <c r="D99" s="97"/>
      <c r="E99" s="97"/>
      <c r="F99" s="97"/>
      <c r="G99" s="97"/>
      <c r="H99" s="97"/>
      <c r="I99" s="97"/>
      <c r="J99" s="97"/>
      <c r="K99" s="97"/>
      <c r="L99" s="97"/>
      <c r="M99" s="97"/>
      <c r="N99" s="99"/>
      <c r="O99" s="97"/>
      <c r="P99" s="99"/>
      <c r="Q99" s="97"/>
      <c r="R99" s="97"/>
      <c r="S99" s="97"/>
      <c r="T99" s="97"/>
      <c r="U99" s="97"/>
      <c r="V99" s="97"/>
      <c r="W99" s="97"/>
      <c r="X99" s="97"/>
      <c r="Y99" s="97"/>
      <c r="Z99" s="97"/>
      <c r="AA99" s="97"/>
      <c r="AB99" s="97"/>
      <c r="AC99" s="97"/>
      <c r="AD99" s="107"/>
      <c r="AE99" s="107"/>
      <c r="AF99" s="107"/>
      <c r="AG99" s="107"/>
      <c r="AH99" s="107"/>
      <c r="AI99" s="107"/>
      <c r="AJ99" s="107"/>
      <c r="AK99" s="107"/>
      <c r="AL99" s="107"/>
      <c r="AM99" s="107"/>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row>
    <row r="100" spans="2:84">
      <c r="B100" s="98"/>
      <c r="C100" s="98"/>
      <c r="D100" s="97"/>
      <c r="E100" s="97"/>
      <c r="F100" s="97"/>
      <c r="G100" s="97"/>
      <c r="H100" s="97"/>
      <c r="I100" s="97"/>
      <c r="J100" s="97"/>
      <c r="K100" s="97"/>
      <c r="L100" s="97"/>
      <c r="M100" s="97"/>
      <c r="N100" s="99"/>
      <c r="O100" s="97"/>
      <c r="P100" s="99"/>
      <c r="Q100" s="97"/>
      <c r="R100" s="97"/>
      <c r="S100" s="97"/>
      <c r="T100" s="97"/>
      <c r="U100" s="97"/>
      <c r="V100" s="97"/>
      <c r="W100" s="97"/>
      <c r="X100" s="97"/>
      <c r="Y100" s="97"/>
      <c r="Z100" s="97"/>
      <c r="AA100" s="97"/>
      <c r="AB100" s="97"/>
      <c r="AC100" s="97"/>
      <c r="AD100" s="107"/>
      <c r="AE100" s="107"/>
      <c r="AF100" s="107"/>
      <c r="AG100" s="107"/>
      <c r="AH100" s="107"/>
      <c r="AI100" s="107"/>
      <c r="AJ100" s="107"/>
      <c r="AK100" s="107"/>
      <c r="AL100" s="107"/>
      <c r="AM100" s="107"/>
      <c r="AN100" s="107"/>
      <c r="AO100" s="107"/>
      <c r="AP100" s="107"/>
      <c r="AQ100" s="107"/>
      <c r="AR100" s="107"/>
      <c r="AS100" s="107"/>
      <c r="AT100" s="107"/>
      <c r="AU100" s="107"/>
      <c r="AV100" s="107"/>
      <c r="AW100" s="107"/>
      <c r="AX100" s="107"/>
      <c r="AY100" s="107"/>
      <c r="AZ100" s="107"/>
      <c r="BA100" s="107"/>
      <c r="BB100" s="107"/>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row>
    <row r="101" spans="2:84">
      <c r="B101" s="98"/>
      <c r="C101" s="98"/>
      <c r="D101" s="97"/>
      <c r="E101" s="97"/>
      <c r="F101" s="97"/>
      <c r="G101" s="97"/>
      <c r="H101" s="97"/>
      <c r="I101" s="97"/>
      <c r="J101" s="97"/>
      <c r="K101" s="97"/>
      <c r="L101" s="97"/>
      <c r="M101" s="97"/>
      <c r="N101" s="99"/>
      <c r="O101" s="97"/>
      <c r="P101" s="99"/>
      <c r="Q101" s="97"/>
      <c r="R101" s="97"/>
      <c r="S101" s="97"/>
      <c r="T101" s="97"/>
      <c r="U101" s="97"/>
      <c r="V101" s="97"/>
      <c r="W101" s="97"/>
      <c r="X101" s="97"/>
      <c r="Y101" s="97"/>
      <c r="Z101" s="97"/>
      <c r="AA101" s="97"/>
      <c r="AB101" s="97"/>
      <c r="AC101" s="97"/>
      <c r="AD101" s="107"/>
      <c r="AE101" s="107"/>
      <c r="AF101" s="107"/>
      <c r="AG101" s="107"/>
      <c r="AH101" s="107"/>
      <c r="AI101" s="107"/>
      <c r="AJ101" s="107"/>
      <c r="AK101" s="107"/>
      <c r="AL101" s="107"/>
      <c r="AM101" s="107"/>
      <c r="AN101" s="107"/>
      <c r="AO101" s="107"/>
      <c r="AP101" s="107"/>
      <c r="AQ101" s="107"/>
      <c r="AR101" s="107"/>
      <c r="AS101" s="107"/>
      <c r="AT101" s="107"/>
      <c r="AU101" s="107"/>
      <c r="AV101" s="107"/>
      <c r="AW101" s="107"/>
      <c r="AX101" s="107"/>
      <c r="AY101" s="107"/>
      <c r="AZ101" s="107"/>
      <c r="BA101" s="107"/>
      <c r="BB101" s="107"/>
      <c r="BC101" s="107"/>
      <c r="BD101" s="107"/>
      <c r="BE101" s="107"/>
      <c r="BF101" s="107"/>
      <c r="BG101" s="107"/>
      <c r="BH101" s="107"/>
      <c r="BI101" s="107"/>
      <c r="BJ101" s="107"/>
      <c r="BK101" s="107"/>
      <c r="BL101" s="107"/>
      <c r="BM101" s="107"/>
      <c r="BN101" s="107"/>
      <c r="BO101" s="107"/>
      <c r="BP101" s="107"/>
      <c r="BQ101" s="107"/>
      <c r="BR101" s="107"/>
      <c r="BS101" s="107"/>
      <c r="BT101" s="107"/>
      <c r="BU101" s="107"/>
      <c r="BV101" s="107"/>
      <c r="BW101" s="107"/>
      <c r="BX101" s="107"/>
      <c r="BY101" s="107"/>
      <c r="BZ101" s="107"/>
      <c r="CA101" s="107"/>
      <c r="CB101" s="107"/>
      <c r="CC101" s="107"/>
      <c r="CD101" s="107"/>
      <c r="CE101" s="107"/>
      <c r="CF101" s="107"/>
    </row>
    <row r="102" spans="2:84">
      <c r="B102" s="98"/>
      <c r="C102" s="98"/>
      <c r="D102" s="97"/>
      <c r="E102" s="97"/>
      <c r="F102" s="97"/>
      <c r="G102" s="97"/>
      <c r="H102" s="97"/>
      <c r="I102" s="97"/>
      <c r="J102" s="97"/>
      <c r="K102" s="97"/>
      <c r="L102" s="97"/>
      <c r="M102" s="97"/>
      <c r="N102" s="99"/>
      <c r="O102" s="97"/>
      <c r="P102" s="99"/>
      <c r="Q102" s="97"/>
      <c r="R102" s="97"/>
      <c r="S102" s="97"/>
      <c r="T102" s="97"/>
      <c r="U102" s="97"/>
      <c r="V102" s="97"/>
      <c r="W102" s="97"/>
      <c r="X102" s="97"/>
      <c r="Y102" s="97"/>
      <c r="Z102" s="97"/>
      <c r="AA102" s="97"/>
      <c r="AB102" s="97"/>
      <c r="AC102" s="97"/>
      <c r="AD102" s="107"/>
      <c r="AE102" s="107"/>
      <c r="AF102" s="107"/>
      <c r="AG102" s="107"/>
      <c r="AH102" s="107"/>
      <c r="AI102" s="107"/>
      <c r="AJ102" s="107"/>
      <c r="AK102" s="107"/>
      <c r="AL102" s="107"/>
      <c r="AM102" s="107"/>
      <c r="AN102" s="107"/>
      <c r="AO102" s="107"/>
      <c r="AP102" s="107"/>
      <c r="AQ102" s="107"/>
      <c r="AR102" s="107"/>
      <c r="AS102" s="107"/>
      <c r="AT102" s="107"/>
      <c r="AU102" s="107"/>
      <c r="AV102" s="107"/>
      <c r="AW102" s="107"/>
      <c r="AX102" s="107"/>
      <c r="AY102" s="107"/>
      <c r="AZ102" s="107"/>
      <c r="BA102" s="107"/>
      <c r="BB102" s="107"/>
      <c r="BC102" s="107"/>
      <c r="BD102" s="107"/>
      <c r="BE102" s="107"/>
      <c r="BF102" s="107"/>
      <c r="BG102" s="107"/>
      <c r="BH102" s="107"/>
      <c r="BI102" s="107"/>
      <c r="BJ102" s="107"/>
      <c r="BK102" s="107"/>
      <c r="BL102" s="107"/>
      <c r="BM102" s="107"/>
      <c r="BN102" s="107"/>
      <c r="BO102" s="107"/>
      <c r="BP102" s="107"/>
      <c r="BQ102" s="107"/>
      <c r="BR102" s="107"/>
      <c r="BS102" s="107"/>
      <c r="BT102" s="107"/>
      <c r="BU102" s="107"/>
      <c r="BV102" s="107"/>
      <c r="BW102" s="107"/>
      <c r="BX102" s="107"/>
      <c r="BY102" s="107"/>
      <c r="BZ102" s="107"/>
      <c r="CA102" s="107"/>
      <c r="CB102" s="107"/>
      <c r="CC102" s="107"/>
      <c r="CD102" s="107"/>
      <c r="CE102" s="107"/>
      <c r="CF102" s="107"/>
    </row>
    <row r="103" spans="2:84">
      <c r="B103" s="98"/>
      <c r="C103" s="98"/>
      <c r="D103" s="97"/>
      <c r="E103" s="97"/>
      <c r="F103" s="97"/>
      <c r="G103" s="97"/>
      <c r="H103" s="97"/>
      <c r="I103" s="97"/>
      <c r="J103" s="97"/>
      <c r="K103" s="97"/>
      <c r="L103" s="97"/>
      <c r="M103" s="97"/>
      <c r="N103" s="99"/>
      <c r="O103" s="97"/>
      <c r="P103" s="99"/>
      <c r="Q103" s="97"/>
      <c r="R103" s="97"/>
      <c r="S103" s="97"/>
      <c r="T103" s="97"/>
      <c r="U103" s="97"/>
      <c r="V103" s="97"/>
      <c r="W103" s="97"/>
      <c r="X103" s="97"/>
      <c r="Y103" s="97"/>
      <c r="Z103" s="97"/>
      <c r="AA103" s="97"/>
      <c r="AB103" s="97"/>
      <c r="AC103" s="97"/>
      <c r="AD103" s="107"/>
      <c r="AE103" s="107"/>
      <c r="AF103" s="107"/>
      <c r="AG103" s="107"/>
      <c r="AH103" s="107"/>
      <c r="AI103" s="107"/>
      <c r="AJ103" s="107"/>
      <c r="AK103" s="107"/>
      <c r="AL103" s="107"/>
      <c r="AM103" s="107"/>
      <c r="AN103" s="107"/>
      <c r="AO103" s="107"/>
      <c r="AP103" s="107"/>
      <c r="AQ103" s="107"/>
      <c r="AR103" s="107"/>
      <c r="AS103" s="107"/>
      <c r="AT103" s="107"/>
      <c r="AU103" s="107"/>
      <c r="AV103" s="107"/>
      <c r="AW103" s="107"/>
      <c r="AX103" s="107"/>
      <c r="AY103" s="107"/>
      <c r="AZ103" s="107"/>
      <c r="BA103" s="107"/>
      <c r="BB103" s="107"/>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7"/>
      <c r="CB103" s="107"/>
      <c r="CC103" s="107"/>
      <c r="CD103" s="107"/>
      <c r="CE103" s="107"/>
      <c r="CF103" s="107"/>
    </row>
    <row r="104" spans="2:84">
      <c r="B104" s="98"/>
      <c r="C104" s="98"/>
      <c r="D104" s="97"/>
      <c r="E104" s="97"/>
      <c r="F104" s="97"/>
      <c r="G104" s="97"/>
      <c r="H104" s="97"/>
      <c r="I104" s="97"/>
      <c r="J104" s="97"/>
      <c r="K104" s="97"/>
      <c r="L104" s="97"/>
      <c r="M104" s="97"/>
      <c r="N104" s="99"/>
      <c r="O104" s="97"/>
      <c r="P104" s="99"/>
      <c r="Q104" s="97"/>
      <c r="R104" s="97"/>
      <c r="S104" s="97"/>
      <c r="T104" s="97"/>
      <c r="U104" s="97"/>
      <c r="V104" s="97"/>
      <c r="W104" s="97"/>
      <c r="X104" s="97"/>
      <c r="Y104" s="97"/>
      <c r="Z104" s="97"/>
      <c r="AA104" s="97"/>
      <c r="AB104" s="97"/>
      <c r="AC104" s="97"/>
      <c r="AD104" s="107"/>
      <c r="AE104" s="107"/>
      <c r="AF104" s="107"/>
      <c r="AG104" s="107"/>
      <c r="AH104" s="107"/>
      <c r="AI104" s="107"/>
      <c r="AJ104" s="107"/>
      <c r="AK104" s="107"/>
      <c r="AL104" s="107"/>
      <c r="AM104" s="107"/>
      <c r="AN104" s="107"/>
      <c r="AO104" s="107"/>
      <c r="AP104" s="107"/>
      <c r="AQ104" s="107"/>
      <c r="AR104" s="107"/>
      <c r="AS104" s="107"/>
      <c r="AT104" s="107"/>
      <c r="AU104" s="107"/>
      <c r="AV104" s="107"/>
      <c r="AW104" s="107"/>
      <c r="AX104" s="107"/>
      <c r="AY104" s="107"/>
      <c r="AZ104" s="107"/>
      <c r="BA104" s="107"/>
      <c r="BB104" s="107"/>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7"/>
      <c r="CB104" s="107"/>
      <c r="CC104" s="107"/>
      <c r="CD104" s="107"/>
      <c r="CE104" s="107"/>
      <c r="CF104" s="107"/>
    </row>
    <row r="105" spans="2:84">
      <c r="B105" s="98"/>
      <c r="C105" s="98"/>
      <c r="D105" s="97"/>
      <c r="E105" s="97"/>
      <c r="F105" s="97"/>
      <c r="G105" s="97"/>
      <c r="H105" s="97"/>
      <c r="I105" s="97"/>
      <c r="J105" s="97"/>
      <c r="K105" s="97"/>
      <c r="L105" s="97"/>
      <c r="M105" s="97"/>
      <c r="N105" s="99"/>
      <c r="O105" s="97"/>
      <c r="P105" s="99"/>
      <c r="Q105" s="97"/>
      <c r="R105" s="97"/>
      <c r="S105" s="97"/>
      <c r="T105" s="97"/>
      <c r="U105" s="97"/>
      <c r="V105" s="97"/>
      <c r="W105" s="97"/>
      <c r="X105" s="97"/>
      <c r="Y105" s="97"/>
      <c r="Z105" s="97"/>
      <c r="AA105" s="97"/>
      <c r="AB105" s="97"/>
      <c r="AC105" s="97"/>
      <c r="AD105" s="107"/>
      <c r="AE105" s="107"/>
      <c r="AF105" s="107"/>
      <c r="AG105" s="107"/>
      <c r="AH105" s="107"/>
      <c r="AI105" s="107"/>
      <c r="AJ105" s="107"/>
      <c r="AK105" s="107"/>
      <c r="AL105" s="107"/>
      <c r="AM105" s="107"/>
      <c r="AN105" s="107"/>
      <c r="AO105" s="107"/>
      <c r="AP105" s="107"/>
      <c r="AQ105" s="107"/>
      <c r="AR105" s="107"/>
      <c r="AS105" s="107"/>
      <c r="AT105" s="107"/>
      <c r="AU105" s="107"/>
      <c r="AV105" s="107"/>
      <c r="AW105" s="107"/>
      <c r="AX105" s="107"/>
      <c r="AY105" s="107"/>
      <c r="AZ105" s="107"/>
      <c r="BA105" s="107"/>
      <c r="BB105" s="107"/>
      <c r="BC105" s="107"/>
      <c r="BD105" s="107"/>
      <c r="BE105" s="107"/>
      <c r="BF105" s="107"/>
      <c r="BG105" s="107"/>
      <c r="BH105" s="107"/>
      <c r="BI105" s="107"/>
      <c r="BJ105" s="107"/>
      <c r="BK105" s="107"/>
      <c r="BL105" s="107"/>
      <c r="BM105" s="107"/>
      <c r="BN105" s="107"/>
      <c r="BO105" s="107"/>
      <c r="BP105" s="107"/>
      <c r="BQ105" s="107"/>
      <c r="BR105" s="107"/>
      <c r="BS105" s="107"/>
      <c r="BT105" s="107"/>
      <c r="BU105" s="107"/>
      <c r="BV105" s="107"/>
      <c r="BW105" s="107"/>
      <c r="BX105" s="107"/>
      <c r="BY105" s="107"/>
      <c r="BZ105" s="107"/>
      <c r="CA105" s="107"/>
      <c r="CB105" s="107"/>
      <c r="CC105" s="107"/>
      <c r="CD105" s="107"/>
      <c r="CE105" s="107"/>
      <c r="CF105" s="107"/>
    </row>
    <row r="106" spans="2:84">
      <c r="B106" s="98"/>
      <c r="C106" s="98"/>
      <c r="D106" s="97"/>
      <c r="E106" s="97"/>
      <c r="F106" s="97"/>
      <c r="G106" s="97"/>
      <c r="H106" s="97"/>
      <c r="I106" s="97"/>
      <c r="J106" s="97"/>
      <c r="K106" s="97"/>
      <c r="L106" s="97"/>
      <c r="M106" s="97"/>
      <c r="N106" s="99"/>
      <c r="O106" s="97"/>
      <c r="P106" s="99"/>
      <c r="Q106" s="97"/>
      <c r="R106" s="97"/>
      <c r="S106" s="97"/>
      <c r="T106" s="97"/>
      <c r="U106" s="97"/>
      <c r="V106" s="97"/>
      <c r="W106" s="97"/>
      <c r="X106" s="97"/>
      <c r="Y106" s="97"/>
      <c r="Z106" s="97"/>
      <c r="AA106" s="97"/>
      <c r="AB106" s="97"/>
      <c r="AC106" s="97"/>
      <c r="AD106" s="107"/>
      <c r="AE106" s="107"/>
      <c r="AF106" s="107"/>
      <c r="AG106" s="107"/>
      <c r="AH106" s="107"/>
      <c r="AI106" s="107"/>
      <c r="AJ106" s="107"/>
      <c r="AK106" s="107"/>
      <c r="AL106" s="107"/>
      <c r="AM106" s="107"/>
      <c r="AN106" s="107"/>
      <c r="AO106" s="107"/>
      <c r="AP106" s="107"/>
      <c r="AQ106" s="107"/>
      <c r="AR106" s="107"/>
      <c r="AS106" s="107"/>
      <c r="AT106" s="107"/>
      <c r="AU106" s="107"/>
      <c r="AV106" s="107"/>
      <c r="AW106" s="107"/>
      <c r="AX106" s="107"/>
      <c r="AY106" s="107"/>
      <c r="AZ106" s="107"/>
      <c r="BA106" s="107"/>
      <c r="BB106" s="107"/>
      <c r="BC106" s="107"/>
      <c r="BD106" s="107"/>
      <c r="BE106" s="107"/>
      <c r="BF106" s="107"/>
      <c r="BG106" s="107"/>
      <c r="BH106" s="107"/>
      <c r="BI106" s="107"/>
      <c r="BJ106" s="107"/>
      <c r="BK106" s="107"/>
      <c r="BL106" s="107"/>
      <c r="BM106" s="107"/>
      <c r="BN106" s="107"/>
      <c r="BO106" s="107"/>
      <c r="BP106" s="107"/>
      <c r="BQ106" s="107"/>
      <c r="BR106" s="107"/>
      <c r="BS106" s="107"/>
      <c r="BT106" s="107"/>
      <c r="BU106" s="107"/>
      <c r="BV106" s="107"/>
      <c r="BW106" s="107"/>
      <c r="BX106" s="107"/>
      <c r="BY106" s="107"/>
      <c r="BZ106" s="107"/>
      <c r="CA106" s="107"/>
      <c r="CB106" s="107"/>
      <c r="CC106" s="107"/>
      <c r="CD106" s="107"/>
      <c r="CE106" s="107"/>
      <c r="CF106" s="107"/>
    </row>
    <row r="107" spans="2:84">
      <c r="B107" s="98"/>
      <c r="C107" s="98"/>
      <c r="D107" s="97"/>
      <c r="E107" s="97"/>
      <c r="F107" s="97"/>
      <c r="G107" s="97"/>
      <c r="H107" s="97"/>
      <c r="I107" s="97"/>
      <c r="J107" s="97"/>
      <c r="K107" s="97"/>
      <c r="L107" s="97"/>
      <c r="M107" s="97"/>
      <c r="N107" s="99"/>
      <c r="O107" s="97"/>
      <c r="P107" s="99"/>
      <c r="Q107" s="97"/>
      <c r="R107" s="97"/>
      <c r="S107" s="97"/>
      <c r="T107" s="97"/>
      <c r="U107" s="97"/>
      <c r="V107" s="97"/>
      <c r="W107" s="97"/>
      <c r="X107" s="97"/>
      <c r="Y107" s="97"/>
      <c r="Z107" s="97"/>
      <c r="AA107" s="97"/>
      <c r="AB107" s="97"/>
      <c r="AC107" s="97"/>
      <c r="AD107" s="107"/>
      <c r="AE107" s="107"/>
      <c r="AF107" s="107"/>
      <c r="AG107" s="107"/>
      <c r="AH107" s="107"/>
      <c r="AI107" s="107"/>
      <c r="AJ107" s="107"/>
      <c r="AK107" s="107"/>
      <c r="AL107" s="107"/>
      <c r="AM107" s="107"/>
      <c r="AN107" s="107"/>
      <c r="AO107" s="107"/>
      <c r="AP107" s="107"/>
      <c r="AQ107" s="107"/>
      <c r="AR107" s="107"/>
      <c r="AS107" s="107"/>
      <c r="AT107" s="107"/>
      <c r="AU107" s="107"/>
      <c r="AV107" s="107"/>
      <c r="AW107" s="107"/>
      <c r="AX107" s="107"/>
      <c r="AY107" s="107"/>
      <c r="AZ107" s="107"/>
      <c r="BA107" s="107"/>
      <c r="BB107" s="107"/>
      <c r="BC107" s="107"/>
      <c r="BD107" s="107"/>
      <c r="BE107" s="107"/>
      <c r="BF107" s="107"/>
      <c r="BG107" s="107"/>
      <c r="BH107" s="107"/>
      <c r="BI107" s="107"/>
      <c r="BJ107" s="107"/>
      <c r="BK107" s="107"/>
      <c r="BL107" s="107"/>
      <c r="BM107" s="107"/>
      <c r="BN107" s="107"/>
      <c r="BO107" s="107"/>
      <c r="BP107" s="107"/>
      <c r="BQ107" s="107"/>
      <c r="BR107" s="107"/>
      <c r="BS107" s="107"/>
      <c r="BT107" s="107"/>
      <c r="BU107" s="107"/>
      <c r="BV107" s="107"/>
      <c r="BW107" s="107"/>
      <c r="BX107" s="107"/>
      <c r="BY107" s="107"/>
      <c r="BZ107" s="107"/>
      <c r="CA107" s="107"/>
      <c r="CB107" s="107"/>
      <c r="CC107" s="107"/>
      <c r="CD107" s="107"/>
      <c r="CE107" s="107"/>
      <c r="CF107" s="107"/>
    </row>
    <row r="108" spans="2:84">
      <c r="B108" s="98"/>
      <c r="C108" s="98"/>
      <c r="D108" s="97"/>
      <c r="E108" s="97"/>
      <c r="F108" s="97"/>
      <c r="G108" s="97"/>
      <c r="H108" s="97"/>
      <c r="I108" s="97"/>
      <c r="J108" s="97"/>
      <c r="K108" s="97"/>
      <c r="L108" s="97"/>
      <c r="M108" s="97"/>
      <c r="N108" s="99"/>
      <c r="O108" s="97"/>
      <c r="P108" s="99"/>
      <c r="Q108" s="97"/>
      <c r="R108" s="97"/>
      <c r="S108" s="97"/>
      <c r="T108" s="97"/>
      <c r="U108" s="97"/>
      <c r="V108" s="97"/>
      <c r="W108" s="97"/>
      <c r="X108" s="97"/>
      <c r="Y108" s="97"/>
      <c r="Z108" s="97"/>
      <c r="AA108" s="97"/>
      <c r="AB108" s="97"/>
      <c r="AC108" s="97"/>
      <c r="AD108" s="107"/>
      <c r="AE108" s="107"/>
      <c r="AF108" s="107"/>
      <c r="AG108" s="107"/>
      <c r="AH108" s="107"/>
      <c r="AI108" s="107"/>
      <c r="AJ108" s="107"/>
      <c r="AK108" s="107"/>
      <c r="AL108" s="107"/>
      <c r="AM108" s="107"/>
      <c r="AN108" s="107"/>
      <c r="AO108" s="107"/>
      <c r="AP108" s="107"/>
      <c r="AQ108" s="107"/>
      <c r="AR108" s="107"/>
      <c r="AS108" s="107"/>
      <c r="AT108" s="107"/>
      <c r="AU108" s="107"/>
      <c r="AV108" s="107"/>
      <c r="AW108" s="107"/>
      <c r="AX108" s="107"/>
      <c r="AY108" s="107"/>
      <c r="AZ108" s="107"/>
      <c r="BA108" s="107"/>
      <c r="BB108" s="107"/>
      <c r="BC108" s="107"/>
      <c r="BD108" s="107"/>
      <c r="BE108" s="107"/>
      <c r="BF108" s="107"/>
      <c r="BG108" s="107"/>
      <c r="BH108" s="107"/>
      <c r="BI108" s="107"/>
      <c r="BJ108" s="107"/>
      <c r="BK108" s="107"/>
      <c r="BL108" s="107"/>
      <c r="BM108" s="107"/>
      <c r="BN108" s="107"/>
      <c r="BO108" s="107"/>
      <c r="BP108" s="107"/>
      <c r="BQ108" s="107"/>
      <c r="BR108" s="107"/>
      <c r="BS108" s="107"/>
      <c r="BT108" s="107"/>
      <c r="BU108" s="107"/>
      <c r="BV108" s="107"/>
      <c r="BW108" s="107"/>
      <c r="BX108" s="107"/>
      <c r="BY108" s="107"/>
      <c r="BZ108" s="107"/>
      <c r="CA108" s="107"/>
      <c r="CB108" s="107"/>
      <c r="CC108" s="107"/>
      <c r="CD108" s="107"/>
      <c r="CE108" s="107"/>
      <c r="CF108" s="107"/>
    </row>
    <row r="109" spans="2:84">
      <c r="B109" s="98"/>
      <c r="C109" s="98"/>
      <c r="D109" s="97"/>
      <c r="E109" s="97"/>
      <c r="F109" s="97"/>
      <c r="G109" s="97"/>
      <c r="H109" s="97"/>
      <c r="I109" s="97"/>
      <c r="J109" s="97"/>
      <c r="K109" s="97"/>
      <c r="L109" s="97"/>
      <c r="M109" s="97"/>
      <c r="N109" s="99"/>
      <c r="O109" s="97"/>
      <c r="P109" s="99"/>
      <c r="Q109" s="97"/>
      <c r="R109" s="97"/>
      <c r="S109" s="97"/>
      <c r="T109" s="97"/>
      <c r="U109" s="97"/>
      <c r="V109" s="97"/>
      <c r="W109" s="97"/>
      <c r="X109" s="97"/>
      <c r="Y109" s="97"/>
      <c r="Z109" s="97"/>
      <c r="AA109" s="97"/>
      <c r="AB109" s="97"/>
      <c r="AC109" s="97"/>
      <c r="AD109" s="107"/>
      <c r="AE109" s="107"/>
      <c r="AF109" s="107"/>
      <c r="AG109" s="107"/>
      <c r="AH109" s="107"/>
      <c r="AI109" s="107"/>
      <c r="AJ109" s="107"/>
      <c r="AK109" s="107"/>
      <c r="AL109" s="107"/>
      <c r="AM109" s="107"/>
      <c r="AN109" s="107"/>
      <c r="AO109" s="107"/>
      <c r="AP109" s="107"/>
      <c r="AQ109" s="107"/>
      <c r="AR109" s="107"/>
      <c r="AS109" s="107"/>
      <c r="AT109" s="107"/>
      <c r="AU109" s="107"/>
      <c r="AV109" s="107"/>
      <c r="AW109" s="107"/>
      <c r="AX109" s="107"/>
      <c r="AY109" s="107"/>
      <c r="AZ109" s="107"/>
      <c r="BA109" s="107"/>
      <c r="BB109" s="107"/>
      <c r="BC109" s="107"/>
      <c r="BD109" s="107"/>
      <c r="BE109" s="107"/>
      <c r="BF109" s="107"/>
      <c r="BG109" s="107"/>
      <c r="BH109" s="107"/>
      <c r="BI109" s="107"/>
      <c r="BJ109" s="107"/>
      <c r="BK109" s="107"/>
      <c r="BL109" s="107"/>
      <c r="BM109" s="107"/>
      <c r="BN109" s="107"/>
      <c r="BO109" s="107"/>
      <c r="BP109" s="107"/>
      <c r="BQ109" s="107"/>
      <c r="BR109" s="107"/>
      <c r="BS109" s="107"/>
      <c r="BT109" s="107"/>
      <c r="BU109" s="107"/>
      <c r="BV109" s="107"/>
      <c r="BW109" s="107"/>
      <c r="BX109" s="107"/>
      <c r="BY109" s="107"/>
      <c r="BZ109" s="107"/>
      <c r="CA109" s="107"/>
      <c r="CB109" s="107"/>
      <c r="CC109" s="107"/>
      <c r="CD109" s="107"/>
      <c r="CE109" s="107"/>
      <c r="CF109" s="107"/>
    </row>
    <row r="110" spans="2:84">
      <c r="B110" s="98"/>
      <c r="C110" s="98"/>
      <c r="D110" s="97"/>
      <c r="E110" s="97"/>
      <c r="F110" s="97"/>
      <c r="G110" s="97"/>
      <c r="H110" s="97"/>
      <c r="I110" s="97"/>
      <c r="J110" s="97"/>
      <c r="K110" s="97"/>
      <c r="L110" s="97"/>
      <c r="M110" s="97"/>
      <c r="N110" s="99"/>
      <c r="O110" s="97"/>
      <c r="P110" s="99"/>
      <c r="Q110" s="97"/>
      <c r="R110" s="97"/>
      <c r="S110" s="97"/>
      <c r="T110" s="97"/>
      <c r="U110" s="97"/>
      <c r="V110" s="97"/>
      <c r="W110" s="97"/>
      <c r="X110" s="97"/>
      <c r="Y110" s="97"/>
      <c r="Z110" s="97"/>
      <c r="AA110" s="97"/>
      <c r="AB110" s="97"/>
      <c r="AC110" s="97"/>
      <c r="AD110" s="107"/>
      <c r="AE110" s="107"/>
      <c r="AF110" s="107"/>
      <c r="AG110" s="107"/>
      <c r="AH110" s="107"/>
      <c r="AI110" s="107"/>
      <c r="AJ110" s="107"/>
      <c r="AK110" s="107"/>
      <c r="AL110" s="107"/>
      <c r="AM110" s="107"/>
      <c r="AN110" s="107"/>
      <c r="AO110" s="107"/>
      <c r="AP110" s="107"/>
      <c r="AQ110" s="107"/>
      <c r="AR110" s="107"/>
      <c r="AS110" s="107"/>
      <c r="AT110" s="107"/>
      <c r="AU110" s="107"/>
      <c r="AV110" s="107"/>
      <c r="AW110" s="107"/>
      <c r="AX110" s="107"/>
      <c r="AY110" s="107"/>
      <c r="AZ110" s="107"/>
      <c r="BA110" s="107"/>
      <c r="BB110" s="107"/>
      <c r="BC110" s="107"/>
      <c r="BD110" s="107"/>
      <c r="BE110" s="107"/>
      <c r="BF110" s="107"/>
      <c r="BG110" s="107"/>
      <c r="BH110" s="107"/>
      <c r="BI110" s="107"/>
      <c r="BJ110" s="107"/>
      <c r="BK110" s="107"/>
      <c r="BL110" s="107"/>
      <c r="BM110" s="107"/>
      <c r="BN110" s="107"/>
      <c r="BO110" s="107"/>
      <c r="BP110" s="107"/>
      <c r="BQ110" s="107"/>
      <c r="BR110" s="107"/>
      <c r="BS110" s="107"/>
      <c r="BT110" s="107"/>
      <c r="BU110" s="107"/>
      <c r="BV110" s="107"/>
      <c r="BW110" s="107"/>
      <c r="BX110" s="107"/>
      <c r="BY110" s="107"/>
      <c r="BZ110" s="107"/>
      <c r="CA110" s="107"/>
      <c r="CB110" s="107"/>
      <c r="CC110" s="107"/>
      <c r="CD110" s="107"/>
      <c r="CE110" s="107"/>
      <c r="CF110" s="107"/>
    </row>
    <row r="111" spans="2:84">
      <c r="B111" s="98"/>
      <c r="C111" s="98"/>
      <c r="D111" s="97"/>
      <c r="E111" s="97"/>
      <c r="F111" s="97"/>
      <c r="G111" s="97"/>
      <c r="H111" s="97"/>
      <c r="I111" s="97"/>
      <c r="J111" s="97"/>
      <c r="K111" s="97"/>
      <c r="L111" s="97"/>
      <c r="M111" s="97"/>
      <c r="N111" s="99"/>
      <c r="O111" s="97"/>
      <c r="P111" s="99"/>
      <c r="Q111" s="97"/>
      <c r="R111" s="97"/>
      <c r="S111" s="97"/>
      <c r="T111" s="97"/>
      <c r="U111" s="97"/>
      <c r="V111" s="97"/>
      <c r="W111" s="97"/>
      <c r="X111" s="97"/>
      <c r="Y111" s="97"/>
      <c r="Z111" s="97"/>
      <c r="AA111" s="97"/>
      <c r="AB111" s="97"/>
      <c r="AC111" s="97"/>
      <c r="AD111" s="107"/>
      <c r="AE111" s="107"/>
      <c r="AF111" s="107"/>
      <c r="AG111" s="107"/>
      <c r="AH111" s="107"/>
      <c r="AI111" s="107"/>
      <c r="AJ111" s="107"/>
      <c r="AK111" s="107"/>
      <c r="AL111" s="107"/>
      <c r="AM111" s="107"/>
      <c r="AN111" s="107"/>
      <c r="AO111" s="107"/>
      <c r="AP111" s="107"/>
      <c r="AQ111" s="107"/>
      <c r="AR111" s="107"/>
      <c r="AS111" s="107"/>
      <c r="AT111" s="107"/>
      <c r="AU111" s="107"/>
      <c r="AV111" s="107"/>
      <c r="AW111" s="107"/>
      <c r="AX111" s="107"/>
      <c r="AY111" s="107"/>
      <c r="AZ111" s="107"/>
      <c r="BA111" s="107"/>
      <c r="BB111" s="107"/>
      <c r="BC111" s="107"/>
      <c r="BD111" s="107"/>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row>
    <row r="112" spans="2:84">
      <c r="B112" s="98"/>
      <c r="C112" s="98"/>
      <c r="D112" s="97"/>
      <c r="E112" s="97"/>
      <c r="F112" s="97"/>
      <c r="G112" s="97"/>
      <c r="H112" s="97"/>
      <c r="I112" s="97"/>
      <c r="J112" s="97"/>
      <c r="K112" s="97"/>
      <c r="L112" s="97"/>
      <c r="M112" s="97"/>
      <c r="N112" s="99"/>
      <c r="O112" s="97"/>
      <c r="P112" s="99"/>
      <c r="Q112" s="97"/>
      <c r="R112" s="97"/>
      <c r="S112" s="97"/>
      <c r="T112" s="97"/>
      <c r="U112" s="97"/>
      <c r="V112" s="97"/>
      <c r="W112" s="97"/>
      <c r="X112" s="97"/>
      <c r="Y112" s="97"/>
      <c r="Z112" s="97"/>
      <c r="AA112" s="97"/>
      <c r="AB112" s="97"/>
      <c r="AC112" s="97"/>
      <c r="AD112" s="107"/>
      <c r="AE112" s="107"/>
      <c r="AF112" s="107"/>
      <c r="AG112" s="107"/>
      <c r="AH112" s="107"/>
      <c r="AI112" s="107"/>
      <c r="AJ112" s="107"/>
      <c r="AK112" s="107"/>
      <c r="AL112" s="107"/>
      <c r="AM112" s="107"/>
      <c r="AN112" s="107"/>
      <c r="AO112" s="107"/>
      <c r="AP112" s="107"/>
      <c r="AQ112" s="107"/>
      <c r="AR112" s="107"/>
      <c r="AS112" s="107"/>
      <c r="AT112" s="107"/>
      <c r="AU112" s="107"/>
      <c r="AV112" s="107"/>
      <c r="AW112" s="107"/>
      <c r="AX112" s="107"/>
      <c r="AY112" s="107"/>
      <c r="AZ112" s="107"/>
      <c r="BA112" s="107"/>
      <c r="BB112" s="107"/>
      <c r="BC112" s="107"/>
      <c r="BD112" s="107"/>
      <c r="BE112" s="107"/>
      <c r="BF112" s="107"/>
      <c r="BG112" s="107"/>
      <c r="BH112" s="107"/>
      <c r="BI112" s="107"/>
      <c r="BJ112" s="107"/>
      <c r="BK112" s="107"/>
      <c r="BL112" s="107"/>
      <c r="BM112" s="107"/>
      <c r="BN112" s="107"/>
      <c r="BO112" s="107"/>
      <c r="BP112" s="107"/>
      <c r="BQ112" s="107"/>
      <c r="BR112" s="107"/>
      <c r="BS112" s="107"/>
      <c r="BT112" s="107"/>
      <c r="BU112" s="107"/>
      <c r="BV112" s="107"/>
      <c r="BW112" s="107"/>
      <c r="BX112" s="107"/>
      <c r="BY112" s="107"/>
      <c r="BZ112" s="107"/>
      <c r="CA112" s="107"/>
      <c r="CB112" s="107"/>
      <c r="CC112" s="107"/>
      <c r="CD112" s="107"/>
      <c r="CE112" s="107"/>
      <c r="CF112" s="107"/>
    </row>
    <row r="113" spans="2:84">
      <c r="B113" s="98"/>
      <c r="C113" s="98"/>
      <c r="D113" s="97"/>
      <c r="E113" s="97"/>
      <c r="F113" s="97"/>
      <c r="G113" s="97"/>
      <c r="H113" s="97"/>
      <c r="I113" s="97"/>
      <c r="J113" s="97"/>
      <c r="K113" s="97"/>
      <c r="L113" s="97"/>
      <c r="M113" s="97"/>
      <c r="N113" s="99"/>
      <c r="O113" s="97"/>
      <c r="P113" s="99"/>
      <c r="Q113" s="97"/>
      <c r="R113" s="97"/>
      <c r="S113" s="97"/>
      <c r="T113" s="97"/>
      <c r="U113" s="97"/>
      <c r="V113" s="97"/>
      <c r="W113" s="97"/>
      <c r="X113" s="97"/>
      <c r="Y113" s="97"/>
      <c r="Z113" s="97"/>
      <c r="AA113" s="97"/>
      <c r="AB113" s="97"/>
      <c r="AC113" s="97"/>
      <c r="AD113" s="107"/>
      <c r="AE113" s="107"/>
      <c r="AF113" s="107"/>
      <c r="AG113" s="107"/>
      <c r="AH113" s="107"/>
      <c r="AI113" s="107"/>
      <c r="AJ113" s="107"/>
      <c r="AK113" s="107"/>
      <c r="AL113" s="107"/>
      <c r="AM113" s="107"/>
      <c r="AN113" s="107"/>
      <c r="AO113" s="107"/>
      <c r="AP113" s="107"/>
      <c r="AQ113" s="107"/>
      <c r="AR113" s="107"/>
      <c r="AS113" s="107"/>
      <c r="AT113" s="107"/>
      <c r="AU113" s="107"/>
      <c r="AV113" s="107"/>
      <c r="AW113" s="107"/>
      <c r="AX113" s="107"/>
      <c r="AY113" s="107"/>
      <c r="AZ113" s="107"/>
      <c r="BA113" s="107"/>
      <c r="BB113" s="107"/>
      <c r="BC113" s="107"/>
      <c r="BD113" s="107"/>
      <c r="BE113" s="107"/>
      <c r="BF113" s="107"/>
      <c r="BG113" s="107"/>
      <c r="BH113" s="107"/>
      <c r="BI113" s="107"/>
      <c r="BJ113" s="107"/>
      <c r="BK113" s="107"/>
      <c r="BL113" s="107"/>
      <c r="BM113" s="107"/>
      <c r="BN113" s="107"/>
      <c r="BO113" s="107"/>
      <c r="BP113" s="107"/>
      <c r="BQ113" s="107"/>
      <c r="BR113" s="107"/>
      <c r="BS113" s="107"/>
      <c r="BT113" s="107"/>
      <c r="BU113" s="107"/>
      <c r="BV113" s="107"/>
      <c r="BW113" s="107"/>
      <c r="BX113" s="107"/>
      <c r="BY113" s="107"/>
      <c r="BZ113" s="107"/>
      <c r="CA113" s="107"/>
      <c r="CB113" s="107"/>
      <c r="CC113" s="107"/>
      <c r="CD113" s="107"/>
      <c r="CE113" s="107"/>
      <c r="CF113" s="107"/>
    </row>
    <row r="114" spans="2:84">
      <c r="B114" s="98"/>
      <c r="C114" s="98"/>
      <c r="D114" s="97"/>
      <c r="E114" s="97"/>
      <c r="F114" s="97"/>
      <c r="G114" s="97"/>
      <c r="H114" s="97"/>
      <c r="I114" s="97"/>
      <c r="J114" s="97"/>
      <c r="K114" s="97"/>
      <c r="L114" s="97"/>
      <c r="M114" s="97"/>
      <c r="N114" s="99"/>
      <c r="O114" s="97"/>
      <c r="P114" s="99"/>
      <c r="Q114" s="97"/>
      <c r="R114" s="97"/>
      <c r="S114" s="97"/>
      <c r="T114" s="97"/>
      <c r="U114" s="97"/>
      <c r="V114" s="97"/>
      <c r="W114" s="97"/>
      <c r="X114" s="97"/>
      <c r="Y114" s="97"/>
      <c r="Z114" s="97"/>
      <c r="AA114" s="97"/>
      <c r="AB114" s="97"/>
      <c r="AC114" s="97"/>
      <c r="AD114" s="107"/>
      <c r="AE114" s="107"/>
      <c r="AF114" s="107"/>
      <c r="AG114" s="107"/>
      <c r="AH114" s="107"/>
      <c r="AI114" s="107"/>
      <c r="AJ114" s="107"/>
      <c r="AK114" s="107"/>
      <c r="AL114" s="107"/>
      <c r="AM114" s="107"/>
      <c r="AN114" s="107"/>
      <c r="AO114" s="107"/>
      <c r="AP114" s="107"/>
      <c r="AQ114" s="107"/>
      <c r="AR114" s="107"/>
      <c r="AS114" s="107"/>
      <c r="AT114" s="107"/>
      <c r="AU114" s="107"/>
      <c r="AV114" s="107"/>
      <c r="AW114" s="107"/>
      <c r="AX114" s="107"/>
      <c r="AY114" s="107"/>
      <c r="AZ114" s="107"/>
      <c r="BA114" s="107"/>
      <c r="BB114" s="107"/>
      <c r="BC114" s="107"/>
      <c r="BD114" s="107"/>
      <c r="BE114" s="107"/>
      <c r="BF114" s="107"/>
      <c r="BG114" s="107"/>
      <c r="BH114" s="107"/>
      <c r="BI114" s="107"/>
      <c r="BJ114" s="107"/>
      <c r="BK114" s="107"/>
      <c r="BL114" s="107"/>
      <c r="BM114" s="107"/>
      <c r="BN114" s="107"/>
      <c r="BO114" s="107"/>
      <c r="BP114" s="107"/>
      <c r="BQ114" s="107"/>
      <c r="BR114" s="107"/>
      <c r="BS114" s="107"/>
      <c r="BT114" s="107"/>
      <c r="BU114" s="107"/>
      <c r="BV114" s="107"/>
      <c r="BW114" s="107"/>
      <c r="BX114" s="107"/>
      <c r="BY114" s="107"/>
      <c r="BZ114" s="107"/>
      <c r="CA114" s="107"/>
      <c r="CB114" s="107"/>
      <c r="CC114" s="107"/>
      <c r="CD114" s="107"/>
      <c r="CE114" s="107"/>
      <c r="CF114" s="107"/>
    </row>
    <row r="115" spans="2:84">
      <c r="B115" s="98"/>
      <c r="C115" s="98"/>
      <c r="D115" s="97"/>
      <c r="E115" s="97"/>
      <c r="F115" s="97"/>
      <c r="G115" s="97"/>
      <c r="H115" s="97"/>
      <c r="I115" s="97"/>
      <c r="J115" s="97"/>
      <c r="K115" s="97"/>
      <c r="L115" s="97"/>
      <c r="M115" s="97"/>
      <c r="N115" s="99"/>
      <c r="O115" s="97"/>
      <c r="P115" s="99"/>
      <c r="Q115" s="97"/>
      <c r="R115" s="97"/>
      <c r="S115" s="97"/>
      <c r="T115" s="97"/>
      <c r="U115" s="97"/>
      <c r="V115" s="97"/>
      <c r="W115" s="97"/>
      <c r="X115" s="97"/>
      <c r="Y115" s="97"/>
      <c r="Z115" s="97"/>
      <c r="AA115" s="97"/>
      <c r="AB115" s="97"/>
      <c r="AC115" s="97"/>
      <c r="AD115" s="107"/>
      <c r="AE115" s="107"/>
      <c r="AF115" s="107"/>
      <c r="AG115" s="107"/>
      <c r="AH115" s="107"/>
      <c r="AI115" s="107"/>
      <c r="AJ115" s="107"/>
      <c r="AK115" s="107"/>
      <c r="AL115" s="107"/>
      <c r="AM115" s="107"/>
      <c r="AN115" s="107"/>
      <c r="AO115" s="107"/>
      <c r="AP115" s="107"/>
      <c r="AQ115" s="107"/>
      <c r="AR115" s="107"/>
      <c r="AS115" s="107"/>
      <c r="AT115" s="107"/>
      <c r="AU115" s="107"/>
      <c r="AV115" s="107"/>
      <c r="AW115" s="107"/>
      <c r="AX115" s="107"/>
      <c r="AY115" s="107"/>
      <c r="AZ115" s="107"/>
      <c r="BA115" s="107"/>
      <c r="BB115" s="107"/>
      <c r="BC115" s="107"/>
      <c r="BD115" s="107"/>
      <c r="BE115" s="107"/>
      <c r="BF115" s="107"/>
      <c r="BG115" s="107"/>
      <c r="BH115" s="107"/>
      <c r="BI115" s="107"/>
      <c r="BJ115" s="107"/>
      <c r="BK115" s="107"/>
      <c r="BL115" s="107"/>
      <c r="BM115" s="107"/>
      <c r="BN115" s="107"/>
      <c r="BO115" s="107"/>
      <c r="BP115" s="107"/>
      <c r="BQ115" s="107"/>
      <c r="BR115" s="107"/>
      <c r="BS115" s="107"/>
      <c r="BT115" s="107"/>
      <c r="BU115" s="107"/>
      <c r="BV115" s="107"/>
      <c r="BW115" s="107"/>
      <c r="BX115" s="107"/>
      <c r="BY115" s="107"/>
      <c r="BZ115" s="107"/>
      <c r="CA115" s="107"/>
      <c r="CB115" s="107"/>
      <c r="CC115" s="107"/>
      <c r="CD115" s="107"/>
      <c r="CE115" s="107"/>
      <c r="CF115" s="107"/>
    </row>
    <row r="116" spans="2:84">
      <c r="B116" s="98"/>
      <c r="C116" s="98"/>
      <c r="D116" s="97"/>
      <c r="E116" s="97"/>
      <c r="F116" s="97"/>
      <c r="G116" s="97"/>
      <c r="H116" s="97"/>
      <c r="I116" s="97"/>
      <c r="J116" s="97"/>
      <c r="K116" s="97"/>
      <c r="L116" s="97"/>
      <c r="M116" s="97"/>
      <c r="N116" s="99"/>
      <c r="O116" s="97"/>
      <c r="P116" s="99"/>
      <c r="Q116" s="97"/>
      <c r="R116" s="97"/>
      <c r="S116" s="97"/>
      <c r="T116" s="97"/>
      <c r="U116" s="97"/>
      <c r="V116" s="97"/>
      <c r="W116" s="97"/>
      <c r="X116" s="97"/>
      <c r="Y116" s="97"/>
      <c r="Z116" s="97"/>
      <c r="AA116" s="97"/>
      <c r="AB116" s="97"/>
      <c r="AC116" s="97"/>
      <c r="AD116" s="107"/>
      <c r="AE116" s="107"/>
      <c r="AF116" s="107"/>
      <c r="AG116" s="107"/>
      <c r="AH116" s="107"/>
      <c r="AI116" s="107"/>
      <c r="AJ116" s="107"/>
      <c r="AK116" s="107"/>
      <c r="AL116" s="107"/>
      <c r="AM116" s="107"/>
      <c r="AN116" s="107"/>
      <c r="AO116" s="107"/>
      <c r="AP116" s="107"/>
      <c r="AQ116" s="107"/>
      <c r="AR116" s="107"/>
      <c r="AS116" s="107"/>
      <c r="AT116" s="107"/>
      <c r="AU116" s="107"/>
      <c r="AV116" s="107"/>
      <c r="AW116" s="107"/>
      <c r="AX116" s="107"/>
      <c r="AY116" s="107"/>
      <c r="AZ116" s="107"/>
      <c r="BA116" s="107"/>
      <c r="BB116" s="107"/>
      <c r="BC116" s="107"/>
      <c r="BD116" s="107"/>
      <c r="BE116" s="107"/>
      <c r="BF116" s="107"/>
      <c r="BG116" s="107"/>
      <c r="BH116" s="107"/>
      <c r="BI116" s="107"/>
      <c r="BJ116" s="107"/>
      <c r="BK116" s="107"/>
      <c r="BL116" s="107"/>
      <c r="BM116" s="107"/>
      <c r="BN116" s="107"/>
      <c r="BO116" s="107"/>
      <c r="BP116" s="107"/>
      <c r="BQ116" s="107"/>
      <c r="BR116" s="107"/>
      <c r="BS116" s="107"/>
      <c r="BT116" s="107"/>
      <c r="BU116" s="107"/>
      <c r="BV116" s="107"/>
      <c r="BW116" s="107"/>
      <c r="BX116" s="107"/>
      <c r="BY116" s="107"/>
      <c r="BZ116" s="107"/>
      <c r="CA116" s="107"/>
      <c r="CB116" s="107"/>
      <c r="CC116" s="107"/>
      <c r="CD116" s="107"/>
      <c r="CE116" s="107"/>
      <c r="CF116" s="107"/>
    </row>
    <row r="117" spans="2:84">
      <c r="B117" s="98"/>
      <c r="C117" s="98"/>
      <c r="D117" s="97"/>
      <c r="E117" s="97"/>
      <c r="F117" s="97"/>
      <c r="G117" s="97"/>
      <c r="H117" s="97"/>
      <c r="I117" s="97"/>
      <c r="J117" s="97"/>
      <c r="K117" s="97"/>
      <c r="L117" s="97"/>
      <c r="M117" s="97"/>
      <c r="N117" s="99"/>
      <c r="O117" s="97"/>
      <c r="P117" s="99"/>
      <c r="Q117" s="97"/>
      <c r="R117" s="97"/>
      <c r="S117" s="97"/>
      <c r="T117" s="97"/>
      <c r="U117" s="97"/>
      <c r="V117" s="97"/>
      <c r="W117" s="97"/>
      <c r="X117" s="97"/>
      <c r="Y117" s="97"/>
      <c r="Z117" s="97"/>
      <c r="AA117" s="97"/>
      <c r="AB117" s="97"/>
      <c r="AC117" s="97"/>
      <c r="AD117" s="107"/>
      <c r="AE117" s="107"/>
      <c r="AF117" s="107"/>
      <c r="AG117" s="107"/>
      <c r="AH117" s="107"/>
      <c r="AI117" s="107"/>
      <c r="AJ117" s="107"/>
      <c r="AK117" s="107"/>
      <c r="AL117" s="107"/>
      <c r="AM117" s="107"/>
      <c r="AN117" s="107"/>
      <c r="AO117" s="107"/>
      <c r="AP117" s="107"/>
      <c r="AQ117" s="107"/>
      <c r="AR117" s="107"/>
      <c r="AS117" s="107"/>
      <c r="AT117" s="107"/>
      <c r="AU117" s="107"/>
      <c r="AV117" s="107"/>
      <c r="AW117" s="107"/>
      <c r="AX117" s="107"/>
      <c r="AY117" s="107"/>
      <c r="AZ117" s="107"/>
      <c r="BA117" s="107"/>
      <c r="BB117" s="107"/>
      <c r="BC117" s="107"/>
      <c r="BD117" s="107"/>
      <c r="BE117" s="107"/>
      <c r="BF117" s="107"/>
      <c r="BG117" s="107"/>
      <c r="BH117" s="107"/>
      <c r="BI117" s="107"/>
      <c r="BJ117" s="107"/>
      <c r="BK117" s="107"/>
      <c r="BL117" s="107"/>
      <c r="BM117" s="107"/>
      <c r="BN117" s="107"/>
      <c r="BO117" s="107"/>
      <c r="BP117" s="107"/>
      <c r="BQ117" s="107"/>
      <c r="BR117" s="107"/>
      <c r="BS117" s="107"/>
      <c r="BT117" s="107"/>
      <c r="BU117" s="107"/>
      <c r="BV117" s="107"/>
      <c r="BW117" s="107"/>
      <c r="BX117" s="107"/>
      <c r="BY117" s="107"/>
      <c r="BZ117" s="107"/>
      <c r="CA117" s="107"/>
      <c r="CB117" s="107"/>
      <c r="CC117" s="107"/>
      <c r="CD117" s="107"/>
      <c r="CE117" s="107"/>
      <c r="CF117" s="107"/>
    </row>
    <row r="118" spans="2:84">
      <c r="B118" s="98"/>
      <c r="C118" s="98"/>
      <c r="D118" s="97"/>
      <c r="E118" s="97"/>
      <c r="F118" s="97"/>
      <c r="G118" s="97"/>
      <c r="H118" s="97"/>
      <c r="I118" s="97"/>
      <c r="J118" s="97"/>
      <c r="K118" s="97"/>
      <c r="L118" s="97"/>
      <c r="M118" s="97"/>
      <c r="N118" s="99"/>
      <c r="O118" s="97"/>
      <c r="P118" s="99"/>
      <c r="Q118" s="97"/>
      <c r="R118" s="97"/>
      <c r="S118" s="97"/>
      <c r="T118" s="97"/>
      <c r="U118" s="97"/>
      <c r="V118" s="97"/>
      <c r="W118" s="97"/>
      <c r="X118" s="97"/>
      <c r="Y118" s="97"/>
      <c r="Z118" s="97"/>
      <c r="AA118" s="97"/>
      <c r="AB118" s="97"/>
      <c r="AC118" s="97"/>
      <c r="AD118" s="107"/>
      <c r="AE118" s="107"/>
      <c r="AF118" s="107"/>
      <c r="AG118" s="107"/>
      <c r="AH118" s="107"/>
      <c r="AI118" s="107"/>
      <c r="AJ118" s="107"/>
      <c r="AK118" s="107"/>
      <c r="AL118" s="107"/>
      <c r="AM118" s="107"/>
      <c r="AN118" s="107"/>
      <c r="AO118" s="107"/>
      <c r="AP118" s="107"/>
      <c r="AQ118" s="107"/>
      <c r="AR118" s="107"/>
      <c r="AS118" s="107"/>
      <c r="AT118" s="107"/>
      <c r="AU118" s="107"/>
      <c r="AV118" s="107"/>
      <c r="AW118" s="107"/>
      <c r="AX118" s="107"/>
      <c r="AY118" s="107"/>
      <c r="AZ118" s="107"/>
      <c r="BA118" s="107"/>
      <c r="BB118" s="107"/>
      <c r="BC118" s="107"/>
      <c r="BD118" s="107"/>
      <c r="BE118" s="107"/>
      <c r="BF118" s="107"/>
      <c r="BG118" s="107"/>
      <c r="BH118" s="107"/>
      <c r="BI118" s="107"/>
      <c r="BJ118" s="107"/>
      <c r="BK118" s="107"/>
      <c r="BL118" s="107"/>
      <c r="BM118" s="107"/>
      <c r="BN118" s="107"/>
      <c r="BO118" s="107"/>
      <c r="BP118" s="107"/>
      <c r="BQ118" s="107"/>
      <c r="BR118" s="107"/>
      <c r="BS118" s="107"/>
      <c r="BT118" s="107"/>
      <c r="BU118" s="107"/>
      <c r="BV118" s="107"/>
      <c r="BW118" s="107"/>
      <c r="BX118" s="107"/>
      <c r="BY118" s="107"/>
      <c r="BZ118" s="107"/>
      <c r="CA118" s="107"/>
      <c r="CB118" s="107"/>
      <c r="CC118" s="107"/>
      <c r="CD118" s="107"/>
      <c r="CE118" s="107"/>
      <c r="CF118" s="107"/>
    </row>
    <row r="119" spans="2:84">
      <c r="B119" s="98"/>
      <c r="C119" s="98"/>
      <c r="D119" s="97"/>
      <c r="E119" s="97"/>
      <c r="F119" s="97"/>
      <c r="G119" s="97"/>
      <c r="H119" s="97"/>
      <c r="I119" s="97"/>
      <c r="J119" s="97"/>
      <c r="K119" s="97"/>
      <c r="L119" s="97"/>
      <c r="M119" s="97"/>
      <c r="N119" s="99"/>
      <c r="O119" s="97"/>
      <c r="P119" s="99"/>
      <c r="Q119" s="97"/>
      <c r="R119" s="97"/>
      <c r="S119" s="97"/>
      <c r="T119" s="97"/>
      <c r="U119" s="97"/>
      <c r="V119" s="97"/>
      <c r="W119" s="97"/>
      <c r="X119" s="97"/>
      <c r="Y119" s="97"/>
      <c r="Z119" s="97"/>
      <c r="AA119" s="97"/>
      <c r="AB119" s="97"/>
      <c r="AC119" s="97"/>
      <c r="AD119" s="107"/>
      <c r="AE119" s="107"/>
      <c r="AF119" s="107"/>
      <c r="AG119" s="107"/>
      <c r="AH119" s="107"/>
      <c r="AI119" s="107"/>
      <c r="AJ119" s="107"/>
      <c r="AK119" s="107"/>
      <c r="AL119" s="107"/>
      <c r="AM119" s="107"/>
      <c r="AN119" s="107"/>
      <c r="AO119" s="107"/>
      <c r="AP119" s="107"/>
      <c r="AQ119" s="107"/>
      <c r="AR119" s="107"/>
      <c r="AS119" s="107"/>
      <c r="AT119" s="107"/>
      <c r="AU119" s="107"/>
      <c r="AV119" s="107"/>
      <c r="AW119" s="107"/>
      <c r="AX119" s="107"/>
      <c r="AY119" s="107"/>
      <c r="AZ119" s="107"/>
      <c r="BA119" s="107"/>
      <c r="BB119" s="107"/>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row>
    <row r="120" spans="2:84">
      <c r="B120" s="98"/>
      <c r="C120" s="98"/>
      <c r="D120" s="97"/>
      <c r="E120" s="97"/>
      <c r="F120" s="97"/>
      <c r="G120" s="97"/>
      <c r="H120" s="97"/>
      <c r="I120" s="97"/>
      <c r="J120" s="97"/>
      <c r="K120" s="97"/>
      <c r="L120" s="97"/>
      <c r="M120" s="97"/>
      <c r="N120" s="99"/>
      <c r="O120" s="97"/>
      <c r="P120" s="99"/>
      <c r="Q120" s="97"/>
      <c r="R120" s="97"/>
      <c r="S120" s="97"/>
      <c r="T120" s="97"/>
      <c r="U120" s="97"/>
      <c r="V120" s="97"/>
      <c r="W120" s="97"/>
      <c r="X120" s="97"/>
      <c r="Y120" s="97"/>
      <c r="Z120" s="97"/>
      <c r="AA120" s="97"/>
      <c r="AB120" s="97"/>
      <c r="AC120" s="97"/>
      <c r="AD120" s="107"/>
      <c r="AE120" s="107"/>
      <c r="AF120" s="107"/>
      <c r="AG120" s="107"/>
      <c r="AH120" s="107"/>
      <c r="AI120" s="107"/>
      <c r="AJ120" s="107"/>
      <c r="AK120" s="107"/>
      <c r="AL120" s="107"/>
      <c r="AM120" s="107"/>
      <c r="AN120" s="107"/>
      <c r="AO120" s="107"/>
      <c r="AP120" s="107"/>
      <c r="AQ120" s="107"/>
      <c r="AR120" s="107"/>
      <c r="AS120" s="107"/>
      <c r="AT120" s="107"/>
      <c r="AU120" s="107"/>
      <c r="AV120" s="107"/>
      <c r="AW120" s="107"/>
      <c r="AX120" s="107"/>
      <c r="AY120" s="107"/>
      <c r="AZ120" s="107"/>
      <c r="BA120" s="107"/>
      <c r="BB120" s="107"/>
      <c r="BC120" s="107"/>
      <c r="BD120" s="107"/>
      <c r="BE120" s="107"/>
      <c r="BF120" s="107"/>
      <c r="BG120" s="107"/>
      <c r="BH120" s="107"/>
      <c r="BI120" s="107"/>
      <c r="BJ120" s="107"/>
      <c r="BK120" s="107"/>
      <c r="BL120" s="107"/>
      <c r="BM120" s="107"/>
      <c r="BN120" s="107"/>
      <c r="BO120" s="107"/>
      <c r="BP120" s="107"/>
      <c r="BQ120" s="107"/>
      <c r="BR120" s="107"/>
      <c r="BS120" s="107"/>
      <c r="BT120" s="107"/>
      <c r="BU120" s="107"/>
      <c r="BV120" s="107"/>
      <c r="BW120" s="107"/>
      <c r="BX120" s="107"/>
      <c r="BY120" s="107"/>
      <c r="BZ120" s="107"/>
      <c r="CA120" s="107"/>
      <c r="CB120" s="107"/>
      <c r="CC120" s="107"/>
      <c r="CD120" s="107"/>
      <c r="CE120" s="107"/>
      <c r="CF120" s="107"/>
    </row>
    <row r="121" spans="2:84">
      <c r="B121" s="98"/>
      <c r="C121" s="98"/>
      <c r="D121" s="97"/>
      <c r="E121" s="97"/>
      <c r="F121" s="97"/>
      <c r="G121" s="97"/>
      <c r="H121" s="97"/>
      <c r="I121" s="97"/>
      <c r="J121" s="97"/>
      <c r="K121" s="97"/>
      <c r="L121" s="97"/>
      <c r="M121" s="97"/>
      <c r="N121" s="99"/>
      <c r="O121" s="97"/>
      <c r="P121" s="99"/>
      <c r="Q121" s="97"/>
      <c r="R121" s="97"/>
      <c r="S121" s="97"/>
      <c r="T121" s="97"/>
      <c r="U121" s="97"/>
      <c r="V121" s="97"/>
      <c r="W121" s="97"/>
      <c r="X121" s="97"/>
      <c r="Y121" s="97"/>
      <c r="Z121" s="97"/>
      <c r="AA121" s="97"/>
      <c r="AB121" s="97"/>
      <c r="AC121" s="97"/>
      <c r="AD121" s="107"/>
      <c r="AE121" s="107"/>
      <c r="AF121" s="107"/>
      <c r="AG121" s="107"/>
      <c r="AH121" s="107"/>
      <c r="AI121" s="107"/>
      <c r="AJ121" s="107"/>
      <c r="AK121" s="107"/>
      <c r="AL121" s="107"/>
      <c r="AM121" s="107"/>
      <c r="AN121" s="107"/>
      <c r="AO121" s="107"/>
      <c r="AP121" s="107"/>
      <c r="AQ121" s="107"/>
      <c r="AR121" s="107"/>
      <c r="AS121" s="107"/>
      <c r="AT121" s="107"/>
      <c r="AU121" s="107"/>
      <c r="AV121" s="107"/>
      <c r="AW121" s="107"/>
      <c r="AX121" s="107"/>
      <c r="AY121" s="107"/>
      <c r="AZ121" s="107"/>
      <c r="BA121" s="107"/>
      <c r="BB121" s="107"/>
      <c r="BC121" s="107"/>
      <c r="BD121" s="107"/>
      <c r="BE121" s="107"/>
      <c r="BF121" s="107"/>
      <c r="BG121" s="107"/>
      <c r="BH121" s="107"/>
      <c r="BI121" s="107"/>
      <c r="BJ121" s="107"/>
      <c r="BK121" s="107"/>
      <c r="BL121" s="107"/>
      <c r="BM121" s="107"/>
      <c r="BN121" s="107"/>
      <c r="BO121" s="107"/>
      <c r="BP121" s="107"/>
      <c r="BQ121" s="107"/>
      <c r="BR121" s="107"/>
      <c r="BS121" s="107"/>
      <c r="BT121" s="107"/>
      <c r="BU121" s="107"/>
      <c r="BV121" s="107"/>
      <c r="BW121" s="107"/>
      <c r="BX121" s="107"/>
      <c r="BY121" s="107"/>
      <c r="BZ121" s="107"/>
      <c r="CA121" s="107"/>
      <c r="CB121" s="107"/>
      <c r="CC121" s="107"/>
      <c r="CD121" s="107"/>
      <c r="CE121" s="107"/>
      <c r="CF121" s="107"/>
    </row>
    <row r="122" spans="2:84">
      <c r="B122" s="98"/>
      <c r="C122" s="98"/>
      <c r="D122" s="97"/>
      <c r="E122" s="97"/>
      <c r="F122" s="97"/>
      <c r="G122" s="97"/>
      <c r="H122" s="97"/>
      <c r="I122" s="97"/>
      <c r="J122" s="97"/>
      <c r="K122" s="97"/>
      <c r="L122" s="97"/>
      <c r="M122" s="97"/>
      <c r="N122" s="99"/>
      <c r="O122" s="97"/>
      <c r="P122" s="99"/>
      <c r="Q122" s="97"/>
      <c r="R122" s="97"/>
      <c r="S122" s="97"/>
      <c r="T122" s="97"/>
      <c r="U122" s="97"/>
      <c r="V122" s="97"/>
      <c r="W122" s="97"/>
      <c r="X122" s="97"/>
      <c r="Y122" s="97"/>
      <c r="Z122" s="97"/>
      <c r="AA122" s="97"/>
      <c r="AB122" s="97"/>
      <c r="AC122" s="97"/>
      <c r="AD122" s="107"/>
      <c r="AE122" s="107"/>
      <c r="AF122" s="107"/>
      <c r="AG122" s="107"/>
      <c r="AH122" s="107"/>
      <c r="AI122" s="107"/>
      <c r="AJ122" s="107"/>
      <c r="AK122" s="107"/>
      <c r="AL122" s="107"/>
      <c r="AM122" s="107"/>
      <c r="AN122" s="107"/>
      <c r="AO122" s="107"/>
      <c r="AP122" s="107"/>
      <c r="AQ122" s="107"/>
      <c r="AR122" s="107"/>
      <c r="AS122" s="107"/>
      <c r="AT122" s="107"/>
      <c r="AU122" s="107"/>
      <c r="AV122" s="107"/>
      <c r="AW122" s="107"/>
      <c r="AX122" s="107"/>
      <c r="AY122" s="107"/>
      <c r="AZ122" s="107"/>
      <c r="BA122" s="107"/>
      <c r="BB122" s="107"/>
      <c r="BC122" s="107"/>
      <c r="BD122" s="107"/>
      <c r="BE122" s="107"/>
      <c r="BF122" s="107"/>
      <c r="BG122" s="107"/>
      <c r="BH122" s="107"/>
      <c r="BI122" s="107"/>
      <c r="BJ122" s="107"/>
      <c r="BK122" s="107"/>
      <c r="BL122" s="107"/>
      <c r="BM122" s="107"/>
      <c r="BN122" s="107"/>
      <c r="BO122" s="107"/>
      <c r="BP122" s="107"/>
      <c r="BQ122" s="107"/>
      <c r="BR122" s="107"/>
      <c r="BS122" s="107"/>
      <c r="BT122" s="107"/>
      <c r="BU122" s="107"/>
      <c r="BV122" s="107"/>
      <c r="BW122" s="107"/>
      <c r="BX122" s="107"/>
      <c r="BY122" s="107"/>
      <c r="BZ122" s="107"/>
      <c r="CA122" s="107"/>
      <c r="CB122" s="107"/>
      <c r="CC122" s="107"/>
      <c r="CD122" s="107"/>
      <c r="CE122" s="107"/>
      <c r="CF122" s="107"/>
    </row>
    <row r="123" spans="2:84">
      <c r="B123" s="98"/>
      <c r="C123" s="98"/>
      <c r="D123" s="97"/>
      <c r="E123" s="97"/>
      <c r="F123" s="97"/>
      <c r="G123" s="97"/>
      <c r="H123" s="97"/>
      <c r="I123" s="97"/>
      <c r="J123" s="97"/>
      <c r="K123" s="97"/>
      <c r="L123" s="97"/>
      <c r="M123" s="97"/>
      <c r="N123" s="99"/>
      <c r="O123" s="97"/>
      <c r="P123" s="99"/>
      <c r="Q123" s="97"/>
      <c r="R123" s="97"/>
      <c r="S123" s="97"/>
      <c r="T123" s="97"/>
      <c r="U123" s="97"/>
      <c r="V123" s="97"/>
      <c r="W123" s="97"/>
      <c r="X123" s="97"/>
      <c r="Y123" s="97"/>
      <c r="Z123" s="97"/>
      <c r="AA123" s="97"/>
      <c r="AB123" s="97"/>
      <c r="AC123" s="97"/>
      <c r="AD123" s="107"/>
      <c r="AE123" s="107"/>
      <c r="AF123" s="107"/>
      <c r="AG123" s="107"/>
      <c r="AH123" s="107"/>
      <c r="AI123" s="107"/>
      <c r="AJ123" s="107"/>
      <c r="AK123" s="107"/>
      <c r="AL123" s="107"/>
      <c r="AM123" s="107"/>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7"/>
      <c r="BQ123" s="107"/>
      <c r="BR123" s="107"/>
      <c r="BS123" s="107"/>
      <c r="BT123" s="107"/>
      <c r="BU123" s="107"/>
      <c r="BV123" s="107"/>
      <c r="BW123" s="107"/>
      <c r="BX123" s="107"/>
      <c r="BY123" s="107"/>
      <c r="BZ123" s="107"/>
      <c r="CA123" s="107"/>
      <c r="CB123" s="107"/>
      <c r="CC123" s="107"/>
      <c r="CD123" s="107"/>
      <c r="CE123" s="107"/>
      <c r="CF123" s="107"/>
    </row>
    <row r="124" spans="2:84">
      <c r="B124" s="98"/>
      <c r="C124" s="98"/>
      <c r="D124" s="97"/>
      <c r="E124" s="97"/>
      <c r="F124" s="97"/>
      <c r="G124" s="97"/>
      <c r="H124" s="97"/>
      <c r="I124" s="97"/>
      <c r="J124" s="97"/>
      <c r="K124" s="97"/>
      <c r="L124" s="97"/>
      <c r="M124" s="97"/>
      <c r="N124" s="99"/>
      <c r="O124" s="97"/>
      <c r="P124" s="99"/>
      <c r="Q124" s="97"/>
      <c r="R124" s="97"/>
      <c r="S124" s="97"/>
      <c r="T124" s="97"/>
      <c r="U124" s="97"/>
      <c r="V124" s="97"/>
      <c r="W124" s="97"/>
      <c r="X124" s="97"/>
      <c r="Y124" s="97"/>
      <c r="Z124" s="97"/>
      <c r="AA124" s="97"/>
      <c r="AB124" s="97"/>
      <c r="AC124" s="97"/>
      <c r="AD124" s="107"/>
      <c r="AE124" s="107"/>
      <c r="AF124" s="107"/>
      <c r="AG124" s="107"/>
      <c r="AH124" s="107"/>
      <c r="AI124" s="107"/>
      <c r="AJ124" s="107"/>
      <c r="AK124" s="107"/>
      <c r="AL124" s="107"/>
      <c r="AM124" s="107"/>
      <c r="AN124" s="107"/>
      <c r="AO124" s="107"/>
      <c r="AP124" s="107"/>
      <c r="AQ124" s="107"/>
      <c r="AR124" s="107"/>
      <c r="AS124" s="107"/>
      <c r="AT124" s="107"/>
      <c r="AU124" s="107"/>
      <c r="AV124" s="107"/>
      <c r="AW124" s="107"/>
      <c r="AX124" s="107"/>
      <c r="AY124" s="107"/>
      <c r="AZ124" s="107"/>
      <c r="BA124" s="107"/>
      <c r="BB124" s="107"/>
      <c r="BC124" s="107"/>
      <c r="BD124" s="107"/>
      <c r="BE124" s="107"/>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row>
    <row r="125" spans="2:84">
      <c r="B125" s="98"/>
      <c r="C125" s="98"/>
      <c r="D125" s="97"/>
      <c r="E125" s="97"/>
      <c r="F125" s="97"/>
      <c r="G125" s="97"/>
      <c r="H125" s="97"/>
      <c r="I125" s="97"/>
      <c r="J125" s="97"/>
      <c r="K125" s="97"/>
      <c r="L125" s="97"/>
      <c r="M125" s="97"/>
      <c r="N125" s="99"/>
      <c r="O125" s="97"/>
      <c r="P125" s="99"/>
      <c r="Q125" s="97"/>
      <c r="R125" s="97"/>
      <c r="S125" s="97"/>
      <c r="T125" s="97"/>
      <c r="U125" s="97"/>
      <c r="V125" s="97"/>
      <c r="W125" s="97"/>
      <c r="X125" s="97"/>
      <c r="Y125" s="97"/>
      <c r="Z125" s="97"/>
      <c r="AA125" s="97"/>
      <c r="AB125" s="97"/>
      <c r="AC125" s="97"/>
      <c r="AD125" s="107"/>
      <c r="AE125" s="107"/>
      <c r="AF125" s="107"/>
      <c r="AG125" s="107"/>
      <c r="AH125" s="107"/>
      <c r="AI125" s="107"/>
      <c r="AJ125" s="107"/>
      <c r="AK125" s="107"/>
      <c r="AL125" s="107"/>
      <c r="AM125" s="107"/>
      <c r="AN125" s="107"/>
      <c r="AO125" s="107"/>
      <c r="AP125" s="107"/>
      <c r="AQ125" s="107"/>
      <c r="AR125" s="107"/>
      <c r="AS125" s="107"/>
      <c r="AT125" s="107"/>
      <c r="AU125" s="107"/>
      <c r="AV125" s="107"/>
      <c r="AW125" s="107"/>
      <c r="AX125" s="107"/>
      <c r="AY125" s="107"/>
      <c r="AZ125" s="107"/>
      <c r="BA125" s="107"/>
      <c r="BB125" s="107"/>
      <c r="BC125" s="107"/>
      <c r="BD125" s="107"/>
      <c r="BE125" s="107"/>
      <c r="BF125" s="107"/>
      <c r="BG125" s="107"/>
      <c r="BH125" s="107"/>
      <c r="BI125" s="107"/>
      <c r="BJ125" s="107"/>
      <c r="BK125" s="107"/>
      <c r="BL125" s="107"/>
      <c r="BM125" s="107"/>
      <c r="BN125" s="107"/>
      <c r="BO125" s="107"/>
      <c r="BP125" s="107"/>
      <c r="BQ125" s="107"/>
      <c r="BR125" s="107"/>
      <c r="BS125" s="107"/>
      <c r="BT125" s="107"/>
      <c r="BU125" s="107"/>
      <c r="BV125" s="107"/>
      <c r="BW125" s="107"/>
      <c r="BX125" s="107"/>
      <c r="BY125" s="107"/>
      <c r="BZ125" s="107"/>
      <c r="CA125" s="107"/>
      <c r="CB125" s="107"/>
      <c r="CC125" s="107"/>
      <c r="CD125" s="107"/>
      <c r="CE125" s="107"/>
      <c r="CF125" s="107"/>
    </row>
    <row r="126" spans="2:84">
      <c r="B126" s="98"/>
      <c r="C126" s="98"/>
      <c r="D126" s="97"/>
      <c r="E126" s="97"/>
      <c r="F126" s="97"/>
      <c r="G126" s="97"/>
      <c r="H126" s="97"/>
      <c r="I126" s="97"/>
      <c r="J126" s="97"/>
      <c r="K126" s="97"/>
      <c r="L126" s="97"/>
      <c r="M126" s="97"/>
      <c r="N126" s="99"/>
      <c r="O126" s="97"/>
      <c r="P126" s="99"/>
      <c r="Q126" s="97"/>
      <c r="R126" s="97"/>
      <c r="S126" s="97"/>
      <c r="T126" s="97"/>
      <c r="U126" s="97"/>
      <c r="V126" s="97"/>
      <c r="W126" s="97"/>
      <c r="X126" s="97"/>
      <c r="Y126" s="97"/>
      <c r="Z126" s="97"/>
      <c r="AA126" s="97"/>
      <c r="AB126" s="97"/>
      <c r="AC126" s="97"/>
      <c r="AD126" s="107"/>
      <c r="AE126" s="107"/>
      <c r="AF126" s="107"/>
      <c r="AG126" s="107"/>
      <c r="AH126" s="107"/>
      <c r="AI126" s="107"/>
      <c r="AJ126" s="107"/>
      <c r="AK126" s="107"/>
      <c r="AL126" s="107"/>
      <c r="AM126" s="107"/>
      <c r="AN126" s="107"/>
      <c r="AO126" s="107"/>
      <c r="AP126" s="107"/>
      <c r="AQ126" s="107"/>
      <c r="AR126" s="107"/>
      <c r="AS126" s="107"/>
      <c r="AT126" s="107"/>
      <c r="AU126" s="107"/>
      <c r="AV126" s="107"/>
      <c r="AW126" s="107"/>
      <c r="AX126" s="107"/>
      <c r="AY126" s="107"/>
      <c r="AZ126" s="107"/>
      <c r="BA126" s="107"/>
      <c r="BB126" s="107"/>
      <c r="BC126" s="107"/>
      <c r="BD126" s="107"/>
      <c r="BE126" s="107"/>
      <c r="BF126" s="107"/>
      <c r="BG126" s="107"/>
      <c r="BH126" s="107"/>
      <c r="BI126" s="107"/>
      <c r="BJ126" s="107"/>
      <c r="BK126" s="107"/>
      <c r="BL126" s="107"/>
      <c r="BM126" s="107"/>
      <c r="BN126" s="107"/>
      <c r="BO126" s="107"/>
      <c r="BP126" s="107"/>
      <c r="BQ126" s="107"/>
      <c r="BR126" s="107"/>
      <c r="BS126" s="107"/>
      <c r="BT126" s="107"/>
      <c r="BU126" s="107"/>
      <c r="BV126" s="107"/>
      <c r="BW126" s="107"/>
      <c r="BX126" s="107"/>
      <c r="BY126" s="107"/>
      <c r="BZ126" s="107"/>
      <c r="CA126" s="107"/>
      <c r="CB126" s="107"/>
      <c r="CC126" s="107"/>
      <c r="CD126" s="107"/>
      <c r="CE126" s="107"/>
      <c r="CF126" s="107"/>
    </row>
    <row r="127" spans="2:84">
      <c r="B127" s="98"/>
      <c r="C127" s="98"/>
      <c r="D127" s="97"/>
      <c r="E127" s="97"/>
      <c r="F127" s="97"/>
      <c r="G127" s="97"/>
      <c r="H127" s="97"/>
      <c r="I127" s="97"/>
      <c r="J127" s="97"/>
      <c r="K127" s="97"/>
      <c r="L127" s="97"/>
      <c r="M127" s="97"/>
      <c r="N127" s="99"/>
      <c r="O127" s="97"/>
      <c r="P127" s="99"/>
      <c r="Q127" s="97"/>
      <c r="R127" s="97"/>
      <c r="S127" s="97"/>
      <c r="T127" s="97"/>
      <c r="U127" s="97"/>
      <c r="V127" s="97"/>
      <c r="W127" s="97"/>
      <c r="X127" s="97"/>
      <c r="Y127" s="97"/>
      <c r="Z127" s="97"/>
      <c r="AA127" s="97"/>
      <c r="AB127" s="97"/>
      <c r="AC127" s="97"/>
      <c r="AD127" s="107"/>
      <c r="AE127" s="107"/>
      <c r="AF127" s="107"/>
      <c r="AG127" s="107"/>
      <c r="AH127" s="107"/>
      <c r="AI127" s="107"/>
      <c r="AJ127" s="107"/>
      <c r="AK127" s="107"/>
      <c r="AL127" s="107"/>
      <c r="AM127" s="107"/>
      <c r="AN127" s="107"/>
      <c r="AO127" s="107"/>
      <c r="AP127" s="107"/>
      <c r="AQ127" s="107"/>
      <c r="AR127" s="107"/>
      <c r="AS127" s="107"/>
      <c r="AT127" s="107"/>
      <c r="AU127" s="107"/>
      <c r="AV127" s="107"/>
      <c r="AW127" s="107"/>
      <c r="AX127" s="107"/>
      <c r="AY127" s="107"/>
      <c r="AZ127" s="107"/>
      <c r="BA127" s="107"/>
      <c r="BB127" s="107"/>
      <c r="BC127" s="107"/>
      <c r="BD127" s="107"/>
      <c r="BE127" s="107"/>
      <c r="BF127" s="107"/>
      <c r="BG127" s="107"/>
      <c r="BH127" s="107"/>
      <c r="BI127" s="107"/>
      <c r="BJ127" s="107"/>
      <c r="BK127" s="107"/>
      <c r="BL127" s="107"/>
      <c r="BM127" s="107"/>
      <c r="BN127" s="107"/>
      <c r="BO127" s="107"/>
      <c r="BP127" s="107"/>
      <c r="BQ127" s="107"/>
      <c r="BR127" s="107"/>
      <c r="BS127" s="107"/>
      <c r="BT127" s="107"/>
      <c r="BU127" s="107"/>
      <c r="BV127" s="107"/>
      <c r="BW127" s="107"/>
      <c r="BX127" s="107"/>
      <c r="BY127" s="107"/>
      <c r="BZ127" s="107"/>
      <c r="CA127" s="107"/>
      <c r="CB127" s="107"/>
      <c r="CC127" s="107"/>
      <c r="CD127" s="107"/>
      <c r="CE127" s="107"/>
      <c r="CF127" s="107"/>
    </row>
    <row r="128" spans="2:84">
      <c r="B128" s="98"/>
      <c r="C128" s="98"/>
      <c r="D128" s="97"/>
      <c r="E128" s="97"/>
      <c r="F128" s="97"/>
      <c r="G128" s="97"/>
      <c r="H128" s="97"/>
      <c r="I128" s="97"/>
      <c r="J128" s="97"/>
      <c r="K128" s="97"/>
      <c r="L128" s="97"/>
      <c r="M128" s="97"/>
      <c r="N128" s="99"/>
      <c r="O128" s="97"/>
      <c r="P128" s="99"/>
      <c r="Q128" s="97"/>
      <c r="R128" s="97"/>
      <c r="S128" s="97"/>
      <c r="T128" s="97"/>
      <c r="U128" s="97"/>
      <c r="V128" s="97"/>
      <c r="W128" s="97"/>
      <c r="X128" s="97"/>
      <c r="Y128" s="97"/>
      <c r="Z128" s="97"/>
      <c r="AA128" s="97"/>
      <c r="AB128" s="97"/>
      <c r="AC128" s="97"/>
      <c r="AD128" s="107"/>
      <c r="AE128" s="107"/>
      <c r="AF128" s="107"/>
      <c r="AG128" s="107"/>
      <c r="AH128" s="107"/>
      <c r="AI128" s="107"/>
      <c r="AJ128" s="107"/>
      <c r="AK128" s="107"/>
      <c r="AL128" s="107"/>
      <c r="AM128" s="107"/>
      <c r="AN128" s="107"/>
      <c r="AO128" s="107"/>
      <c r="AP128" s="107"/>
      <c r="AQ128" s="107"/>
      <c r="AR128" s="107"/>
      <c r="AS128" s="107"/>
      <c r="AT128" s="107"/>
      <c r="AU128" s="107"/>
      <c r="AV128" s="107"/>
      <c r="AW128" s="107"/>
      <c r="AX128" s="107"/>
      <c r="AY128" s="107"/>
      <c r="AZ128" s="107"/>
      <c r="BA128" s="107"/>
      <c r="BB128" s="107"/>
      <c r="BC128" s="107"/>
      <c r="BD128" s="107"/>
      <c r="BE128" s="107"/>
      <c r="BF128" s="107"/>
      <c r="BG128" s="107"/>
      <c r="BH128" s="107"/>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row>
    <row r="129" spans="2:84">
      <c r="B129" s="98"/>
      <c r="C129" s="98"/>
      <c r="D129" s="97"/>
      <c r="E129" s="97"/>
      <c r="F129" s="97"/>
      <c r="G129" s="97"/>
      <c r="H129" s="97"/>
      <c r="I129" s="97"/>
      <c r="J129" s="97"/>
      <c r="K129" s="97"/>
      <c r="L129" s="97"/>
      <c r="M129" s="97"/>
      <c r="N129" s="99"/>
      <c r="O129" s="97"/>
      <c r="P129" s="99"/>
      <c r="Q129" s="97"/>
      <c r="R129" s="97"/>
      <c r="S129" s="97"/>
      <c r="T129" s="97"/>
      <c r="U129" s="97"/>
      <c r="V129" s="97"/>
      <c r="W129" s="97"/>
      <c r="X129" s="97"/>
      <c r="Y129" s="97"/>
      <c r="Z129" s="97"/>
      <c r="AA129" s="97"/>
      <c r="AB129" s="97"/>
      <c r="AC129" s="97"/>
      <c r="AD129" s="107"/>
      <c r="AE129" s="107"/>
      <c r="AF129" s="107"/>
      <c r="AG129" s="107"/>
      <c r="AH129" s="107"/>
      <c r="AI129" s="107"/>
      <c r="AJ129" s="107"/>
      <c r="AK129" s="107"/>
      <c r="AL129" s="107"/>
      <c r="AM129" s="107"/>
      <c r="AN129" s="107"/>
      <c r="AO129" s="107"/>
      <c r="AP129" s="107"/>
      <c r="AQ129" s="107"/>
      <c r="AR129" s="107"/>
      <c r="AS129" s="107"/>
      <c r="AT129" s="107"/>
      <c r="AU129" s="107"/>
      <c r="AV129" s="107"/>
      <c r="AW129" s="107"/>
      <c r="AX129" s="107"/>
      <c r="AY129" s="107"/>
      <c r="AZ129" s="107"/>
      <c r="BA129" s="107"/>
      <c r="BB129" s="107"/>
      <c r="BC129" s="107"/>
      <c r="BD129" s="107"/>
      <c r="BE129" s="107"/>
      <c r="BF129" s="107"/>
      <c r="BG129" s="107"/>
      <c r="BH129" s="107"/>
      <c r="BI129" s="107"/>
      <c r="BJ129" s="107"/>
      <c r="BK129" s="107"/>
      <c r="BL129" s="107"/>
      <c r="BM129" s="107"/>
      <c r="BN129" s="107"/>
      <c r="BO129" s="107"/>
      <c r="BP129" s="107"/>
      <c r="BQ129" s="107"/>
      <c r="BR129" s="107"/>
      <c r="BS129" s="107"/>
      <c r="BT129" s="107"/>
      <c r="BU129" s="107"/>
      <c r="BV129" s="107"/>
      <c r="BW129" s="107"/>
      <c r="BX129" s="107"/>
      <c r="BY129" s="107"/>
      <c r="BZ129" s="107"/>
      <c r="CA129" s="107"/>
      <c r="CB129" s="107"/>
      <c r="CC129" s="107"/>
      <c r="CD129" s="107"/>
      <c r="CE129" s="107"/>
      <c r="CF129" s="107"/>
    </row>
    <row r="130" spans="2:84">
      <c r="B130" s="98"/>
      <c r="C130" s="98"/>
      <c r="D130" s="97"/>
      <c r="E130" s="97"/>
      <c r="F130" s="97"/>
      <c r="G130" s="97"/>
      <c r="H130" s="97"/>
      <c r="I130" s="97"/>
      <c r="J130" s="97"/>
      <c r="K130" s="97"/>
      <c r="L130" s="97"/>
      <c r="M130" s="97"/>
      <c r="N130" s="99"/>
      <c r="O130" s="97"/>
      <c r="P130" s="99"/>
      <c r="Q130" s="97"/>
      <c r="R130" s="97"/>
      <c r="S130" s="97"/>
      <c r="T130" s="97"/>
      <c r="U130" s="97"/>
      <c r="V130" s="97"/>
      <c r="W130" s="97"/>
      <c r="X130" s="97"/>
      <c r="Y130" s="97"/>
      <c r="Z130" s="97"/>
      <c r="AA130" s="97"/>
      <c r="AB130" s="97"/>
      <c r="AC130" s="97"/>
      <c r="AD130" s="107"/>
      <c r="AE130" s="107"/>
      <c r="AF130" s="107"/>
      <c r="AG130" s="107"/>
      <c r="AH130" s="107"/>
      <c r="AI130" s="107"/>
      <c r="AJ130" s="107"/>
      <c r="AK130" s="107"/>
      <c r="AL130" s="107"/>
      <c r="AM130" s="107"/>
      <c r="AN130" s="107"/>
      <c r="AO130" s="107"/>
      <c r="AP130" s="107"/>
      <c r="AQ130" s="107"/>
      <c r="AR130" s="107"/>
      <c r="AS130" s="107"/>
      <c r="AT130" s="107"/>
      <c r="AU130" s="107"/>
      <c r="AV130" s="107"/>
      <c r="AW130" s="107"/>
      <c r="AX130" s="107"/>
      <c r="AY130" s="107"/>
      <c r="AZ130" s="107"/>
      <c r="BA130" s="107"/>
      <c r="BB130" s="107"/>
      <c r="BC130" s="107"/>
      <c r="BD130" s="107"/>
      <c r="BE130" s="107"/>
      <c r="BF130" s="107"/>
      <c r="BG130" s="107"/>
      <c r="BH130" s="107"/>
      <c r="BI130" s="107"/>
      <c r="BJ130" s="107"/>
      <c r="BK130" s="107"/>
      <c r="BL130" s="107"/>
      <c r="BM130" s="107"/>
      <c r="BN130" s="107"/>
      <c r="BO130" s="107"/>
      <c r="BP130" s="107"/>
      <c r="BQ130" s="107"/>
      <c r="BR130" s="107"/>
      <c r="BS130" s="107"/>
      <c r="BT130" s="107"/>
      <c r="BU130" s="107"/>
      <c r="BV130" s="107"/>
      <c r="BW130" s="107"/>
      <c r="BX130" s="107"/>
      <c r="BY130" s="107"/>
      <c r="BZ130" s="107"/>
      <c r="CA130" s="107"/>
      <c r="CB130" s="107"/>
      <c r="CC130" s="107"/>
      <c r="CD130" s="107"/>
      <c r="CE130" s="107"/>
      <c r="CF130" s="107"/>
    </row>
    <row r="131" spans="2:84">
      <c r="B131" s="98"/>
      <c r="C131" s="98"/>
      <c r="D131" s="97"/>
      <c r="E131" s="97"/>
      <c r="F131" s="97"/>
      <c r="G131" s="97"/>
      <c r="H131" s="97"/>
      <c r="I131" s="97"/>
      <c r="J131" s="97"/>
      <c r="K131" s="97"/>
      <c r="L131" s="97"/>
      <c r="M131" s="97"/>
      <c r="N131" s="99"/>
      <c r="O131" s="97"/>
      <c r="P131" s="99"/>
      <c r="Q131" s="97"/>
      <c r="R131" s="97"/>
      <c r="S131" s="97"/>
      <c r="T131" s="97"/>
      <c r="U131" s="97"/>
      <c r="V131" s="97"/>
      <c r="W131" s="97"/>
      <c r="X131" s="97"/>
      <c r="Y131" s="97"/>
      <c r="Z131" s="97"/>
      <c r="AA131" s="97"/>
      <c r="AB131" s="97"/>
      <c r="AC131" s="97"/>
      <c r="AD131" s="107"/>
      <c r="AE131" s="107"/>
      <c r="AF131" s="107"/>
      <c r="AG131" s="107"/>
      <c r="AH131" s="107"/>
      <c r="AI131" s="107"/>
      <c r="AJ131" s="107"/>
      <c r="AK131" s="107"/>
      <c r="AL131" s="107"/>
      <c r="AM131" s="107"/>
      <c r="AN131" s="107"/>
      <c r="AO131" s="107"/>
      <c r="AP131" s="107"/>
      <c r="AQ131" s="107"/>
      <c r="AR131" s="107"/>
      <c r="AS131" s="107"/>
      <c r="AT131" s="107"/>
      <c r="AU131" s="107"/>
      <c r="AV131" s="107"/>
      <c r="AW131" s="107"/>
      <c r="AX131" s="107"/>
      <c r="AY131" s="107"/>
      <c r="AZ131" s="107"/>
      <c r="BA131" s="107"/>
      <c r="BB131" s="107"/>
      <c r="BC131" s="107"/>
      <c r="BD131" s="107"/>
      <c r="BE131" s="107"/>
      <c r="BF131" s="107"/>
      <c r="BG131" s="107"/>
      <c r="BH131" s="107"/>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row>
    <row r="132" spans="2:84">
      <c r="B132" s="98"/>
      <c r="C132" s="98"/>
      <c r="D132" s="97"/>
      <c r="E132" s="97"/>
      <c r="F132" s="97"/>
      <c r="G132" s="97"/>
      <c r="H132" s="97"/>
      <c r="I132" s="97"/>
      <c r="J132" s="97"/>
      <c r="K132" s="97"/>
      <c r="L132" s="97"/>
      <c r="M132" s="97"/>
      <c r="N132" s="99"/>
      <c r="O132" s="97"/>
      <c r="P132" s="99"/>
      <c r="Q132" s="97"/>
      <c r="R132" s="97"/>
      <c r="S132" s="97"/>
      <c r="T132" s="97"/>
      <c r="U132" s="97"/>
      <c r="V132" s="97"/>
      <c r="W132" s="97"/>
      <c r="X132" s="97"/>
      <c r="Y132" s="97"/>
      <c r="Z132" s="97"/>
      <c r="AA132" s="97"/>
      <c r="AB132" s="97"/>
      <c r="AC132" s="97"/>
      <c r="AD132" s="107"/>
      <c r="AE132" s="107"/>
      <c r="AF132" s="107"/>
      <c r="AG132" s="107"/>
      <c r="AH132" s="107"/>
      <c r="AI132" s="107"/>
      <c r="AJ132" s="107"/>
      <c r="AK132" s="107"/>
      <c r="AL132" s="107"/>
      <c r="AM132" s="107"/>
      <c r="AN132" s="107"/>
      <c r="AO132" s="107"/>
      <c r="AP132" s="107"/>
      <c r="AQ132" s="107"/>
      <c r="AR132" s="107"/>
      <c r="AS132" s="107"/>
      <c r="AT132" s="107"/>
      <c r="AU132" s="107"/>
      <c r="AV132" s="107"/>
      <c r="AW132" s="107"/>
      <c r="AX132" s="107"/>
      <c r="AY132" s="107"/>
      <c r="AZ132" s="107"/>
      <c r="BA132" s="107"/>
      <c r="BB132" s="107"/>
      <c r="BC132" s="107"/>
      <c r="BD132" s="107"/>
      <c r="BE132" s="107"/>
      <c r="BF132" s="107"/>
      <c r="BG132" s="107"/>
      <c r="BH132" s="107"/>
      <c r="BI132" s="107"/>
      <c r="BJ132" s="107"/>
      <c r="BK132" s="107"/>
      <c r="BL132" s="107"/>
      <c r="BM132" s="107"/>
      <c r="BN132" s="107"/>
      <c r="BO132" s="107"/>
      <c r="BP132" s="107"/>
      <c r="BQ132" s="107"/>
      <c r="BR132" s="107"/>
      <c r="BS132" s="107"/>
      <c r="BT132" s="107"/>
      <c r="BU132" s="107"/>
      <c r="BV132" s="107"/>
      <c r="BW132" s="107"/>
      <c r="BX132" s="107"/>
      <c r="BY132" s="107"/>
      <c r="BZ132" s="107"/>
      <c r="CA132" s="107"/>
      <c r="CB132" s="107"/>
      <c r="CC132" s="107"/>
      <c r="CD132" s="107"/>
      <c r="CE132" s="107"/>
      <c r="CF132" s="107"/>
    </row>
    <row r="133" spans="2:84">
      <c r="B133" s="98"/>
      <c r="C133" s="98"/>
      <c r="D133" s="97"/>
      <c r="E133" s="97"/>
      <c r="F133" s="97"/>
      <c r="G133" s="97"/>
      <c r="H133" s="97"/>
      <c r="I133" s="97"/>
      <c r="J133" s="97"/>
      <c r="K133" s="97"/>
      <c r="L133" s="97"/>
      <c r="M133" s="97"/>
      <c r="N133" s="99"/>
      <c r="O133" s="97"/>
      <c r="P133" s="99"/>
      <c r="Q133" s="97"/>
      <c r="R133" s="97"/>
      <c r="S133" s="97"/>
      <c r="T133" s="97"/>
      <c r="U133" s="97"/>
      <c r="V133" s="97"/>
      <c r="W133" s="97"/>
      <c r="X133" s="97"/>
      <c r="Y133" s="97"/>
      <c r="Z133" s="97"/>
      <c r="AA133" s="97"/>
      <c r="AB133" s="97"/>
      <c r="AC133" s="97"/>
      <c r="AD133" s="107"/>
      <c r="AE133" s="107"/>
      <c r="AF133" s="107"/>
      <c r="AG133" s="107"/>
      <c r="AH133" s="107"/>
      <c r="AI133" s="107"/>
      <c r="AJ133" s="107"/>
      <c r="AK133" s="107"/>
      <c r="AL133" s="107"/>
      <c r="AM133" s="107"/>
      <c r="AN133" s="107"/>
      <c r="AO133" s="107"/>
      <c r="AP133" s="107"/>
      <c r="AQ133" s="107"/>
      <c r="AR133" s="107"/>
      <c r="AS133" s="107"/>
      <c r="AT133" s="107"/>
      <c r="AU133" s="107"/>
      <c r="AV133" s="107"/>
      <c r="AW133" s="107"/>
      <c r="AX133" s="107"/>
      <c r="AY133" s="107"/>
      <c r="AZ133" s="107"/>
      <c r="BA133" s="107"/>
      <c r="BB133" s="107"/>
      <c r="BC133" s="107"/>
      <c r="BD133" s="107"/>
      <c r="BE133" s="107"/>
      <c r="BF133" s="107"/>
      <c r="BG133" s="107"/>
      <c r="BH133" s="107"/>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row>
    <row r="134" spans="2:84">
      <c r="B134" s="98"/>
      <c r="C134" s="98"/>
      <c r="D134" s="97"/>
      <c r="E134" s="97"/>
      <c r="F134" s="97"/>
      <c r="G134" s="97"/>
      <c r="H134" s="97"/>
      <c r="I134" s="97"/>
      <c r="J134" s="97"/>
      <c r="K134" s="97"/>
      <c r="L134" s="97"/>
      <c r="M134" s="97"/>
      <c r="N134" s="99"/>
      <c r="O134" s="97"/>
      <c r="P134" s="99"/>
      <c r="Q134" s="97"/>
      <c r="R134" s="97"/>
      <c r="S134" s="97"/>
      <c r="T134" s="97"/>
      <c r="U134" s="97"/>
      <c r="V134" s="97"/>
      <c r="W134" s="97"/>
      <c r="X134" s="97"/>
      <c r="Y134" s="97"/>
      <c r="Z134" s="97"/>
      <c r="AA134" s="97"/>
      <c r="AB134" s="97"/>
      <c r="AC134" s="97"/>
      <c r="AD134" s="107"/>
      <c r="AE134" s="107"/>
      <c r="AF134" s="107"/>
      <c r="AG134" s="107"/>
      <c r="AH134" s="107"/>
      <c r="AI134" s="107"/>
      <c r="AJ134" s="107"/>
      <c r="AK134" s="107"/>
      <c r="AL134" s="107"/>
      <c r="AM134" s="107"/>
      <c r="AN134" s="107"/>
      <c r="AO134" s="107"/>
      <c r="AP134" s="107"/>
      <c r="AQ134" s="107"/>
      <c r="AR134" s="107"/>
      <c r="AS134" s="107"/>
      <c r="AT134" s="107"/>
      <c r="AU134" s="107"/>
      <c r="AV134" s="107"/>
      <c r="AW134" s="107"/>
      <c r="AX134" s="107"/>
      <c r="AY134" s="107"/>
      <c r="AZ134" s="107"/>
      <c r="BA134" s="107"/>
      <c r="BB134" s="107"/>
      <c r="BC134" s="107"/>
      <c r="BD134" s="107"/>
      <c r="BE134" s="107"/>
      <c r="BF134" s="107"/>
      <c r="BG134" s="107"/>
      <c r="BH134" s="107"/>
      <c r="BI134" s="107"/>
      <c r="BJ134" s="107"/>
      <c r="BK134" s="107"/>
      <c r="BL134" s="107"/>
      <c r="BM134" s="107"/>
      <c r="BN134" s="107"/>
      <c r="BO134" s="107"/>
      <c r="BP134" s="107"/>
      <c r="BQ134" s="107"/>
      <c r="BR134" s="107"/>
      <c r="BS134" s="107"/>
      <c r="BT134" s="107"/>
      <c r="BU134" s="107"/>
      <c r="BV134" s="107"/>
      <c r="BW134" s="107"/>
      <c r="BX134" s="107"/>
      <c r="BY134" s="107"/>
      <c r="BZ134" s="107"/>
      <c r="CA134" s="107"/>
      <c r="CB134" s="107"/>
      <c r="CC134" s="107"/>
      <c r="CD134" s="107"/>
      <c r="CE134" s="107"/>
      <c r="CF134" s="107"/>
    </row>
    <row r="135" spans="2:84">
      <c r="B135" s="98"/>
      <c r="C135" s="98"/>
      <c r="D135" s="97"/>
      <c r="E135" s="97"/>
      <c r="F135" s="97"/>
      <c r="G135" s="97"/>
      <c r="H135" s="97"/>
      <c r="I135" s="97"/>
      <c r="J135" s="97"/>
      <c r="K135" s="97"/>
      <c r="L135" s="97"/>
      <c r="M135" s="97"/>
      <c r="N135" s="99"/>
      <c r="O135" s="97"/>
      <c r="P135" s="99"/>
      <c r="Q135" s="97"/>
      <c r="R135" s="97"/>
      <c r="S135" s="97"/>
      <c r="T135" s="97"/>
      <c r="U135" s="97"/>
      <c r="V135" s="97"/>
      <c r="W135" s="97"/>
      <c r="X135" s="97"/>
      <c r="Y135" s="97"/>
      <c r="Z135" s="97"/>
      <c r="AA135" s="97"/>
      <c r="AB135" s="97"/>
      <c r="AC135" s="97"/>
      <c r="AD135" s="107"/>
      <c r="AE135" s="107"/>
      <c r="AF135" s="107"/>
      <c r="AG135" s="107"/>
      <c r="AH135" s="107"/>
      <c r="AI135" s="107"/>
      <c r="AJ135" s="107"/>
      <c r="AK135" s="107"/>
      <c r="AL135" s="107"/>
      <c r="AM135" s="107"/>
      <c r="AN135" s="107"/>
      <c r="AO135" s="107"/>
      <c r="AP135" s="107"/>
      <c r="AQ135" s="107"/>
      <c r="AR135" s="107"/>
      <c r="AS135" s="107"/>
      <c r="AT135" s="107"/>
      <c r="AU135" s="107"/>
      <c r="AV135" s="107"/>
      <c r="AW135" s="107"/>
      <c r="AX135" s="107"/>
      <c r="AY135" s="107"/>
      <c r="AZ135" s="107"/>
      <c r="BA135" s="107"/>
      <c r="BB135" s="107"/>
      <c r="BC135" s="107"/>
      <c r="BD135" s="107"/>
      <c r="BE135" s="107"/>
      <c r="BF135" s="107"/>
      <c r="BG135" s="107"/>
      <c r="BH135" s="107"/>
      <c r="BI135" s="107"/>
      <c r="BJ135" s="107"/>
      <c r="BK135" s="107"/>
      <c r="BL135" s="107"/>
      <c r="BM135" s="107"/>
      <c r="BN135" s="107"/>
      <c r="BO135" s="107"/>
      <c r="BP135" s="107"/>
      <c r="BQ135" s="107"/>
      <c r="BR135" s="107"/>
      <c r="BS135" s="107"/>
      <c r="BT135" s="107"/>
      <c r="BU135" s="107"/>
      <c r="BV135" s="107"/>
      <c r="BW135" s="107"/>
      <c r="BX135" s="107"/>
      <c r="BY135" s="107"/>
      <c r="BZ135" s="107"/>
      <c r="CA135" s="107"/>
      <c r="CB135" s="107"/>
      <c r="CC135" s="107"/>
      <c r="CD135" s="107"/>
      <c r="CE135" s="107"/>
      <c r="CF135" s="107"/>
    </row>
    <row r="136" spans="2:84">
      <c r="B136" s="98"/>
      <c r="C136" s="98"/>
      <c r="D136" s="97"/>
      <c r="E136" s="97"/>
      <c r="F136" s="97"/>
      <c r="G136" s="97"/>
      <c r="H136" s="97"/>
      <c r="I136" s="97"/>
      <c r="J136" s="97"/>
      <c r="K136" s="97"/>
      <c r="L136" s="97"/>
      <c r="M136" s="97"/>
      <c r="N136" s="99"/>
      <c r="O136" s="97"/>
      <c r="P136" s="99"/>
      <c r="Q136" s="97"/>
      <c r="R136" s="97"/>
      <c r="S136" s="97"/>
      <c r="T136" s="97"/>
      <c r="U136" s="97"/>
      <c r="V136" s="97"/>
      <c r="W136" s="97"/>
      <c r="X136" s="97"/>
      <c r="Y136" s="97"/>
      <c r="Z136" s="97"/>
      <c r="AA136" s="97"/>
      <c r="AB136" s="97"/>
      <c r="AC136" s="97"/>
      <c r="AD136" s="107"/>
      <c r="AE136" s="107"/>
      <c r="AF136" s="107"/>
      <c r="AG136" s="107"/>
      <c r="AH136" s="107"/>
      <c r="AI136" s="107"/>
      <c r="AJ136" s="107"/>
      <c r="AK136" s="107"/>
      <c r="AL136" s="107"/>
      <c r="AM136" s="107"/>
      <c r="AN136" s="107"/>
      <c r="AO136" s="107"/>
      <c r="AP136" s="107"/>
      <c r="AQ136" s="107"/>
      <c r="AR136" s="107"/>
      <c r="AS136" s="107"/>
      <c r="AT136" s="107"/>
      <c r="AU136" s="107"/>
      <c r="AV136" s="107"/>
      <c r="AW136" s="107"/>
      <c r="AX136" s="107"/>
      <c r="AY136" s="107"/>
      <c r="AZ136" s="107"/>
      <c r="BA136" s="107"/>
      <c r="BB136" s="107"/>
      <c r="BC136" s="107"/>
      <c r="BD136" s="107"/>
      <c r="BE136" s="107"/>
      <c r="BF136" s="107"/>
      <c r="BG136" s="107"/>
      <c r="BH136" s="107"/>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c r="CC136" s="107"/>
      <c r="CD136" s="107"/>
      <c r="CE136" s="107"/>
      <c r="CF136" s="107"/>
    </row>
    <row r="137" spans="2:84">
      <c r="B137" s="98"/>
      <c r="C137" s="98"/>
      <c r="D137" s="97"/>
      <c r="E137" s="97"/>
      <c r="F137" s="97"/>
      <c r="G137" s="97"/>
      <c r="H137" s="97"/>
      <c r="I137" s="97"/>
      <c r="J137" s="97"/>
      <c r="K137" s="97"/>
      <c r="L137" s="97"/>
      <c r="M137" s="97"/>
      <c r="N137" s="99"/>
      <c r="O137" s="97"/>
      <c r="P137" s="99"/>
      <c r="Q137" s="97"/>
      <c r="R137" s="97"/>
      <c r="S137" s="97"/>
      <c r="T137" s="97"/>
      <c r="U137" s="97"/>
      <c r="V137" s="97"/>
      <c r="W137" s="97"/>
      <c r="X137" s="97"/>
      <c r="Y137" s="97"/>
      <c r="Z137" s="97"/>
      <c r="AA137" s="97"/>
      <c r="AB137" s="97"/>
      <c r="AC137" s="97"/>
      <c r="AD137" s="107"/>
      <c r="AE137" s="107"/>
      <c r="AF137" s="107"/>
      <c r="AG137" s="107"/>
      <c r="AH137" s="107"/>
      <c r="AI137" s="107"/>
      <c r="AJ137" s="107"/>
      <c r="AK137" s="107"/>
      <c r="AL137" s="107"/>
      <c r="AM137" s="107"/>
      <c r="AN137" s="107"/>
      <c r="AO137" s="107"/>
      <c r="AP137" s="107"/>
      <c r="AQ137" s="107"/>
      <c r="AR137" s="107"/>
      <c r="AS137" s="107"/>
      <c r="AT137" s="107"/>
      <c r="AU137" s="107"/>
      <c r="AV137" s="107"/>
      <c r="AW137" s="107"/>
      <c r="AX137" s="107"/>
      <c r="AY137" s="107"/>
      <c r="AZ137" s="107"/>
      <c r="BA137" s="107"/>
      <c r="BB137" s="107"/>
      <c r="BC137" s="107"/>
      <c r="BD137" s="107"/>
      <c r="BE137" s="107"/>
      <c r="BF137" s="107"/>
      <c r="BG137" s="107"/>
      <c r="BH137" s="107"/>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c r="CC137" s="107"/>
      <c r="CD137" s="107"/>
      <c r="CE137" s="107"/>
      <c r="CF137" s="107"/>
    </row>
    <row r="138" spans="2:84">
      <c r="B138" s="98"/>
      <c r="C138" s="98"/>
      <c r="D138" s="97"/>
      <c r="E138" s="97"/>
      <c r="F138" s="97"/>
      <c r="G138" s="97"/>
      <c r="H138" s="97"/>
      <c r="I138" s="97"/>
      <c r="J138" s="97"/>
      <c r="K138" s="97"/>
      <c r="L138" s="97"/>
      <c r="M138" s="97"/>
      <c r="N138" s="99"/>
      <c r="O138" s="97"/>
      <c r="P138" s="99"/>
      <c r="Q138" s="97"/>
      <c r="R138" s="97"/>
      <c r="S138" s="97"/>
      <c r="T138" s="97"/>
      <c r="U138" s="97"/>
      <c r="V138" s="97"/>
      <c r="W138" s="97"/>
      <c r="X138" s="97"/>
      <c r="Y138" s="97"/>
      <c r="Z138" s="97"/>
      <c r="AA138" s="97"/>
      <c r="AB138" s="97"/>
      <c r="AC138" s="97"/>
      <c r="AD138" s="107"/>
      <c r="AE138" s="107"/>
      <c r="AF138" s="107"/>
      <c r="AG138" s="107"/>
      <c r="AH138" s="107"/>
      <c r="AI138" s="107"/>
      <c r="AJ138" s="107"/>
      <c r="AK138" s="107"/>
      <c r="AL138" s="107"/>
      <c r="AM138" s="107"/>
      <c r="AN138" s="107"/>
      <c r="AO138" s="107"/>
      <c r="AP138" s="107"/>
      <c r="AQ138" s="107"/>
      <c r="AR138" s="107"/>
      <c r="AS138" s="107"/>
      <c r="AT138" s="107"/>
      <c r="AU138" s="107"/>
      <c r="AV138" s="107"/>
      <c r="AW138" s="107"/>
      <c r="AX138" s="107"/>
      <c r="AY138" s="107"/>
      <c r="AZ138" s="107"/>
      <c r="BA138" s="107"/>
      <c r="BB138" s="107"/>
      <c r="BC138" s="107"/>
      <c r="BD138" s="107"/>
      <c r="BE138" s="107"/>
      <c r="BF138" s="107"/>
      <c r="BG138" s="107"/>
      <c r="BH138" s="107"/>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c r="CC138" s="107"/>
      <c r="CD138" s="107"/>
      <c r="CE138" s="107"/>
      <c r="CF138" s="107"/>
    </row>
    <row r="139" spans="2:84">
      <c r="B139" s="98"/>
      <c r="C139" s="98"/>
      <c r="D139" s="97"/>
      <c r="E139" s="97"/>
      <c r="F139" s="97"/>
      <c r="G139" s="97"/>
      <c r="H139" s="97"/>
      <c r="I139" s="97"/>
      <c r="J139" s="97"/>
      <c r="K139" s="97"/>
      <c r="L139" s="97"/>
      <c r="M139" s="97"/>
      <c r="N139" s="99"/>
      <c r="O139" s="97"/>
      <c r="P139" s="99"/>
      <c r="Q139" s="97"/>
      <c r="R139" s="97"/>
      <c r="S139" s="97"/>
      <c r="T139" s="97"/>
      <c r="U139" s="97"/>
      <c r="V139" s="97"/>
      <c r="W139" s="97"/>
      <c r="X139" s="97"/>
      <c r="Y139" s="97"/>
      <c r="Z139" s="97"/>
      <c r="AA139" s="97"/>
      <c r="AB139" s="97"/>
      <c r="AC139" s="97"/>
      <c r="AD139" s="107"/>
      <c r="AE139" s="107"/>
      <c r="AF139" s="107"/>
      <c r="AG139" s="107"/>
      <c r="AH139" s="107"/>
      <c r="AI139" s="107"/>
      <c r="AJ139" s="107"/>
      <c r="AK139" s="107"/>
      <c r="AL139" s="107"/>
      <c r="AM139" s="107"/>
      <c r="AN139" s="107"/>
      <c r="AO139" s="107"/>
      <c r="AP139" s="107"/>
      <c r="AQ139" s="107"/>
      <c r="AR139" s="107"/>
      <c r="AS139" s="107"/>
      <c r="AT139" s="107"/>
      <c r="AU139" s="107"/>
      <c r="AV139" s="107"/>
      <c r="AW139" s="107"/>
      <c r="AX139" s="107"/>
      <c r="AY139" s="107"/>
      <c r="AZ139" s="107"/>
      <c r="BA139" s="107"/>
      <c r="BB139" s="107"/>
      <c r="BC139" s="107"/>
      <c r="BD139" s="107"/>
      <c r="BE139" s="107"/>
      <c r="BF139" s="107"/>
      <c r="BG139" s="107"/>
      <c r="BH139" s="107"/>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row>
    <row r="140" spans="2:84">
      <c r="B140" s="98"/>
      <c r="C140" s="98"/>
      <c r="D140" s="97"/>
      <c r="E140" s="97"/>
      <c r="F140" s="97"/>
      <c r="G140" s="97"/>
      <c r="H140" s="97"/>
      <c r="I140" s="97"/>
      <c r="J140" s="97"/>
      <c r="K140" s="97"/>
      <c r="L140" s="97"/>
      <c r="M140" s="97"/>
      <c r="N140" s="99"/>
      <c r="O140" s="97"/>
      <c r="P140" s="99"/>
      <c r="Q140" s="97"/>
      <c r="R140" s="97"/>
      <c r="S140" s="97"/>
      <c r="T140" s="97"/>
      <c r="U140" s="97"/>
      <c r="V140" s="97"/>
      <c r="W140" s="97"/>
      <c r="X140" s="97"/>
      <c r="Y140" s="97"/>
      <c r="Z140" s="97"/>
      <c r="AA140" s="97"/>
      <c r="AB140" s="97"/>
      <c r="AC140" s="97"/>
      <c r="AD140" s="107"/>
      <c r="AE140" s="107"/>
      <c r="AF140" s="107"/>
      <c r="AG140" s="107"/>
      <c r="AH140" s="107"/>
      <c r="AI140" s="107"/>
      <c r="AJ140" s="107"/>
      <c r="AK140" s="107"/>
      <c r="AL140" s="107"/>
      <c r="AM140" s="107"/>
      <c r="AN140" s="107"/>
      <c r="AO140" s="107"/>
      <c r="AP140" s="107"/>
      <c r="AQ140" s="107"/>
      <c r="AR140" s="107"/>
      <c r="AS140" s="107"/>
      <c r="AT140" s="107"/>
      <c r="AU140" s="107"/>
      <c r="AV140" s="107"/>
      <c r="AW140" s="107"/>
      <c r="AX140" s="107"/>
      <c r="AY140" s="107"/>
      <c r="AZ140" s="107"/>
      <c r="BA140" s="107"/>
      <c r="BB140" s="107"/>
      <c r="BC140" s="107"/>
      <c r="BD140" s="107"/>
      <c r="BE140" s="107"/>
      <c r="BF140" s="107"/>
      <c r="BG140" s="107"/>
      <c r="BH140" s="107"/>
      <c r="BI140" s="107"/>
      <c r="BJ140" s="107"/>
      <c r="BK140" s="107"/>
      <c r="BL140" s="107"/>
      <c r="BM140" s="107"/>
      <c r="BN140" s="107"/>
      <c r="BO140" s="107"/>
      <c r="BP140" s="107"/>
      <c r="BQ140" s="107"/>
      <c r="BR140" s="107"/>
      <c r="BS140" s="107"/>
      <c r="BT140" s="107"/>
      <c r="BU140" s="107"/>
      <c r="BV140" s="107"/>
      <c r="BW140" s="107"/>
      <c r="BX140" s="107"/>
      <c r="BY140" s="107"/>
      <c r="BZ140" s="107"/>
      <c r="CA140" s="107"/>
      <c r="CB140" s="107"/>
      <c r="CC140" s="107"/>
      <c r="CD140" s="107"/>
      <c r="CE140" s="107"/>
      <c r="CF140" s="107"/>
    </row>
    <row r="141" spans="2:84">
      <c r="B141" s="98"/>
      <c r="C141" s="98"/>
      <c r="D141" s="97"/>
      <c r="E141" s="97"/>
      <c r="F141" s="97"/>
      <c r="G141" s="97"/>
      <c r="H141" s="97"/>
      <c r="I141" s="97"/>
      <c r="J141" s="97"/>
      <c r="K141" s="97"/>
      <c r="L141" s="97"/>
      <c r="M141" s="97"/>
      <c r="N141" s="99"/>
      <c r="O141" s="97"/>
      <c r="P141" s="99"/>
      <c r="Q141" s="97"/>
      <c r="R141" s="97"/>
      <c r="S141" s="97"/>
      <c r="T141" s="97"/>
      <c r="U141" s="97"/>
      <c r="V141" s="97"/>
      <c r="W141" s="97"/>
      <c r="X141" s="97"/>
      <c r="Y141" s="97"/>
      <c r="Z141" s="97"/>
      <c r="AA141" s="97"/>
      <c r="AB141" s="97"/>
      <c r="AC141" s="97"/>
      <c r="AD141" s="107"/>
      <c r="AE141" s="107"/>
      <c r="AF141" s="107"/>
      <c r="AG141" s="107"/>
      <c r="AH141" s="107"/>
      <c r="AI141" s="107"/>
      <c r="AJ141" s="107"/>
      <c r="AK141" s="107"/>
      <c r="AL141" s="107"/>
      <c r="AM141" s="107"/>
      <c r="AN141" s="107"/>
      <c r="AO141" s="107"/>
      <c r="AP141" s="107"/>
      <c r="AQ141" s="107"/>
      <c r="AR141" s="107"/>
      <c r="AS141" s="107"/>
      <c r="AT141" s="107"/>
      <c r="AU141" s="107"/>
      <c r="AV141" s="107"/>
      <c r="AW141" s="107"/>
      <c r="AX141" s="107"/>
      <c r="AY141" s="107"/>
      <c r="AZ141" s="107"/>
      <c r="BA141" s="107"/>
      <c r="BB141" s="107"/>
      <c r="BC141" s="107"/>
      <c r="BD141" s="107"/>
      <c r="BE141" s="107"/>
      <c r="BF141" s="107"/>
      <c r="BG141" s="107"/>
      <c r="BH141" s="107"/>
      <c r="BI141" s="107"/>
      <c r="BJ141" s="107"/>
      <c r="BK141" s="107"/>
      <c r="BL141" s="107"/>
      <c r="BM141" s="107"/>
      <c r="BN141" s="107"/>
      <c r="BO141" s="107"/>
      <c r="BP141" s="107"/>
      <c r="BQ141" s="107"/>
      <c r="BR141" s="107"/>
      <c r="BS141" s="107"/>
      <c r="BT141" s="107"/>
      <c r="BU141" s="107"/>
      <c r="BV141" s="107"/>
      <c r="BW141" s="107"/>
      <c r="BX141" s="107"/>
      <c r="BY141" s="107"/>
      <c r="BZ141" s="107"/>
      <c r="CA141" s="107"/>
      <c r="CB141" s="107"/>
      <c r="CC141" s="107"/>
      <c r="CD141" s="107"/>
      <c r="CE141" s="107"/>
      <c r="CF141" s="107"/>
    </row>
    <row r="142" spans="2:84">
      <c r="B142" s="98"/>
      <c r="C142" s="98"/>
      <c r="D142" s="97"/>
      <c r="E142" s="97"/>
      <c r="F142" s="97"/>
      <c r="G142" s="97"/>
      <c r="H142" s="97"/>
      <c r="I142" s="97"/>
      <c r="J142" s="97"/>
      <c r="K142" s="97"/>
      <c r="L142" s="97"/>
      <c r="M142" s="97"/>
      <c r="N142" s="99"/>
      <c r="O142" s="97"/>
      <c r="P142" s="99"/>
      <c r="Q142" s="97"/>
      <c r="R142" s="97"/>
      <c r="S142" s="97"/>
      <c r="T142" s="97"/>
      <c r="U142" s="97"/>
      <c r="V142" s="97"/>
      <c r="W142" s="97"/>
      <c r="X142" s="97"/>
      <c r="Y142" s="97"/>
      <c r="Z142" s="97"/>
      <c r="AA142" s="97"/>
      <c r="AB142" s="97"/>
      <c r="AC142" s="97"/>
      <c r="AD142" s="107"/>
      <c r="AE142" s="107"/>
      <c r="AF142" s="107"/>
      <c r="AG142" s="107"/>
      <c r="AH142" s="107"/>
      <c r="AI142" s="107"/>
      <c r="AJ142" s="107"/>
      <c r="AK142" s="107"/>
      <c r="AL142" s="107"/>
      <c r="AM142" s="107"/>
      <c r="AN142" s="107"/>
      <c r="AO142" s="107"/>
      <c r="AP142" s="107"/>
      <c r="AQ142" s="107"/>
      <c r="AR142" s="107"/>
      <c r="AS142" s="107"/>
      <c r="AT142" s="107"/>
      <c r="AU142" s="107"/>
      <c r="AV142" s="107"/>
      <c r="AW142" s="107"/>
      <c r="AX142" s="107"/>
      <c r="AY142" s="107"/>
      <c r="AZ142" s="107"/>
      <c r="BA142" s="107"/>
      <c r="BB142" s="107"/>
      <c r="BC142" s="107"/>
      <c r="BD142" s="107"/>
      <c r="BE142" s="107"/>
      <c r="BF142" s="107"/>
      <c r="BG142" s="107"/>
      <c r="BH142" s="107"/>
      <c r="BI142" s="107"/>
      <c r="BJ142" s="107"/>
      <c r="BK142" s="107"/>
      <c r="BL142" s="107"/>
      <c r="BM142" s="107"/>
      <c r="BN142" s="107"/>
      <c r="BO142" s="107"/>
      <c r="BP142" s="107"/>
      <c r="BQ142" s="107"/>
      <c r="BR142" s="107"/>
      <c r="BS142" s="107"/>
      <c r="BT142" s="107"/>
      <c r="BU142" s="107"/>
      <c r="BV142" s="107"/>
      <c r="BW142" s="107"/>
      <c r="BX142" s="107"/>
      <c r="BY142" s="107"/>
      <c r="BZ142" s="107"/>
      <c r="CA142" s="107"/>
      <c r="CB142" s="107"/>
      <c r="CC142" s="107"/>
      <c r="CD142" s="107"/>
      <c r="CE142" s="107"/>
      <c r="CF142" s="107"/>
    </row>
    <row r="143" spans="2:84">
      <c r="B143" s="98"/>
      <c r="C143" s="98"/>
      <c r="D143" s="97"/>
      <c r="E143" s="97"/>
      <c r="F143" s="97"/>
      <c r="G143" s="97"/>
      <c r="H143" s="97"/>
      <c r="I143" s="97"/>
      <c r="J143" s="97"/>
      <c r="K143" s="97"/>
      <c r="L143" s="97"/>
      <c r="M143" s="97"/>
      <c r="N143" s="99"/>
      <c r="O143" s="97"/>
      <c r="P143" s="99"/>
      <c r="Q143" s="97"/>
      <c r="R143" s="97"/>
      <c r="S143" s="97"/>
      <c r="T143" s="97"/>
      <c r="U143" s="97"/>
      <c r="V143" s="97"/>
      <c r="W143" s="97"/>
      <c r="X143" s="97"/>
      <c r="Y143" s="97"/>
      <c r="Z143" s="97"/>
      <c r="AA143" s="97"/>
      <c r="AB143" s="97"/>
      <c r="AC143" s="97"/>
      <c r="AD143" s="107"/>
      <c r="AE143" s="107"/>
      <c r="AF143" s="107"/>
      <c r="AG143" s="107"/>
      <c r="AH143" s="107"/>
      <c r="AI143" s="107"/>
      <c r="AJ143" s="107"/>
      <c r="AK143" s="107"/>
      <c r="AL143" s="107"/>
      <c r="AM143" s="107"/>
      <c r="AN143" s="107"/>
      <c r="AO143" s="107"/>
      <c r="AP143" s="107"/>
      <c r="AQ143" s="107"/>
      <c r="AR143" s="107"/>
      <c r="AS143" s="107"/>
      <c r="AT143" s="107"/>
      <c r="AU143" s="107"/>
      <c r="AV143" s="107"/>
      <c r="AW143" s="107"/>
      <c r="AX143" s="107"/>
      <c r="AY143" s="107"/>
      <c r="AZ143" s="107"/>
      <c r="BA143" s="107"/>
      <c r="BB143" s="107"/>
      <c r="BC143" s="107"/>
      <c r="BD143" s="107"/>
      <c r="BE143" s="107"/>
      <c r="BF143" s="107"/>
      <c r="BG143" s="107"/>
      <c r="BH143" s="107"/>
      <c r="BI143" s="107"/>
      <c r="BJ143" s="107"/>
      <c r="BK143" s="107"/>
      <c r="BL143" s="107"/>
      <c r="BM143" s="107"/>
      <c r="BN143" s="107"/>
      <c r="BO143" s="107"/>
      <c r="BP143" s="107"/>
      <c r="BQ143" s="107"/>
      <c r="BR143" s="107"/>
      <c r="BS143" s="107"/>
      <c r="BT143" s="107"/>
      <c r="BU143" s="107"/>
      <c r="BV143" s="107"/>
      <c r="BW143" s="107"/>
      <c r="BX143" s="107"/>
      <c r="BY143" s="107"/>
      <c r="BZ143" s="107"/>
      <c r="CA143" s="107"/>
      <c r="CB143" s="107"/>
      <c r="CC143" s="107"/>
      <c r="CD143" s="107"/>
      <c r="CE143" s="107"/>
      <c r="CF143" s="107"/>
    </row>
    <row r="144" spans="2:84">
      <c r="B144" s="98"/>
      <c r="C144" s="98"/>
      <c r="D144" s="97"/>
      <c r="E144" s="97"/>
      <c r="F144" s="97"/>
      <c r="G144" s="97"/>
      <c r="H144" s="97"/>
      <c r="I144" s="97"/>
      <c r="J144" s="97"/>
      <c r="K144" s="97"/>
      <c r="L144" s="97"/>
      <c r="M144" s="97"/>
      <c r="N144" s="99"/>
      <c r="O144" s="97"/>
      <c r="P144" s="99"/>
      <c r="Q144" s="97"/>
      <c r="R144" s="97"/>
      <c r="S144" s="97"/>
      <c r="T144" s="97"/>
      <c r="U144" s="97"/>
      <c r="V144" s="97"/>
      <c r="W144" s="97"/>
      <c r="X144" s="97"/>
      <c r="Y144" s="97"/>
      <c r="Z144" s="97"/>
      <c r="AA144" s="97"/>
      <c r="AB144" s="97"/>
      <c r="AC144" s="97"/>
      <c r="AD144" s="107"/>
      <c r="AE144" s="107"/>
      <c r="AF144" s="107"/>
      <c r="AG144" s="107"/>
      <c r="AH144" s="107"/>
      <c r="AI144" s="107"/>
      <c r="AJ144" s="107"/>
      <c r="AK144" s="107"/>
      <c r="AL144" s="107"/>
      <c r="AM144" s="107"/>
      <c r="AN144" s="107"/>
      <c r="AO144" s="107"/>
      <c r="AP144" s="107"/>
      <c r="AQ144" s="107"/>
      <c r="AR144" s="107"/>
      <c r="AS144" s="107"/>
      <c r="AT144" s="107"/>
      <c r="AU144" s="107"/>
      <c r="AV144" s="107"/>
      <c r="AW144" s="107"/>
      <c r="AX144" s="107"/>
      <c r="AY144" s="107"/>
      <c r="AZ144" s="107"/>
      <c r="BA144" s="107"/>
      <c r="BB144" s="107"/>
      <c r="BC144" s="107"/>
      <c r="BD144" s="107"/>
      <c r="BE144" s="107"/>
      <c r="BF144" s="107"/>
      <c r="BG144" s="107"/>
      <c r="BH144" s="107"/>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07"/>
      <c r="CE144" s="107"/>
      <c r="CF144" s="107"/>
    </row>
    <row r="145" spans="2:84">
      <c r="B145" s="98"/>
      <c r="C145" s="98"/>
      <c r="D145" s="97"/>
      <c r="E145" s="97"/>
      <c r="F145" s="97"/>
      <c r="G145" s="97"/>
      <c r="H145" s="97"/>
      <c r="I145" s="97"/>
      <c r="J145" s="97"/>
      <c r="K145" s="97"/>
      <c r="L145" s="97"/>
      <c r="M145" s="97"/>
      <c r="N145" s="99"/>
      <c r="O145" s="97"/>
      <c r="P145" s="99"/>
      <c r="Q145" s="97"/>
      <c r="R145" s="97"/>
      <c r="S145" s="97"/>
      <c r="T145" s="97"/>
      <c r="U145" s="97"/>
      <c r="V145" s="97"/>
      <c r="W145" s="97"/>
      <c r="X145" s="97"/>
      <c r="Y145" s="97"/>
      <c r="Z145" s="97"/>
      <c r="AA145" s="97"/>
      <c r="AB145" s="97"/>
      <c r="AC145" s="97"/>
      <c r="AD145" s="107"/>
      <c r="AE145" s="107"/>
      <c r="AF145" s="107"/>
      <c r="AG145" s="107"/>
      <c r="AH145" s="107"/>
      <c r="AI145" s="107"/>
      <c r="AJ145" s="107"/>
      <c r="AK145" s="107"/>
      <c r="AL145" s="107"/>
      <c r="AM145" s="107"/>
      <c r="AN145" s="107"/>
      <c r="AO145" s="107"/>
      <c r="AP145" s="107"/>
      <c r="AQ145" s="107"/>
      <c r="AR145" s="107"/>
      <c r="AS145" s="107"/>
      <c r="AT145" s="107"/>
      <c r="AU145" s="107"/>
      <c r="AV145" s="107"/>
      <c r="AW145" s="107"/>
      <c r="AX145" s="107"/>
      <c r="AY145" s="107"/>
      <c r="AZ145" s="107"/>
      <c r="BA145" s="107"/>
      <c r="BB145" s="107"/>
      <c r="BC145" s="107"/>
      <c r="BD145" s="107"/>
      <c r="BE145" s="107"/>
      <c r="BF145" s="107"/>
      <c r="BG145" s="107"/>
      <c r="BH145" s="107"/>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row>
    <row r="146" spans="2:84">
      <c r="B146" s="98"/>
      <c r="C146" s="98"/>
      <c r="D146" s="97"/>
      <c r="E146" s="97"/>
      <c r="F146" s="97"/>
      <c r="G146" s="97"/>
      <c r="H146" s="97"/>
      <c r="I146" s="97"/>
      <c r="J146" s="97"/>
      <c r="K146" s="97"/>
      <c r="L146" s="97"/>
      <c r="M146" s="97"/>
      <c r="N146" s="99"/>
      <c r="O146" s="97"/>
      <c r="P146" s="99"/>
      <c r="Q146" s="97"/>
      <c r="R146" s="97"/>
      <c r="S146" s="97"/>
      <c r="T146" s="97"/>
      <c r="U146" s="97"/>
      <c r="V146" s="97"/>
      <c r="W146" s="97"/>
      <c r="X146" s="97"/>
      <c r="Y146" s="97"/>
      <c r="Z146" s="97"/>
      <c r="AA146" s="97"/>
      <c r="AB146" s="97"/>
      <c r="AC146" s="97"/>
      <c r="AD146" s="107"/>
      <c r="AE146" s="107"/>
      <c r="AF146" s="107"/>
      <c r="AG146" s="107"/>
      <c r="AH146" s="107"/>
      <c r="AI146" s="107"/>
      <c r="AJ146" s="107"/>
      <c r="AK146" s="107"/>
      <c r="AL146" s="107"/>
      <c r="AM146" s="107"/>
      <c r="AN146" s="107"/>
      <c r="AO146" s="107"/>
      <c r="AP146" s="107"/>
      <c r="AQ146" s="107"/>
      <c r="AR146" s="107"/>
      <c r="AS146" s="107"/>
      <c r="AT146" s="107"/>
      <c r="AU146" s="107"/>
      <c r="AV146" s="107"/>
      <c r="AW146" s="107"/>
      <c r="AX146" s="107"/>
      <c r="AY146" s="107"/>
      <c r="AZ146" s="107"/>
      <c r="BA146" s="107"/>
      <c r="BB146" s="107"/>
      <c r="BC146" s="107"/>
      <c r="BD146" s="107"/>
      <c r="BE146" s="107"/>
      <c r="BF146" s="107"/>
      <c r="BG146" s="107"/>
      <c r="BH146" s="107"/>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07"/>
      <c r="CE146" s="107"/>
      <c r="CF146" s="107"/>
    </row>
    <row r="147" spans="2:84">
      <c r="B147" s="98"/>
      <c r="C147" s="98"/>
      <c r="D147" s="97"/>
      <c r="E147" s="97"/>
      <c r="F147" s="97"/>
      <c r="G147" s="97"/>
      <c r="H147" s="97"/>
      <c r="I147" s="97"/>
      <c r="J147" s="97"/>
      <c r="K147" s="97"/>
      <c r="L147" s="97"/>
      <c r="M147" s="97"/>
      <c r="N147" s="99"/>
      <c r="O147" s="97"/>
      <c r="P147" s="99"/>
      <c r="Q147" s="97"/>
      <c r="R147" s="97"/>
      <c r="S147" s="97"/>
      <c r="T147" s="97"/>
      <c r="U147" s="97"/>
      <c r="V147" s="97"/>
      <c r="W147" s="97"/>
      <c r="X147" s="97"/>
      <c r="Y147" s="97"/>
      <c r="Z147" s="97"/>
      <c r="AA147" s="97"/>
      <c r="AB147" s="97"/>
      <c r="AC147" s="97"/>
      <c r="AD147" s="107"/>
      <c r="AE147" s="107"/>
      <c r="AF147" s="107"/>
      <c r="AG147" s="107"/>
      <c r="AH147" s="107"/>
      <c r="AI147" s="107"/>
      <c r="AJ147" s="107"/>
      <c r="AK147" s="107"/>
      <c r="AL147" s="107"/>
      <c r="AM147" s="107"/>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row>
    <row r="148" spans="2:84">
      <c r="B148" s="98"/>
      <c r="C148" s="98"/>
      <c r="D148" s="97"/>
      <c r="E148" s="97"/>
      <c r="F148" s="97"/>
      <c r="G148" s="97"/>
      <c r="H148" s="97"/>
      <c r="I148" s="97"/>
      <c r="J148" s="97"/>
      <c r="K148" s="97"/>
      <c r="L148" s="97"/>
      <c r="M148" s="97"/>
      <c r="N148" s="99"/>
      <c r="O148" s="97"/>
      <c r="P148" s="99"/>
      <c r="Q148" s="97"/>
      <c r="R148" s="97"/>
      <c r="S148" s="97"/>
      <c r="T148" s="97"/>
      <c r="U148" s="97"/>
      <c r="V148" s="97"/>
      <c r="W148" s="97"/>
      <c r="X148" s="97"/>
      <c r="Y148" s="97"/>
      <c r="Z148" s="97"/>
      <c r="AA148" s="97"/>
      <c r="AB148" s="97"/>
      <c r="AC148" s="97"/>
      <c r="AD148" s="107"/>
      <c r="AE148" s="107"/>
      <c r="AF148" s="107"/>
      <c r="AG148" s="107"/>
      <c r="AH148" s="107"/>
      <c r="AI148" s="107"/>
      <c r="AJ148" s="107"/>
      <c r="AK148" s="107"/>
      <c r="AL148" s="107"/>
      <c r="AM148" s="107"/>
      <c r="AN148" s="107"/>
      <c r="AO148" s="107"/>
      <c r="AP148" s="107"/>
      <c r="AQ148" s="107"/>
      <c r="AR148" s="107"/>
      <c r="AS148" s="107"/>
      <c r="AT148" s="107"/>
      <c r="AU148" s="107"/>
      <c r="AV148" s="107"/>
      <c r="AW148" s="107"/>
      <c r="AX148" s="107"/>
      <c r="AY148" s="107"/>
      <c r="AZ148" s="107"/>
      <c r="BA148" s="107"/>
      <c r="BB148" s="107"/>
      <c r="BC148" s="107"/>
      <c r="BD148" s="107"/>
      <c r="BE148" s="107"/>
      <c r="BF148" s="107"/>
      <c r="BG148" s="107"/>
      <c r="BH148" s="107"/>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c r="CC148" s="107"/>
      <c r="CD148" s="107"/>
      <c r="CE148" s="107"/>
      <c r="CF148" s="107"/>
    </row>
    <row r="149" spans="2:84">
      <c r="B149" s="98"/>
      <c r="C149" s="98"/>
      <c r="D149" s="97"/>
      <c r="E149" s="97"/>
      <c r="F149" s="97"/>
      <c r="G149" s="97"/>
      <c r="H149" s="97"/>
      <c r="I149" s="97"/>
      <c r="J149" s="97"/>
      <c r="K149" s="97"/>
      <c r="L149" s="97"/>
      <c r="M149" s="97"/>
      <c r="N149" s="99"/>
      <c r="O149" s="97"/>
      <c r="P149" s="99"/>
      <c r="Q149" s="97"/>
      <c r="R149" s="97"/>
      <c r="S149" s="97"/>
      <c r="T149" s="97"/>
      <c r="U149" s="97"/>
      <c r="V149" s="97"/>
      <c r="W149" s="97"/>
      <c r="X149" s="97"/>
      <c r="Y149" s="97"/>
      <c r="Z149" s="97"/>
      <c r="AA149" s="97"/>
      <c r="AB149" s="97"/>
      <c r="AC149" s="97"/>
      <c r="AD149" s="107"/>
      <c r="AE149" s="107"/>
      <c r="AF149" s="107"/>
      <c r="AG149" s="107"/>
      <c r="AH149" s="107"/>
      <c r="AI149" s="107"/>
      <c r="AJ149" s="107"/>
      <c r="AK149" s="107"/>
      <c r="AL149" s="107"/>
      <c r="AM149" s="107"/>
      <c r="AN149" s="107"/>
      <c r="AO149" s="107"/>
      <c r="AP149" s="107"/>
      <c r="AQ149" s="107"/>
      <c r="AR149" s="107"/>
      <c r="AS149" s="107"/>
      <c r="AT149" s="107"/>
      <c r="AU149" s="107"/>
      <c r="AV149" s="107"/>
      <c r="AW149" s="107"/>
      <c r="AX149" s="107"/>
      <c r="AY149" s="107"/>
      <c r="AZ149" s="107"/>
      <c r="BA149" s="107"/>
      <c r="BB149" s="107"/>
      <c r="BC149" s="107"/>
      <c r="BD149" s="107"/>
      <c r="BE149" s="107"/>
      <c r="BF149" s="107"/>
      <c r="BG149" s="107"/>
      <c r="BH149" s="107"/>
      <c r="BI149" s="107"/>
      <c r="BJ149" s="107"/>
      <c r="BK149" s="107"/>
      <c r="BL149" s="107"/>
      <c r="BM149" s="107"/>
      <c r="BN149" s="107"/>
      <c r="BO149" s="107"/>
      <c r="BP149" s="107"/>
      <c r="BQ149" s="107"/>
      <c r="BR149" s="107"/>
      <c r="BS149" s="107"/>
      <c r="BT149" s="107"/>
      <c r="BU149" s="107"/>
      <c r="BV149" s="107"/>
      <c r="BW149" s="107"/>
      <c r="BX149" s="107"/>
      <c r="BY149" s="107"/>
      <c r="BZ149" s="107"/>
      <c r="CA149" s="107"/>
      <c r="CB149" s="107"/>
      <c r="CC149" s="107"/>
      <c r="CD149" s="107"/>
      <c r="CE149" s="107"/>
      <c r="CF149" s="107"/>
    </row>
    <row r="150" spans="2:84">
      <c r="B150" s="98"/>
      <c r="C150" s="98"/>
      <c r="D150" s="97"/>
      <c r="E150" s="97"/>
      <c r="F150" s="97"/>
      <c r="G150" s="97"/>
      <c r="H150" s="97"/>
      <c r="I150" s="97"/>
      <c r="J150" s="97"/>
      <c r="K150" s="97"/>
      <c r="L150" s="97"/>
      <c r="M150" s="97"/>
      <c r="N150" s="99"/>
      <c r="O150" s="97"/>
      <c r="P150" s="99"/>
      <c r="Q150" s="97"/>
      <c r="R150" s="97"/>
      <c r="S150" s="97"/>
      <c r="T150" s="97"/>
      <c r="U150" s="97"/>
      <c r="V150" s="97"/>
      <c r="W150" s="97"/>
      <c r="X150" s="97"/>
      <c r="Y150" s="97"/>
      <c r="Z150" s="97"/>
      <c r="AA150" s="97"/>
      <c r="AB150" s="97"/>
      <c r="AC150" s="97"/>
      <c r="AD150" s="107"/>
      <c r="AE150" s="107"/>
      <c r="AF150" s="107"/>
      <c r="AG150" s="107"/>
      <c r="AH150" s="107"/>
      <c r="AI150" s="107"/>
      <c r="AJ150" s="107"/>
      <c r="AK150" s="107"/>
      <c r="AL150" s="107"/>
      <c r="AM150" s="107"/>
      <c r="AN150" s="107"/>
      <c r="AO150" s="107"/>
      <c r="AP150" s="107"/>
      <c r="AQ150" s="107"/>
      <c r="AR150" s="107"/>
      <c r="AS150" s="107"/>
      <c r="AT150" s="107"/>
      <c r="AU150" s="107"/>
      <c r="AV150" s="107"/>
      <c r="AW150" s="107"/>
      <c r="AX150" s="107"/>
      <c r="AY150" s="107"/>
      <c r="AZ150" s="107"/>
      <c r="BA150" s="107"/>
      <c r="BB150" s="107"/>
      <c r="BC150" s="107"/>
      <c r="BD150" s="107"/>
      <c r="BE150" s="107"/>
      <c r="BF150" s="107"/>
      <c r="BG150" s="107"/>
      <c r="BH150" s="107"/>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c r="CC150" s="107"/>
      <c r="CD150" s="107"/>
      <c r="CE150" s="107"/>
      <c r="CF150" s="107"/>
    </row>
    <row r="151" spans="2:84">
      <c r="B151" s="98"/>
      <c r="C151" s="98"/>
      <c r="D151" s="97"/>
      <c r="E151" s="97"/>
      <c r="F151" s="97"/>
      <c r="G151" s="97"/>
      <c r="H151" s="97"/>
      <c r="I151" s="97"/>
      <c r="J151" s="97"/>
      <c r="K151" s="97"/>
      <c r="L151" s="97"/>
      <c r="M151" s="97"/>
      <c r="N151" s="99"/>
      <c r="O151" s="97"/>
      <c r="P151" s="99"/>
      <c r="Q151" s="97"/>
      <c r="R151" s="97"/>
      <c r="S151" s="97"/>
      <c r="T151" s="97"/>
      <c r="U151" s="97"/>
      <c r="V151" s="97"/>
      <c r="W151" s="97"/>
      <c r="X151" s="97"/>
      <c r="Y151" s="97"/>
      <c r="Z151" s="97"/>
      <c r="AA151" s="97"/>
      <c r="AB151" s="97"/>
      <c r="AC151" s="97"/>
      <c r="AD151" s="107"/>
      <c r="AE151" s="107"/>
      <c r="AF151" s="107"/>
      <c r="AG151" s="107"/>
      <c r="AH151" s="107"/>
      <c r="AI151" s="107"/>
      <c r="AJ151" s="107"/>
      <c r="AK151" s="107"/>
      <c r="AL151" s="107"/>
      <c r="AM151" s="107"/>
      <c r="AN151" s="107"/>
      <c r="AO151" s="107"/>
      <c r="AP151" s="107"/>
      <c r="AQ151" s="107"/>
      <c r="AR151" s="107"/>
      <c r="AS151" s="107"/>
      <c r="AT151" s="107"/>
      <c r="AU151" s="107"/>
      <c r="AV151" s="107"/>
      <c r="AW151" s="107"/>
      <c r="AX151" s="107"/>
      <c r="AY151" s="107"/>
      <c r="AZ151" s="107"/>
      <c r="BA151" s="107"/>
      <c r="BB151" s="107"/>
      <c r="BC151" s="107"/>
      <c r="BD151" s="107"/>
      <c r="BE151" s="107"/>
      <c r="BF151" s="107"/>
      <c r="BG151" s="107"/>
      <c r="BH151" s="107"/>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c r="CC151" s="107"/>
      <c r="CD151" s="107"/>
      <c r="CE151" s="107"/>
      <c r="CF151" s="107"/>
    </row>
    <row r="152" spans="2:84">
      <c r="B152" s="98"/>
      <c r="C152" s="98"/>
      <c r="D152" s="97"/>
      <c r="E152" s="97"/>
      <c r="F152" s="97"/>
      <c r="G152" s="97"/>
      <c r="H152" s="97"/>
      <c r="I152" s="97"/>
      <c r="J152" s="97"/>
      <c r="K152" s="97"/>
      <c r="L152" s="97"/>
      <c r="M152" s="97"/>
      <c r="N152" s="99"/>
      <c r="O152" s="97"/>
      <c r="P152" s="99"/>
      <c r="Q152" s="97"/>
      <c r="R152" s="97"/>
      <c r="S152" s="97"/>
      <c r="T152" s="97"/>
      <c r="U152" s="97"/>
      <c r="V152" s="97"/>
      <c r="W152" s="97"/>
      <c r="X152" s="97"/>
      <c r="Y152" s="97"/>
      <c r="Z152" s="97"/>
      <c r="AA152" s="97"/>
      <c r="AB152" s="97"/>
      <c r="AC152" s="9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07"/>
      <c r="CE152" s="107"/>
      <c r="CF152" s="107"/>
    </row>
    <row r="153" spans="2:84">
      <c r="B153" s="98"/>
      <c r="C153" s="98"/>
      <c r="D153" s="97"/>
      <c r="E153" s="97"/>
      <c r="F153" s="97"/>
      <c r="G153" s="97"/>
      <c r="H153" s="97"/>
      <c r="I153" s="97"/>
      <c r="J153" s="97"/>
      <c r="K153" s="97"/>
      <c r="L153" s="97"/>
      <c r="M153" s="97"/>
      <c r="N153" s="99"/>
      <c r="O153" s="97"/>
      <c r="P153" s="99"/>
      <c r="Q153" s="97"/>
      <c r="R153" s="97"/>
      <c r="S153" s="97"/>
      <c r="T153" s="97"/>
      <c r="U153" s="97"/>
      <c r="V153" s="97"/>
      <c r="W153" s="97"/>
      <c r="X153" s="97"/>
      <c r="Y153" s="97"/>
      <c r="Z153" s="97"/>
      <c r="AA153" s="97"/>
      <c r="AB153" s="97"/>
      <c r="AC153" s="97"/>
      <c r="AD153" s="107"/>
      <c r="AE153" s="107"/>
      <c r="AF153" s="107"/>
      <c r="AG153" s="107"/>
      <c r="AH153" s="107"/>
      <c r="AI153" s="107"/>
      <c r="AJ153" s="107"/>
      <c r="AK153" s="107"/>
      <c r="AL153" s="107"/>
      <c r="AM153" s="107"/>
      <c r="AN153" s="107"/>
      <c r="AO153" s="107"/>
      <c r="AP153" s="107"/>
      <c r="AQ153" s="107"/>
      <c r="AR153" s="107"/>
      <c r="AS153" s="107"/>
      <c r="AT153" s="107"/>
      <c r="AU153" s="107"/>
      <c r="AV153" s="107"/>
      <c r="AW153" s="107"/>
      <c r="AX153" s="107"/>
      <c r="AY153" s="107"/>
      <c r="AZ153" s="107"/>
      <c r="BA153" s="107"/>
      <c r="BB153" s="107"/>
      <c r="BC153" s="107"/>
      <c r="BD153" s="107"/>
      <c r="BE153" s="107"/>
      <c r="BF153" s="107"/>
      <c r="BG153" s="107"/>
      <c r="BH153" s="107"/>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row>
    <row r="154" spans="2:84">
      <c r="B154" s="98"/>
      <c r="C154" s="98"/>
      <c r="D154" s="97"/>
      <c r="E154" s="97"/>
      <c r="F154" s="97"/>
      <c r="G154" s="97"/>
      <c r="H154" s="97"/>
      <c r="I154" s="97"/>
      <c r="J154" s="97"/>
      <c r="K154" s="97"/>
      <c r="L154" s="97"/>
      <c r="M154" s="97"/>
      <c r="N154" s="99"/>
      <c r="O154" s="97"/>
      <c r="P154" s="99"/>
      <c r="Q154" s="97"/>
      <c r="R154" s="97"/>
      <c r="S154" s="97"/>
      <c r="T154" s="97"/>
      <c r="U154" s="97"/>
      <c r="V154" s="97"/>
      <c r="W154" s="97"/>
      <c r="X154" s="97"/>
      <c r="Y154" s="97"/>
      <c r="Z154" s="97"/>
      <c r="AA154" s="97"/>
      <c r="AB154" s="97"/>
      <c r="AC154" s="97"/>
      <c r="AD154" s="107"/>
      <c r="AE154" s="107"/>
      <c r="AF154" s="107"/>
      <c r="AG154" s="107"/>
      <c r="AH154" s="107"/>
      <c r="AI154" s="107"/>
      <c r="AJ154" s="107"/>
      <c r="AK154" s="107"/>
      <c r="AL154" s="107"/>
      <c r="AM154" s="107"/>
      <c r="AN154" s="107"/>
      <c r="AO154" s="107"/>
      <c r="AP154" s="107"/>
      <c r="AQ154" s="107"/>
      <c r="AR154" s="107"/>
      <c r="AS154" s="107"/>
      <c r="AT154" s="107"/>
      <c r="AU154" s="107"/>
      <c r="AV154" s="107"/>
      <c r="AW154" s="107"/>
      <c r="AX154" s="107"/>
      <c r="AY154" s="107"/>
      <c r="AZ154" s="107"/>
      <c r="BA154" s="107"/>
      <c r="BB154" s="107"/>
      <c r="BC154" s="107"/>
      <c r="BD154" s="107"/>
      <c r="BE154" s="107"/>
      <c r="BF154" s="107"/>
      <c r="BG154" s="107"/>
      <c r="BH154" s="107"/>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row>
    <row r="155" spans="2:84">
      <c r="B155" s="98"/>
      <c r="C155" s="98"/>
      <c r="D155" s="97"/>
      <c r="E155" s="97"/>
      <c r="F155" s="97"/>
      <c r="G155" s="97"/>
      <c r="H155" s="97"/>
      <c r="I155" s="97"/>
      <c r="J155" s="97"/>
      <c r="K155" s="97"/>
      <c r="L155" s="97"/>
      <c r="M155" s="97"/>
      <c r="N155" s="99"/>
      <c r="O155" s="97"/>
      <c r="P155" s="99"/>
      <c r="Q155" s="97"/>
      <c r="R155" s="97"/>
      <c r="S155" s="97"/>
      <c r="T155" s="97"/>
      <c r="U155" s="97"/>
      <c r="V155" s="97"/>
      <c r="W155" s="97"/>
      <c r="X155" s="97"/>
      <c r="Y155" s="97"/>
      <c r="Z155" s="97"/>
      <c r="AA155" s="97"/>
      <c r="AB155" s="97"/>
      <c r="AC155" s="97"/>
      <c r="AD155" s="107"/>
      <c r="AE155" s="107"/>
      <c r="AF155" s="107"/>
      <c r="AG155" s="107"/>
      <c r="AH155" s="107"/>
      <c r="AI155" s="107"/>
      <c r="AJ155" s="107"/>
      <c r="AK155" s="107"/>
      <c r="AL155" s="107"/>
      <c r="AM155" s="107"/>
      <c r="AN155" s="107"/>
      <c r="AO155" s="107"/>
      <c r="AP155" s="107"/>
      <c r="AQ155" s="107"/>
      <c r="AR155" s="107"/>
      <c r="AS155" s="107"/>
      <c r="AT155" s="107"/>
      <c r="AU155" s="107"/>
      <c r="AV155" s="107"/>
      <c r="AW155" s="107"/>
      <c r="AX155" s="107"/>
      <c r="AY155" s="107"/>
      <c r="AZ155" s="107"/>
      <c r="BA155" s="107"/>
      <c r="BB155" s="107"/>
      <c r="BC155" s="107"/>
      <c r="BD155" s="107"/>
      <c r="BE155" s="107"/>
      <c r="BF155" s="107"/>
      <c r="BG155" s="107"/>
      <c r="BH155" s="107"/>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c r="CC155" s="107"/>
      <c r="CD155" s="107"/>
      <c r="CE155" s="107"/>
      <c r="CF155" s="107"/>
    </row>
    <row r="156" spans="2:84">
      <c r="B156" s="98"/>
      <c r="C156" s="98"/>
      <c r="D156" s="97"/>
      <c r="E156" s="97"/>
      <c r="F156" s="97"/>
      <c r="G156" s="97"/>
      <c r="H156" s="97"/>
      <c r="I156" s="97"/>
      <c r="J156" s="97"/>
      <c r="K156" s="97"/>
      <c r="L156" s="97"/>
      <c r="M156" s="97"/>
      <c r="N156" s="99"/>
      <c r="O156" s="97"/>
      <c r="P156" s="99"/>
      <c r="Q156" s="97"/>
      <c r="R156" s="97"/>
      <c r="S156" s="97"/>
      <c r="T156" s="97"/>
      <c r="U156" s="97"/>
      <c r="V156" s="97"/>
      <c r="W156" s="97"/>
      <c r="X156" s="97"/>
      <c r="Y156" s="97"/>
      <c r="Z156" s="97"/>
      <c r="AA156" s="97"/>
      <c r="AB156" s="97"/>
      <c r="AC156" s="97"/>
      <c r="AD156" s="107"/>
      <c r="AE156" s="107"/>
      <c r="AF156" s="107"/>
      <c r="AG156" s="107"/>
      <c r="AH156" s="107"/>
      <c r="AI156" s="107"/>
      <c r="AJ156" s="107"/>
      <c r="AK156" s="107"/>
      <c r="AL156" s="107"/>
      <c r="AM156" s="107"/>
      <c r="AN156" s="107"/>
      <c r="AO156" s="107"/>
      <c r="AP156" s="107"/>
      <c r="AQ156" s="107"/>
      <c r="AR156" s="107"/>
      <c r="AS156" s="107"/>
      <c r="AT156" s="107"/>
      <c r="AU156" s="107"/>
      <c r="AV156" s="107"/>
      <c r="AW156" s="107"/>
      <c r="AX156" s="107"/>
      <c r="AY156" s="107"/>
      <c r="AZ156" s="107"/>
      <c r="BA156" s="107"/>
      <c r="BB156" s="107"/>
      <c r="BC156" s="107"/>
      <c r="BD156" s="107"/>
      <c r="BE156" s="107"/>
      <c r="BF156" s="107"/>
      <c r="BG156" s="107"/>
      <c r="BH156" s="107"/>
      <c r="BI156" s="107"/>
      <c r="BJ156" s="107"/>
      <c r="BK156" s="107"/>
      <c r="BL156" s="107"/>
      <c r="BM156" s="107"/>
      <c r="BN156" s="107"/>
      <c r="BO156" s="107"/>
      <c r="BP156" s="107"/>
      <c r="BQ156" s="107"/>
      <c r="BR156" s="107"/>
      <c r="BS156" s="107"/>
      <c r="BT156" s="107"/>
      <c r="BU156" s="107"/>
      <c r="BV156" s="107"/>
      <c r="BW156" s="107"/>
      <c r="BX156" s="107"/>
      <c r="BY156" s="107"/>
      <c r="BZ156" s="107"/>
      <c r="CA156" s="107"/>
      <c r="CB156" s="107"/>
      <c r="CC156" s="107"/>
      <c r="CD156" s="107"/>
      <c r="CE156" s="107"/>
      <c r="CF156" s="107"/>
    </row>
    <row r="157" spans="2:84">
      <c r="B157" s="98"/>
      <c r="C157" s="98"/>
      <c r="D157" s="97"/>
      <c r="E157" s="97"/>
      <c r="F157" s="97"/>
      <c r="G157" s="97"/>
      <c r="H157" s="97"/>
      <c r="I157" s="97"/>
      <c r="J157" s="97"/>
      <c r="K157" s="97"/>
      <c r="L157" s="97"/>
      <c r="M157" s="97"/>
      <c r="N157" s="99"/>
      <c r="O157" s="97"/>
      <c r="P157" s="99"/>
      <c r="Q157" s="97"/>
      <c r="R157" s="97"/>
      <c r="S157" s="97"/>
      <c r="T157" s="97"/>
      <c r="U157" s="97"/>
      <c r="V157" s="97"/>
      <c r="W157" s="97"/>
      <c r="X157" s="97"/>
      <c r="Y157" s="97"/>
      <c r="Z157" s="97"/>
      <c r="AA157" s="97"/>
      <c r="AB157" s="97"/>
      <c r="AC157" s="97"/>
      <c r="AD157" s="107"/>
      <c r="AE157" s="107"/>
      <c r="AF157" s="107"/>
      <c r="AG157" s="107"/>
      <c r="AH157" s="107"/>
      <c r="AI157" s="107"/>
      <c r="AJ157" s="107"/>
      <c r="AK157" s="107"/>
      <c r="AL157" s="107"/>
      <c r="AM157" s="107"/>
      <c r="AN157" s="107"/>
      <c r="AO157" s="107"/>
      <c r="AP157" s="107"/>
      <c r="AQ157" s="107"/>
      <c r="AR157" s="107"/>
      <c r="AS157" s="107"/>
      <c r="AT157" s="107"/>
      <c r="AU157" s="107"/>
      <c r="AV157" s="107"/>
      <c r="AW157" s="107"/>
      <c r="AX157" s="107"/>
      <c r="AY157" s="107"/>
      <c r="AZ157" s="107"/>
      <c r="BA157" s="107"/>
      <c r="BB157" s="107"/>
      <c r="BC157" s="107"/>
      <c r="BD157" s="107"/>
      <c r="BE157" s="107"/>
      <c r="BF157" s="107"/>
      <c r="BG157" s="107"/>
      <c r="BH157" s="107"/>
      <c r="BI157" s="107"/>
      <c r="BJ157" s="107"/>
      <c r="BK157" s="107"/>
      <c r="BL157" s="107"/>
      <c r="BM157" s="107"/>
      <c r="BN157" s="107"/>
      <c r="BO157" s="107"/>
      <c r="BP157" s="107"/>
      <c r="BQ157" s="107"/>
      <c r="BR157" s="107"/>
      <c r="BS157" s="107"/>
      <c r="BT157" s="107"/>
      <c r="BU157" s="107"/>
      <c r="BV157" s="107"/>
      <c r="BW157" s="107"/>
      <c r="BX157" s="107"/>
      <c r="BY157" s="107"/>
      <c r="BZ157" s="107"/>
      <c r="CA157" s="107"/>
      <c r="CB157" s="107"/>
      <c r="CC157" s="107"/>
      <c r="CD157" s="107"/>
      <c r="CE157" s="107"/>
      <c r="CF157" s="107"/>
    </row>
    <row r="158" spans="2:84">
      <c r="B158" s="98"/>
      <c r="C158" s="98"/>
      <c r="D158" s="97"/>
      <c r="E158" s="97"/>
      <c r="F158" s="97"/>
      <c r="G158" s="97"/>
      <c r="H158" s="97"/>
      <c r="I158" s="97"/>
      <c r="J158" s="97"/>
      <c r="K158" s="97"/>
      <c r="L158" s="97"/>
      <c r="M158" s="97"/>
      <c r="N158" s="99"/>
      <c r="O158" s="97"/>
      <c r="P158" s="99"/>
      <c r="Q158" s="97"/>
      <c r="R158" s="97"/>
      <c r="S158" s="97"/>
      <c r="T158" s="97"/>
      <c r="U158" s="97"/>
      <c r="V158" s="97"/>
      <c r="W158" s="97"/>
      <c r="X158" s="97"/>
      <c r="Y158" s="97"/>
      <c r="Z158" s="97"/>
      <c r="AA158" s="97"/>
      <c r="AB158" s="97"/>
      <c r="AC158" s="97"/>
      <c r="AD158" s="107"/>
      <c r="AE158" s="107"/>
      <c r="AF158" s="107"/>
      <c r="AG158" s="107"/>
      <c r="AH158" s="107"/>
      <c r="AI158" s="107"/>
      <c r="AJ158" s="107"/>
      <c r="AK158" s="107"/>
      <c r="AL158" s="107"/>
      <c r="AM158" s="107"/>
      <c r="AN158" s="107"/>
      <c r="AO158" s="107"/>
      <c r="AP158" s="107"/>
      <c r="AQ158" s="107"/>
      <c r="AR158" s="107"/>
      <c r="AS158" s="107"/>
      <c r="AT158" s="107"/>
      <c r="AU158" s="107"/>
      <c r="AV158" s="107"/>
      <c r="AW158" s="107"/>
      <c r="AX158" s="107"/>
      <c r="AY158" s="107"/>
      <c r="AZ158" s="107"/>
      <c r="BA158" s="107"/>
      <c r="BB158" s="107"/>
      <c r="BC158" s="107"/>
      <c r="BD158" s="107"/>
      <c r="BE158" s="107"/>
      <c r="BF158" s="107"/>
      <c r="BG158" s="107"/>
      <c r="BH158" s="107"/>
      <c r="BI158" s="107"/>
      <c r="BJ158" s="107"/>
      <c r="BK158" s="107"/>
      <c r="BL158" s="107"/>
      <c r="BM158" s="107"/>
      <c r="BN158" s="107"/>
      <c r="BO158" s="107"/>
      <c r="BP158" s="107"/>
      <c r="BQ158" s="107"/>
      <c r="BR158" s="107"/>
      <c r="BS158" s="107"/>
      <c r="BT158" s="107"/>
      <c r="BU158" s="107"/>
      <c r="BV158" s="107"/>
      <c r="BW158" s="107"/>
      <c r="BX158" s="107"/>
      <c r="BY158" s="107"/>
      <c r="BZ158" s="107"/>
      <c r="CA158" s="107"/>
      <c r="CB158" s="107"/>
      <c r="CC158" s="107"/>
      <c r="CD158" s="107"/>
      <c r="CE158" s="107"/>
      <c r="CF158" s="107"/>
    </row>
    <row r="159" spans="2:84">
      <c r="B159" s="98"/>
      <c r="C159" s="98"/>
      <c r="D159" s="97"/>
      <c r="E159" s="97"/>
      <c r="F159" s="97"/>
      <c r="G159" s="97"/>
      <c r="H159" s="97"/>
      <c r="I159" s="97"/>
      <c r="J159" s="97"/>
      <c r="K159" s="97"/>
      <c r="L159" s="97"/>
      <c r="M159" s="97"/>
      <c r="N159" s="99"/>
      <c r="O159" s="97"/>
      <c r="P159" s="99"/>
      <c r="Q159" s="97"/>
      <c r="R159" s="97"/>
      <c r="S159" s="97"/>
      <c r="T159" s="97"/>
      <c r="U159" s="97"/>
      <c r="V159" s="97"/>
      <c r="W159" s="97"/>
      <c r="X159" s="97"/>
      <c r="Y159" s="97"/>
      <c r="Z159" s="97"/>
      <c r="AA159" s="97"/>
      <c r="AB159" s="97"/>
      <c r="AC159" s="97"/>
      <c r="AD159" s="107"/>
      <c r="AE159" s="107"/>
      <c r="AF159" s="107"/>
      <c r="AG159" s="107"/>
      <c r="AH159" s="107"/>
      <c r="AI159" s="107"/>
      <c r="AJ159" s="107"/>
      <c r="AK159" s="107"/>
      <c r="AL159" s="107"/>
      <c r="AM159" s="107"/>
      <c r="AN159" s="107"/>
      <c r="AO159" s="107"/>
      <c r="AP159" s="107"/>
      <c r="AQ159" s="107"/>
      <c r="AR159" s="107"/>
      <c r="AS159" s="107"/>
      <c r="AT159" s="107"/>
      <c r="AU159" s="107"/>
      <c r="AV159" s="107"/>
      <c r="AW159" s="107"/>
      <c r="AX159" s="107"/>
      <c r="AY159" s="107"/>
      <c r="AZ159" s="107"/>
      <c r="BA159" s="107"/>
      <c r="BB159" s="107"/>
      <c r="BC159" s="107"/>
      <c r="BD159" s="107"/>
      <c r="BE159" s="107"/>
      <c r="BF159" s="107"/>
      <c r="BG159" s="107"/>
      <c r="BH159" s="107"/>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c r="CC159" s="107"/>
      <c r="CD159" s="107"/>
      <c r="CE159" s="107"/>
      <c r="CF159" s="107"/>
    </row>
    <row r="160" spans="2:84">
      <c r="B160" s="98"/>
      <c r="C160" s="98"/>
      <c r="D160" s="97"/>
      <c r="E160" s="97"/>
      <c r="F160" s="97"/>
      <c r="G160" s="97"/>
      <c r="H160" s="97"/>
      <c r="I160" s="97"/>
      <c r="J160" s="97"/>
      <c r="K160" s="97"/>
      <c r="L160" s="97"/>
      <c r="M160" s="97"/>
      <c r="N160" s="99"/>
      <c r="O160" s="97"/>
      <c r="P160" s="99"/>
      <c r="Q160" s="97"/>
      <c r="R160" s="97"/>
      <c r="S160" s="97"/>
      <c r="T160" s="97"/>
      <c r="U160" s="97"/>
      <c r="V160" s="97"/>
      <c r="W160" s="97"/>
      <c r="X160" s="97"/>
      <c r="Y160" s="97"/>
      <c r="Z160" s="97"/>
      <c r="AA160" s="97"/>
      <c r="AB160" s="97"/>
      <c r="AC160" s="97"/>
      <c r="AD160" s="107"/>
      <c r="AE160" s="107"/>
      <c r="AF160" s="107"/>
      <c r="AG160" s="107"/>
      <c r="AH160" s="107"/>
      <c r="AI160" s="107"/>
      <c r="AJ160" s="107"/>
      <c r="AK160" s="107"/>
      <c r="AL160" s="107"/>
      <c r="AM160" s="107"/>
      <c r="AN160" s="107"/>
      <c r="AO160" s="107"/>
      <c r="AP160" s="107"/>
      <c r="AQ160" s="107"/>
      <c r="AR160" s="107"/>
      <c r="AS160" s="107"/>
      <c r="AT160" s="107"/>
      <c r="AU160" s="107"/>
      <c r="AV160" s="107"/>
      <c r="AW160" s="107"/>
      <c r="AX160" s="107"/>
      <c r="AY160" s="107"/>
      <c r="AZ160" s="107"/>
      <c r="BA160" s="107"/>
      <c r="BB160" s="107"/>
      <c r="BC160" s="107"/>
      <c r="BD160" s="107"/>
      <c r="BE160" s="107"/>
      <c r="BF160" s="107"/>
      <c r="BG160" s="107"/>
      <c r="BH160" s="107"/>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07"/>
      <c r="CE160" s="107"/>
      <c r="CF160" s="107"/>
    </row>
    <row r="161" spans="2:84">
      <c r="B161" s="98"/>
      <c r="C161" s="98"/>
      <c r="D161" s="97"/>
      <c r="E161" s="97"/>
      <c r="F161" s="97"/>
      <c r="G161" s="97"/>
      <c r="H161" s="97"/>
      <c r="I161" s="97"/>
      <c r="J161" s="97"/>
      <c r="K161" s="97"/>
      <c r="L161" s="97"/>
      <c r="M161" s="97"/>
      <c r="N161" s="99"/>
      <c r="O161" s="97"/>
      <c r="P161" s="99"/>
      <c r="Q161" s="97"/>
      <c r="R161" s="97"/>
      <c r="S161" s="97"/>
      <c r="T161" s="97"/>
      <c r="U161" s="97"/>
      <c r="V161" s="97"/>
      <c r="W161" s="97"/>
      <c r="X161" s="97"/>
      <c r="Y161" s="97"/>
      <c r="Z161" s="97"/>
      <c r="AA161" s="97"/>
      <c r="AB161" s="97"/>
      <c r="AC161" s="97"/>
      <c r="AD161" s="107"/>
      <c r="AE161" s="107"/>
      <c r="AF161" s="107"/>
      <c r="AG161" s="107"/>
      <c r="AH161" s="107"/>
      <c r="AI161" s="107"/>
      <c r="AJ161" s="107"/>
      <c r="AK161" s="107"/>
      <c r="AL161" s="107"/>
      <c r="AM161" s="107"/>
      <c r="AN161" s="107"/>
      <c r="AO161" s="107"/>
      <c r="AP161" s="107"/>
      <c r="AQ161" s="107"/>
      <c r="AR161" s="107"/>
      <c r="AS161" s="107"/>
      <c r="AT161" s="107"/>
      <c r="AU161" s="107"/>
      <c r="AV161" s="107"/>
      <c r="AW161" s="107"/>
      <c r="AX161" s="107"/>
      <c r="AY161" s="107"/>
      <c r="AZ161" s="107"/>
      <c r="BA161" s="107"/>
      <c r="BB161" s="107"/>
      <c r="BC161" s="107"/>
      <c r="BD161" s="107"/>
      <c r="BE161" s="107"/>
      <c r="BF161" s="107"/>
      <c r="BG161" s="107"/>
      <c r="BH161" s="107"/>
      <c r="BI161" s="107"/>
      <c r="BJ161" s="107"/>
      <c r="BK161" s="107"/>
      <c r="BL161" s="107"/>
      <c r="BM161" s="107"/>
      <c r="BN161" s="107"/>
      <c r="BO161" s="107"/>
      <c r="BP161" s="107"/>
      <c r="BQ161" s="107"/>
      <c r="BR161" s="107"/>
      <c r="BS161" s="107"/>
      <c r="BT161" s="107"/>
      <c r="BU161" s="107"/>
      <c r="BV161" s="107"/>
      <c r="BW161" s="107"/>
      <c r="BX161" s="107"/>
      <c r="BY161" s="107"/>
      <c r="BZ161" s="107"/>
      <c r="CA161" s="107"/>
      <c r="CB161" s="107"/>
      <c r="CC161" s="107"/>
      <c r="CD161" s="107"/>
      <c r="CE161" s="107"/>
      <c r="CF161" s="107"/>
    </row>
    <row r="162" spans="2:84">
      <c r="B162" s="98"/>
      <c r="C162" s="98"/>
      <c r="D162" s="97"/>
      <c r="E162" s="97"/>
      <c r="F162" s="97"/>
      <c r="G162" s="97"/>
      <c r="H162" s="97"/>
      <c r="I162" s="97"/>
      <c r="J162" s="97"/>
      <c r="K162" s="97"/>
      <c r="L162" s="97"/>
      <c r="M162" s="97"/>
      <c r="N162" s="99"/>
      <c r="O162" s="97"/>
      <c r="P162" s="99"/>
      <c r="Q162" s="97"/>
      <c r="R162" s="97"/>
      <c r="S162" s="97"/>
      <c r="T162" s="97"/>
      <c r="U162" s="97"/>
      <c r="V162" s="97"/>
      <c r="W162" s="97"/>
      <c r="X162" s="97"/>
      <c r="Y162" s="97"/>
      <c r="Z162" s="97"/>
      <c r="AA162" s="97"/>
      <c r="AB162" s="97"/>
      <c r="AC162" s="97"/>
      <c r="AD162" s="107"/>
      <c r="AE162" s="107"/>
      <c r="AF162" s="107"/>
      <c r="AG162" s="107"/>
      <c r="AH162" s="107"/>
      <c r="AI162" s="107"/>
      <c r="AJ162" s="107"/>
      <c r="AK162" s="107"/>
      <c r="AL162" s="107"/>
      <c r="AM162" s="107"/>
      <c r="AN162" s="107"/>
      <c r="AO162" s="107"/>
      <c r="AP162" s="107"/>
      <c r="AQ162" s="107"/>
      <c r="AR162" s="107"/>
      <c r="AS162" s="107"/>
      <c r="AT162" s="107"/>
      <c r="AU162" s="107"/>
      <c r="AV162" s="107"/>
      <c r="AW162" s="107"/>
      <c r="AX162" s="107"/>
      <c r="AY162" s="107"/>
      <c r="AZ162" s="107"/>
      <c r="BA162" s="107"/>
      <c r="BB162" s="107"/>
      <c r="BC162" s="107"/>
      <c r="BD162" s="107"/>
      <c r="BE162" s="107"/>
      <c r="BF162" s="107"/>
      <c r="BG162" s="107"/>
      <c r="BH162" s="107"/>
      <c r="BI162" s="107"/>
      <c r="BJ162" s="107"/>
      <c r="BK162" s="107"/>
      <c r="BL162" s="107"/>
      <c r="BM162" s="107"/>
      <c r="BN162" s="107"/>
      <c r="BO162" s="107"/>
      <c r="BP162" s="107"/>
      <c r="BQ162" s="107"/>
      <c r="BR162" s="107"/>
      <c r="BS162" s="107"/>
      <c r="BT162" s="107"/>
      <c r="BU162" s="107"/>
      <c r="BV162" s="107"/>
      <c r="BW162" s="107"/>
      <c r="BX162" s="107"/>
      <c r="BY162" s="107"/>
      <c r="BZ162" s="107"/>
      <c r="CA162" s="107"/>
      <c r="CB162" s="107"/>
      <c r="CC162" s="107"/>
      <c r="CD162" s="107"/>
      <c r="CE162" s="107"/>
      <c r="CF162" s="107"/>
    </row>
    <row r="163" spans="2:84">
      <c r="B163" s="98"/>
      <c r="C163" s="98"/>
      <c r="D163" s="97"/>
      <c r="E163" s="97"/>
      <c r="F163" s="97"/>
      <c r="G163" s="97"/>
      <c r="H163" s="97"/>
      <c r="I163" s="97"/>
      <c r="J163" s="97"/>
      <c r="K163" s="97"/>
      <c r="L163" s="97"/>
      <c r="M163" s="97"/>
      <c r="N163" s="99"/>
      <c r="O163" s="97"/>
      <c r="P163" s="99"/>
      <c r="Q163" s="97"/>
      <c r="R163" s="97"/>
      <c r="S163" s="97"/>
      <c r="T163" s="97"/>
      <c r="U163" s="97"/>
      <c r="V163" s="97"/>
      <c r="W163" s="97"/>
      <c r="X163" s="97"/>
      <c r="Y163" s="97"/>
      <c r="Z163" s="97"/>
      <c r="AA163" s="97"/>
      <c r="AB163" s="97"/>
      <c r="AC163" s="97"/>
      <c r="AD163" s="107"/>
      <c r="AE163" s="107"/>
      <c r="AF163" s="107"/>
      <c r="AG163" s="107"/>
      <c r="AH163" s="107"/>
      <c r="AI163" s="107"/>
      <c r="AJ163" s="107"/>
      <c r="AK163" s="107"/>
      <c r="AL163" s="107"/>
      <c r="AM163" s="107"/>
      <c r="AN163" s="107"/>
      <c r="AO163" s="107"/>
      <c r="AP163" s="107"/>
      <c r="AQ163" s="107"/>
      <c r="AR163" s="107"/>
      <c r="AS163" s="107"/>
      <c r="AT163" s="107"/>
      <c r="AU163" s="107"/>
      <c r="AV163" s="107"/>
      <c r="AW163" s="107"/>
      <c r="AX163" s="107"/>
      <c r="AY163" s="107"/>
      <c r="AZ163" s="107"/>
      <c r="BA163" s="107"/>
      <c r="BB163" s="107"/>
      <c r="BC163" s="107"/>
      <c r="BD163" s="107"/>
      <c r="BE163" s="107"/>
      <c r="BF163" s="107"/>
      <c r="BG163" s="107"/>
      <c r="BH163" s="107"/>
      <c r="BI163" s="107"/>
      <c r="BJ163" s="107"/>
      <c r="BK163" s="107"/>
      <c r="BL163" s="107"/>
      <c r="BM163" s="107"/>
      <c r="BN163" s="107"/>
      <c r="BO163" s="107"/>
      <c r="BP163" s="107"/>
      <c r="BQ163" s="107"/>
      <c r="BR163" s="107"/>
      <c r="BS163" s="107"/>
      <c r="BT163" s="107"/>
      <c r="BU163" s="107"/>
      <c r="BV163" s="107"/>
      <c r="BW163" s="107"/>
      <c r="BX163" s="107"/>
      <c r="BY163" s="107"/>
      <c r="BZ163" s="107"/>
      <c r="CA163" s="107"/>
      <c r="CB163" s="107"/>
      <c r="CC163" s="107"/>
      <c r="CD163" s="107"/>
      <c r="CE163" s="107"/>
      <c r="CF163" s="107"/>
    </row>
    <row r="164" spans="2:84">
      <c r="B164" s="98"/>
      <c r="C164" s="98"/>
      <c r="D164" s="97"/>
      <c r="E164" s="97"/>
      <c r="F164" s="97"/>
      <c r="G164" s="97"/>
      <c r="H164" s="97"/>
      <c r="I164" s="97"/>
      <c r="J164" s="97"/>
      <c r="K164" s="97"/>
      <c r="L164" s="97"/>
      <c r="M164" s="97"/>
      <c r="N164" s="99"/>
      <c r="O164" s="97"/>
      <c r="P164" s="99"/>
      <c r="Q164" s="97"/>
      <c r="R164" s="97"/>
      <c r="S164" s="97"/>
      <c r="T164" s="97"/>
      <c r="U164" s="97"/>
      <c r="V164" s="97"/>
      <c r="W164" s="97"/>
      <c r="X164" s="97"/>
      <c r="Y164" s="97"/>
      <c r="Z164" s="97"/>
      <c r="AA164" s="97"/>
      <c r="AB164" s="97"/>
      <c r="AC164" s="97"/>
      <c r="AD164" s="107"/>
      <c r="AE164" s="107"/>
      <c r="AF164" s="107"/>
      <c r="AG164" s="107"/>
      <c r="AH164" s="107"/>
      <c r="AI164" s="107"/>
      <c r="AJ164" s="107"/>
      <c r="AK164" s="107"/>
      <c r="AL164" s="107"/>
      <c r="AM164" s="107"/>
      <c r="AN164" s="107"/>
      <c r="AO164" s="107"/>
      <c r="AP164" s="107"/>
      <c r="AQ164" s="107"/>
      <c r="AR164" s="107"/>
      <c r="AS164" s="107"/>
      <c r="AT164" s="107"/>
      <c r="AU164" s="107"/>
      <c r="AV164" s="107"/>
      <c r="AW164" s="107"/>
      <c r="AX164" s="107"/>
      <c r="AY164" s="107"/>
      <c r="AZ164" s="107"/>
      <c r="BA164" s="107"/>
      <c r="BB164" s="107"/>
      <c r="BC164" s="107"/>
      <c r="BD164" s="107"/>
      <c r="BE164" s="107"/>
      <c r="BF164" s="107"/>
      <c r="BG164" s="107"/>
      <c r="BH164" s="107"/>
      <c r="BI164" s="107"/>
      <c r="BJ164" s="107"/>
      <c r="BK164" s="107"/>
      <c r="BL164" s="107"/>
      <c r="BM164" s="107"/>
      <c r="BN164" s="107"/>
      <c r="BO164" s="107"/>
      <c r="BP164" s="107"/>
      <c r="BQ164" s="107"/>
      <c r="BR164" s="107"/>
      <c r="BS164" s="107"/>
      <c r="BT164" s="107"/>
      <c r="BU164" s="107"/>
      <c r="BV164" s="107"/>
      <c r="BW164" s="107"/>
      <c r="BX164" s="107"/>
      <c r="BY164" s="107"/>
      <c r="BZ164" s="107"/>
      <c r="CA164" s="107"/>
      <c r="CB164" s="107"/>
      <c r="CC164" s="107"/>
      <c r="CD164" s="107"/>
      <c r="CE164" s="107"/>
      <c r="CF164" s="107"/>
    </row>
    <row r="165" spans="2:84">
      <c r="B165" s="98"/>
      <c r="C165" s="98"/>
      <c r="D165" s="97"/>
      <c r="E165" s="97"/>
      <c r="F165" s="97"/>
      <c r="G165" s="97"/>
      <c r="H165" s="97"/>
      <c r="I165" s="97"/>
      <c r="J165" s="97"/>
      <c r="K165" s="97"/>
      <c r="L165" s="97"/>
      <c r="M165" s="97"/>
      <c r="N165" s="99"/>
      <c r="O165" s="97"/>
      <c r="P165" s="99"/>
      <c r="Q165" s="97"/>
      <c r="R165" s="97"/>
      <c r="S165" s="97"/>
      <c r="T165" s="97"/>
      <c r="U165" s="97"/>
      <c r="V165" s="97"/>
      <c r="W165" s="97"/>
      <c r="X165" s="97"/>
      <c r="Y165" s="97"/>
      <c r="Z165" s="97"/>
      <c r="AA165" s="97"/>
      <c r="AB165" s="97"/>
      <c r="AC165" s="97"/>
      <c r="AD165" s="107"/>
      <c r="AE165" s="107"/>
      <c r="AF165" s="107"/>
      <c r="AG165" s="107"/>
      <c r="AH165" s="107"/>
      <c r="AI165" s="107"/>
      <c r="AJ165" s="107"/>
      <c r="AK165" s="107"/>
      <c r="AL165" s="107"/>
      <c r="AM165" s="107"/>
      <c r="AN165" s="107"/>
      <c r="AO165" s="107"/>
      <c r="AP165" s="107"/>
      <c r="AQ165" s="107"/>
      <c r="AR165" s="107"/>
      <c r="AS165" s="107"/>
      <c r="AT165" s="107"/>
      <c r="AU165" s="107"/>
      <c r="AV165" s="107"/>
      <c r="AW165" s="107"/>
      <c r="AX165" s="107"/>
      <c r="AY165" s="107"/>
      <c r="AZ165" s="107"/>
      <c r="BA165" s="107"/>
      <c r="BB165" s="107"/>
      <c r="BC165" s="107"/>
      <c r="BD165" s="107"/>
      <c r="BE165" s="107"/>
      <c r="BF165" s="107"/>
      <c r="BG165" s="107"/>
      <c r="BH165" s="107"/>
      <c r="BI165" s="107"/>
      <c r="BJ165" s="107"/>
      <c r="BK165" s="107"/>
      <c r="BL165" s="107"/>
      <c r="BM165" s="107"/>
      <c r="BN165" s="107"/>
      <c r="BO165" s="107"/>
      <c r="BP165" s="107"/>
      <c r="BQ165" s="107"/>
      <c r="BR165" s="107"/>
      <c r="BS165" s="107"/>
      <c r="BT165" s="107"/>
      <c r="BU165" s="107"/>
      <c r="BV165" s="107"/>
      <c r="BW165" s="107"/>
      <c r="BX165" s="107"/>
      <c r="BY165" s="107"/>
      <c r="BZ165" s="107"/>
      <c r="CA165" s="107"/>
      <c r="CB165" s="107"/>
      <c r="CC165" s="107"/>
      <c r="CD165" s="107"/>
      <c r="CE165" s="107"/>
      <c r="CF165" s="107"/>
    </row>
    <row r="166" spans="2:84">
      <c r="B166" s="98"/>
      <c r="C166" s="98"/>
      <c r="D166" s="97"/>
      <c r="E166" s="97"/>
      <c r="F166" s="97"/>
      <c r="G166" s="97"/>
      <c r="H166" s="97"/>
      <c r="I166" s="97"/>
      <c r="J166" s="97"/>
      <c r="K166" s="97"/>
      <c r="L166" s="97"/>
      <c r="M166" s="97"/>
      <c r="N166" s="99"/>
      <c r="O166" s="97"/>
      <c r="P166" s="99"/>
      <c r="Q166" s="97"/>
      <c r="R166" s="97"/>
      <c r="S166" s="97"/>
      <c r="T166" s="97"/>
      <c r="U166" s="97"/>
      <c r="V166" s="97"/>
      <c r="W166" s="97"/>
      <c r="X166" s="97"/>
      <c r="Y166" s="97"/>
      <c r="Z166" s="97"/>
      <c r="AA166" s="97"/>
      <c r="AB166" s="97"/>
      <c r="AC166" s="97"/>
      <c r="AD166" s="107"/>
      <c r="AE166" s="107"/>
      <c r="AF166" s="107"/>
      <c r="AG166" s="107"/>
      <c r="AH166" s="107"/>
      <c r="AI166" s="107"/>
      <c r="AJ166" s="107"/>
      <c r="AK166" s="107"/>
      <c r="AL166" s="107"/>
      <c r="AM166" s="107"/>
      <c r="AN166" s="107"/>
      <c r="AO166" s="107"/>
      <c r="AP166" s="107"/>
      <c r="AQ166" s="107"/>
      <c r="AR166" s="107"/>
      <c r="AS166" s="107"/>
      <c r="AT166" s="107"/>
      <c r="AU166" s="107"/>
      <c r="AV166" s="107"/>
      <c r="AW166" s="107"/>
      <c r="AX166" s="107"/>
      <c r="AY166" s="107"/>
      <c r="AZ166" s="107"/>
      <c r="BA166" s="107"/>
      <c r="BB166" s="107"/>
      <c r="BC166" s="107"/>
      <c r="BD166" s="107"/>
      <c r="BE166" s="107"/>
      <c r="BF166" s="107"/>
      <c r="BG166" s="107"/>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07"/>
      <c r="CE166" s="107"/>
      <c r="CF166" s="107"/>
    </row>
    <row r="167" spans="2:84">
      <c r="B167" s="98"/>
      <c r="C167" s="98"/>
      <c r="D167" s="97"/>
      <c r="E167" s="97"/>
      <c r="F167" s="97"/>
      <c r="G167" s="97"/>
      <c r="H167" s="97"/>
      <c r="I167" s="97"/>
      <c r="J167" s="97"/>
      <c r="K167" s="97"/>
      <c r="L167" s="97"/>
      <c r="M167" s="97"/>
      <c r="N167" s="99"/>
      <c r="O167" s="97"/>
      <c r="P167" s="99"/>
      <c r="Q167" s="97"/>
      <c r="R167" s="97"/>
      <c r="S167" s="97"/>
      <c r="T167" s="97"/>
      <c r="U167" s="97"/>
      <c r="V167" s="97"/>
      <c r="W167" s="97"/>
      <c r="X167" s="97"/>
      <c r="Y167" s="97"/>
      <c r="Z167" s="97"/>
      <c r="AA167" s="97"/>
      <c r="AB167" s="97"/>
      <c r="AC167" s="97"/>
      <c r="AD167" s="107"/>
      <c r="AE167" s="107"/>
      <c r="AF167" s="107"/>
      <c r="AG167" s="107"/>
      <c r="AH167" s="107"/>
      <c r="AI167" s="107"/>
      <c r="AJ167" s="107"/>
      <c r="AK167" s="107"/>
      <c r="AL167" s="107"/>
      <c r="AM167" s="107"/>
      <c r="AN167" s="107"/>
      <c r="AO167" s="107"/>
      <c r="AP167" s="107"/>
      <c r="AQ167" s="107"/>
      <c r="AR167" s="107"/>
      <c r="AS167" s="107"/>
      <c r="AT167" s="107"/>
      <c r="AU167" s="107"/>
      <c r="AV167" s="107"/>
      <c r="AW167" s="107"/>
      <c r="AX167" s="107"/>
      <c r="AY167" s="107"/>
      <c r="AZ167" s="107"/>
      <c r="BA167" s="107"/>
      <c r="BB167" s="107"/>
      <c r="BC167" s="107"/>
      <c r="BD167" s="107"/>
      <c r="BE167" s="107"/>
      <c r="BF167" s="107"/>
      <c r="BG167" s="107"/>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row>
    <row r="168" spans="2:84">
      <c r="B168" s="98"/>
      <c r="C168" s="98"/>
      <c r="D168" s="97"/>
      <c r="E168" s="97"/>
      <c r="F168" s="97"/>
      <c r="G168" s="97"/>
      <c r="H168" s="97"/>
      <c r="I168" s="97"/>
      <c r="J168" s="97"/>
      <c r="K168" s="97"/>
      <c r="L168" s="97"/>
      <c r="M168" s="97"/>
      <c r="N168" s="99"/>
      <c r="O168" s="97"/>
      <c r="P168" s="99"/>
      <c r="Q168" s="97"/>
      <c r="R168" s="97"/>
      <c r="S168" s="97"/>
      <c r="T168" s="97"/>
      <c r="U168" s="97"/>
      <c r="V168" s="97"/>
      <c r="W168" s="97"/>
      <c r="X168" s="97"/>
      <c r="Y168" s="97"/>
      <c r="Z168" s="97"/>
      <c r="AA168" s="97"/>
      <c r="AB168" s="97"/>
      <c r="AC168" s="97"/>
      <c r="AD168" s="107"/>
      <c r="AE168" s="107"/>
      <c r="AF168" s="107"/>
      <c r="AG168" s="107"/>
      <c r="AH168" s="107"/>
      <c r="AI168" s="107"/>
      <c r="AJ168" s="107"/>
      <c r="AK168" s="107"/>
      <c r="AL168" s="107"/>
      <c r="AM168" s="107"/>
      <c r="AN168" s="107"/>
      <c r="AO168" s="107"/>
      <c r="AP168" s="107"/>
      <c r="AQ168" s="107"/>
      <c r="AR168" s="107"/>
      <c r="AS168" s="107"/>
      <c r="AT168" s="107"/>
      <c r="AU168" s="107"/>
      <c r="AV168" s="107"/>
      <c r="AW168" s="107"/>
      <c r="AX168" s="107"/>
      <c r="AY168" s="107"/>
      <c r="AZ168" s="107"/>
      <c r="BA168" s="107"/>
      <c r="BB168" s="107"/>
      <c r="BC168" s="107"/>
      <c r="BD168" s="107"/>
      <c r="BE168" s="107"/>
      <c r="BF168" s="107"/>
      <c r="BG168" s="107"/>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row>
    <row r="169" spans="2:84">
      <c r="B169" s="98"/>
      <c r="C169" s="98"/>
      <c r="D169" s="97"/>
      <c r="E169" s="97"/>
      <c r="F169" s="97"/>
      <c r="G169" s="97"/>
      <c r="H169" s="97"/>
      <c r="I169" s="97"/>
      <c r="J169" s="97"/>
      <c r="K169" s="97"/>
      <c r="L169" s="97"/>
      <c r="M169" s="97"/>
      <c r="N169" s="99"/>
      <c r="O169" s="97"/>
      <c r="P169" s="99"/>
      <c r="Q169" s="97"/>
      <c r="R169" s="97"/>
      <c r="S169" s="97"/>
      <c r="T169" s="97"/>
      <c r="U169" s="97"/>
      <c r="V169" s="97"/>
      <c r="W169" s="97"/>
      <c r="X169" s="97"/>
      <c r="Y169" s="97"/>
      <c r="Z169" s="97"/>
      <c r="AA169" s="97"/>
      <c r="AB169" s="97"/>
      <c r="AC169" s="97"/>
      <c r="AD169" s="107"/>
      <c r="AE169" s="107"/>
      <c r="AF169" s="107"/>
      <c r="AG169" s="107"/>
      <c r="AH169" s="107"/>
      <c r="AI169" s="107"/>
      <c r="AJ169" s="107"/>
      <c r="AK169" s="107"/>
      <c r="AL169" s="107"/>
      <c r="AM169" s="107"/>
      <c r="AN169" s="107"/>
      <c r="AO169" s="107"/>
      <c r="AP169" s="107"/>
      <c r="AQ169" s="107"/>
      <c r="AR169" s="107"/>
      <c r="AS169" s="107"/>
      <c r="AT169" s="107"/>
      <c r="AU169" s="107"/>
      <c r="AV169" s="107"/>
      <c r="AW169" s="107"/>
      <c r="AX169" s="107"/>
      <c r="AY169" s="107"/>
      <c r="AZ169" s="107"/>
      <c r="BA169" s="107"/>
      <c r="BB169" s="107"/>
      <c r="BC169" s="107"/>
      <c r="BD169" s="107"/>
      <c r="BE169" s="107"/>
      <c r="BF169" s="107"/>
      <c r="BG169" s="107"/>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row>
    <row r="170" spans="2:84">
      <c r="B170" s="98"/>
      <c r="C170" s="98"/>
      <c r="D170" s="97"/>
      <c r="E170" s="97"/>
      <c r="F170" s="97"/>
      <c r="G170" s="97"/>
      <c r="H170" s="97"/>
      <c r="I170" s="97"/>
      <c r="J170" s="97"/>
      <c r="K170" s="97"/>
      <c r="L170" s="97"/>
      <c r="M170" s="97"/>
      <c r="N170" s="99"/>
      <c r="O170" s="97"/>
      <c r="P170" s="99"/>
      <c r="Q170" s="97"/>
      <c r="R170" s="97"/>
      <c r="S170" s="97"/>
      <c r="T170" s="97"/>
      <c r="U170" s="97"/>
      <c r="V170" s="97"/>
      <c r="W170" s="97"/>
      <c r="X170" s="97"/>
      <c r="Y170" s="97"/>
      <c r="Z170" s="97"/>
      <c r="AA170" s="97"/>
      <c r="AB170" s="97"/>
      <c r="AC170" s="97"/>
      <c r="AD170" s="107"/>
      <c r="AE170" s="107"/>
      <c r="AF170" s="107"/>
      <c r="AG170" s="107"/>
      <c r="AH170" s="107"/>
      <c r="AI170" s="107"/>
      <c r="AJ170" s="107"/>
      <c r="AK170" s="107"/>
      <c r="AL170" s="107"/>
      <c r="AM170" s="107"/>
      <c r="AN170" s="107"/>
      <c r="AO170" s="107"/>
      <c r="AP170" s="107"/>
      <c r="AQ170" s="107"/>
      <c r="AR170" s="107"/>
      <c r="AS170" s="107"/>
      <c r="AT170" s="107"/>
      <c r="AU170" s="107"/>
      <c r="AV170" s="107"/>
      <c r="AW170" s="107"/>
      <c r="AX170" s="107"/>
      <c r="AY170" s="107"/>
      <c r="AZ170" s="107"/>
      <c r="BA170" s="107"/>
      <c r="BB170" s="107"/>
      <c r="BC170" s="107"/>
      <c r="BD170" s="107"/>
      <c r="BE170" s="107"/>
      <c r="BF170" s="107"/>
      <c r="BG170" s="107"/>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row>
    <row r="171" spans="2:84">
      <c r="B171" s="98"/>
      <c r="C171" s="98"/>
      <c r="D171" s="97"/>
      <c r="E171" s="97"/>
      <c r="F171" s="97"/>
      <c r="G171" s="97"/>
      <c r="H171" s="97"/>
      <c r="I171" s="97"/>
      <c r="J171" s="97"/>
      <c r="K171" s="97"/>
      <c r="L171" s="97"/>
      <c r="M171" s="97"/>
      <c r="N171" s="99"/>
      <c r="O171" s="97"/>
      <c r="P171" s="99"/>
      <c r="Q171" s="97"/>
      <c r="R171" s="97"/>
      <c r="S171" s="97"/>
      <c r="T171" s="97"/>
      <c r="U171" s="97"/>
      <c r="V171" s="97"/>
      <c r="W171" s="97"/>
      <c r="X171" s="97"/>
      <c r="Y171" s="97"/>
      <c r="Z171" s="97"/>
      <c r="AA171" s="97"/>
      <c r="AB171" s="97"/>
      <c r="AC171" s="97"/>
      <c r="AD171" s="107"/>
      <c r="AE171" s="107"/>
      <c r="AF171" s="107"/>
      <c r="AG171" s="107"/>
      <c r="AH171" s="107"/>
      <c r="AI171" s="107"/>
      <c r="AJ171" s="107"/>
      <c r="AK171" s="107"/>
      <c r="AL171" s="107"/>
      <c r="AM171" s="107"/>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row>
    <row r="172" spans="2:84">
      <c r="B172" s="98"/>
      <c r="C172" s="98"/>
      <c r="D172" s="97"/>
      <c r="E172" s="97"/>
      <c r="F172" s="97"/>
      <c r="G172" s="97"/>
      <c r="H172" s="97"/>
      <c r="I172" s="97"/>
      <c r="J172" s="97"/>
      <c r="K172" s="97"/>
      <c r="L172" s="97"/>
      <c r="M172" s="97"/>
      <c r="N172" s="99"/>
      <c r="O172" s="97"/>
      <c r="P172" s="99"/>
      <c r="Q172" s="97"/>
      <c r="R172" s="97"/>
      <c r="S172" s="97"/>
      <c r="T172" s="97"/>
      <c r="U172" s="97"/>
      <c r="V172" s="97"/>
      <c r="W172" s="97"/>
      <c r="X172" s="97"/>
      <c r="Y172" s="97"/>
      <c r="Z172" s="97"/>
      <c r="AA172" s="97"/>
      <c r="AB172" s="97"/>
      <c r="AC172" s="97"/>
      <c r="AD172" s="107"/>
      <c r="AE172" s="107"/>
      <c r="AF172" s="107"/>
      <c r="AG172" s="107"/>
      <c r="AH172" s="107"/>
      <c r="AI172" s="107"/>
      <c r="AJ172" s="107"/>
      <c r="AK172" s="107"/>
      <c r="AL172" s="107"/>
      <c r="AM172" s="107"/>
      <c r="AN172" s="107"/>
      <c r="AO172" s="107"/>
      <c r="AP172" s="107"/>
      <c r="AQ172" s="107"/>
      <c r="AR172" s="107"/>
      <c r="AS172" s="107"/>
      <c r="AT172" s="107"/>
      <c r="AU172" s="107"/>
      <c r="AV172" s="107"/>
      <c r="AW172" s="107"/>
      <c r="AX172" s="107"/>
      <c r="AY172" s="107"/>
      <c r="AZ172" s="107"/>
      <c r="BA172" s="107"/>
      <c r="BB172" s="107"/>
      <c r="BC172" s="107"/>
      <c r="BD172" s="107"/>
      <c r="BE172" s="107"/>
      <c r="BF172" s="107"/>
      <c r="BG172" s="107"/>
      <c r="BH172" s="107"/>
      <c r="BI172" s="107"/>
      <c r="BJ172" s="107"/>
      <c r="BK172" s="107"/>
      <c r="BL172" s="107"/>
      <c r="BM172" s="107"/>
      <c r="BN172" s="107"/>
      <c r="BO172" s="107"/>
      <c r="BP172" s="107"/>
      <c r="BQ172" s="107"/>
      <c r="BR172" s="107"/>
      <c r="BS172" s="107"/>
      <c r="BT172" s="107"/>
      <c r="BU172" s="107"/>
      <c r="BV172" s="107"/>
      <c r="BW172" s="107"/>
      <c r="BX172" s="107"/>
      <c r="BY172" s="107"/>
      <c r="BZ172" s="107"/>
      <c r="CA172" s="107"/>
      <c r="CB172" s="107"/>
      <c r="CC172" s="107"/>
      <c r="CD172" s="107"/>
      <c r="CE172" s="107"/>
      <c r="CF172" s="107"/>
    </row>
    <row r="173" spans="2:84">
      <c r="B173" s="98"/>
      <c r="C173" s="98"/>
      <c r="D173" s="97"/>
      <c r="E173" s="97"/>
      <c r="F173" s="97"/>
      <c r="G173" s="97"/>
      <c r="H173" s="97"/>
      <c r="I173" s="97"/>
      <c r="J173" s="97"/>
      <c r="K173" s="97"/>
      <c r="L173" s="97"/>
      <c r="M173" s="97"/>
      <c r="N173" s="99"/>
      <c r="O173" s="97"/>
      <c r="P173" s="99"/>
      <c r="Q173" s="97"/>
      <c r="R173" s="97"/>
      <c r="S173" s="97"/>
      <c r="T173" s="97"/>
      <c r="U173" s="97"/>
      <c r="V173" s="97"/>
      <c r="W173" s="97"/>
      <c r="X173" s="97"/>
      <c r="Y173" s="97"/>
      <c r="Z173" s="97"/>
      <c r="AA173" s="97"/>
      <c r="AB173" s="97"/>
      <c r="AC173" s="97"/>
      <c r="AD173" s="107"/>
      <c r="AE173" s="107"/>
      <c r="AF173" s="107"/>
      <c r="AG173" s="107"/>
      <c r="AH173" s="107"/>
      <c r="AI173" s="107"/>
      <c r="AJ173" s="107"/>
      <c r="AK173" s="107"/>
      <c r="AL173" s="107"/>
      <c r="AM173" s="107"/>
      <c r="AN173" s="107"/>
      <c r="AO173" s="107"/>
      <c r="AP173" s="107"/>
      <c r="AQ173" s="107"/>
      <c r="AR173" s="107"/>
      <c r="AS173" s="107"/>
      <c r="AT173" s="107"/>
      <c r="AU173" s="107"/>
      <c r="AV173" s="107"/>
      <c r="AW173" s="107"/>
      <c r="AX173" s="107"/>
      <c r="AY173" s="107"/>
      <c r="AZ173" s="107"/>
      <c r="BA173" s="107"/>
      <c r="BB173" s="107"/>
      <c r="BC173" s="107"/>
      <c r="BD173" s="107"/>
      <c r="BE173" s="107"/>
      <c r="BF173" s="107"/>
      <c r="BG173" s="107"/>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c r="CC173" s="107"/>
      <c r="CD173" s="107"/>
      <c r="CE173" s="107"/>
      <c r="CF173" s="107"/>
    </row>
    <row r="174" spans="2:84">
      <c r="B174" s="98"/>
      <c r="C174" s="98"/>
      <c r="D174" s="97"/>
      <c r="E174" s="97"/>
      <c r="F174" s="97"/>
      <c r="G174" s="97"/>
      <c r="H174" s="97"/>
      <c r="I174" s="97"/>
      <c r="J174" s="97"/>
      <c r="K174" s="97"/>
      <c r="L174" s="97"/>
      <c r="M174" s="97"/>
      <c r="N174" s="99"/>
      <c r="O174" s="97"/>
      <c r="P174" s="99"/>
      <c r="Q174" s="97"/>
      <c r="R174" s="97"/>
      <c r="S174" s="97"/>
      <c r="T174" s="97"/>
      <c r="U174" s="97"/>
      <c r="V174" s="97"/>
      <c r="W174" s="97"/>
      <c r="X174" s="97"/>
      <c r="Y174" s="97"/>
      <c r="Z174" s="97"/>
      <c r="AA174" s="97"/>
      <c r="AB174" s="97"/>
      <c r="AC174" s="97"/>
      <c r="AD174" s="107"/>
      <c r="AE174" s="107"/>
      <c r="AF174" s="107"/>
      <c r="AG174" s="107"/>
      <c r="AH174" s="107"/>
      <c r="AI174" s="107"/>
      <c r="AJ174" s="107"/>
      <c r="AK174" s="107"/>
      <c r="AL174" s="107"/>
      <c r="AM174" s="107"/>
      <c r="AN174" s="107"/>
      <c r="AO174" s="107"/>
      <c r="AP174" s="107"/>
      <c r="AQ174" s="107"/>
      <c r="AR174" s="107"/>
      <c r="AS174" s="107"/>
      <c r="AT174" s="107"/>
      <c r="AU174" s="107"/>
      <c r="AV174" s="107"/>
      <c r="AW174" s="107"/>
      <c r="AX174" s="107"/>
      <c r="AY174" s="107"/>
      <c r="AZ174" s="107"/>
      <c r="BA174" s="107"/>
      <c r="BB174" s="107"/>
      <c r="BC174" s="107"/>
      <c r="BD174" s="107"/>
      <c r="BE174" s="107"/>
      <c r="BF174" s="107"/>
      <c r="BG174" s="107"/>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row>
    <row r="175" spans="2:84">
      <c r="B175" s="98"/>
      <c r="C175" s="98"/>
      <c r="D175" s="97"/>
      <c r="E175" s="97"/>
      <c r="F175" s="97"/>
      <c r="G175" s="97"/>
      <c r="H175" s="97"/>
      <c r="I175" s="97"/>
      <c r="J175" s="97"/>
      <c r="K175" s="97"/>
      <c r="L175" s="97"/>
      <c r="M175" s="97"/>
      <c r="N175" s="99"/>
      <c r="O175" s="97"/>
      <c r="P175" s="99"/>
      <c r="Q175" s="97"/>
      <c r="R175" s="97"/>
      <c r="S175" s="97"/>
      <c r="T175" s="97"/>
      <c r="U175" s="97"/>
      <c r="V175" s="97"/>
      <c r="W175" s="97"/>
      <c r="X175" s="97"/>
      <c r="Y175" s="97"/>
      <c r="Z175" s="97"/>
      <c r="AA175" s="97"/>
      <c r="AB175" s="97"/>
      <c r="AC175" s="97"/>
      <c r="AD175" s="107"/>
      <c r="AE175" s="107"/>
      <c r="AF175" s="107"/>
      <c r="AG175" s="107"/>
      <c r="AH175" s="107"/>
      <c r="AI175" s="107"/>
      <c r="AJ175" s="107"/>
      <c r="AK175" s="107"/>
      <c r="AL175" s="107"/>
      <c r="AM175" s="107"/>
      <c r="AN175" s="107"/>
      <c r="AO175" s="107"/>
      <c r="AP175" s="107"/>
      <c r="AQ175" s="107"/>
      <c r="AR175" s="107"/>
      <c r="AS175" s="107"/>
      <c r="AT175" s="107"/>
      <c r="AU175" s="107"/>
      <c r="AV175" s="107"/>
      <c r="AW175" s="107"/>
      <c r="AX175" s="107"/>
      <c r="AY175" s="107"/>
      <c r="AZ175" s="107"/>
      <c r="BA175" s="107"/>
      <c r="BB175" s="107"/>
      <c r="BC175" s="107"/>
      <c r="BD175" s="107"/>
      <c r="BE175" s="107"/>
      <c r="BF175" s="107"/>
      <c r="BG175" s="107"/>
      <c r="BH175" s="107"/>
      <c r="BI175" s="107"/>
      <c r="BJ175" s="107"/>
      <c r="BK175" s="107"/>
      <c r="BL175" s="107"/>
      <c r="BM175" s="107"/>
      <c r="BN175" s="107"/>
      <c r="BO175" s="107"/>
      <c r="BP175" s="107"/>
      <c r="BQ175" s="107"/>
      <c r="BR175" s="107"/>
      <c r="BS175" s="107"/>
      <c r="BT175" s="107"/>
      <c r="BU175" s="107"/>
      <c r="BV175" s="107"/>
      <c r="BW175" s="107"/>
      <c r="BX175" s="107"/>
      <c r="BY175" s="107"/>
      <c r="BZ175" s="107"/>
      <c r="CA175" s="107"/>
      <c r="CB175" s="107"/>
      <c r="CC175" s="107"/>
      <c r="CD175" s="107"/>
      <c r="CE175" s="107"/>
      <c r="CF175" s="107"/>
    </row>
    <row r="176" spans="2:84">
      <c r="B176" s="98"/>
      <c r="C176" s="98"/>
      <c r="D176" s="97"/>
      <c r="E176" s="97"/>
      <c r="F176" s="97"/>
      <c r="G176" s="97"/>
      <c r="H176" s="97"/>
      <c r="I176" s="97"/>
      <c r="J176" s="97"/>
      <c r="K176" s="97"/>
      <c r="L176" s="97"/>
      <c r="M176" s="97"/>
      <c r="N176" s="99"/>
      <c r="O176" s="97"/>
      <c r="P176" s="99"/>
      <c r="Q176" s="97"/>
      <c r="R176" s="97"/>
      <c r="S176" s="97"/>
      <c r="T176" s="97"/>
      <c r="U176" s="97"/>
      <c r="V176" s="97"/>
      <c r="W176" s="97"/>
      <c r="X176" s="97"/>
      <c r="Y176" s="97"/>
      <c r="Z176" s="97"/>
      <c r="AA176" s="97"/>
      <c r="AB176" s="97"/>
      <c r="AC176" s="97"/>
      <c r="AD176" s="107"/>
      <c r="AE176" s="107"/>
      <c r="AF176" s="107"/>
      <c r="AG176" s="107"/>
      <c r="AH176" s="107"/>
      <c r="AI176" s="107"/>
      <c r="AJ176" s="107"/>
      <c r="AK176" s="107"/>
      <c r="AL176" s="107"/>
      <c r="AM176" s="107"/>
      <c r="AN176" s="107"/>
      <c r="AO176" s="107"/>
      <c r="AP176" s="107"/>
      <c r="AQ176" s="107"/>
      <c r="AR176" s="107"/>
      <c r="AS176" s="107"/>
      <c r="AT176" s="107"/>
      <c r="AU176" s="107"/>
      <c r="AV176" s="107"/>
      <c r="AW176" s="107"/>
      <c r="AX176" s="107"/>
      <c r="AY176" s="107"/>
      <c r="AZ176" s="107"/>
      <c r="BA176" s="107"/>
      <c r="BB176" s="107"/>
      <c r="BC176" s="107"/>
      <c r="BD176" s="107"/>
      <c r="BE176" s="107"/>
      <c r="BF176" s="107"/>
      <c r="BG176" s="107"/>
      <c r="BH176" s="107"/>
      <c r="BI176" s="107"/>
      <c r="BJ176" s="107"/>
      <c r="BK176" s="107"/>
      <c r="BL176" s="107"/>
      <c r="BM176" s="107"/>
      <c r="BN176" s="107"/>
      <c r="BO176" s="107"/>
      <c r="BP176" s="107"/>
      <c r="BQ176" s="107"/>
      <c r="BR176" s="107"/>
      <c r="BS176" s="107"/>
      <c r="BT176" s="107"/>
      <c r="BU176" s="107"/>
      <c r="BV176" s="107"/>
      <c r="BW176" s="107"/>
      <c r="BX176" s="107"/>
      <c r="BY176" s="107"/>
      <c r="BZ176" s="107"/>
      <c r="CA176" s="107"/>
      <c r="CB176" s="107"/>
      <c r="CC176" s="107"/>
      <c r="CD176" s="107"/>
      <c r="CE176" s="107"/>
      <c r="CF176" s="107"/>
    </row>
    <row r="177" spans="2:84">
      <c r="B177" s="98"/>
      <c r="C177" s="98"/>
      <c r="D177" s="97"/>
      <c r="E177" s="97"/>
      <c r="F177" s="97"/>
      <c r="G177" s="97"/>
      <c r="H177" s="97"/>
      <c r="I177" s="97"/>
      <c r="J177" s="97"/>
      <c r="K177" s="97"/>
      <c r="L177" s="97"/>
      <c r="M177" s="97"/>
      <c r="N177" s="99"/>
      <c r="O177" s="97"/>
      <c r="P177" s="99"/>
      <c r="Q177" s="97"/>
      <c r="R177" s="97"/>
      <c r="S177" s="97"/>
      <c r="T177" s="97"/>
      <c r="U177" s="97"/>
      <c r="V177" s="97"/>
      <c r="W177" s="97"/>
      <c r="X177" s="97"/>
      <c r="Y177" s="97"/>
      <c r="Z177" s="97"/>
      <c r="AA177" s="97"/>
      <c r="AB177" s="97"/>
      <c r="AC177" s="97"/>
      <c r="AD177" s="107"/>
      <c r="AE177" s="107"/>
      <c r="AF177" s="107"/>
      <c r="AG177" s="107"/>
      <c r="AH177" s="107"/>
      <c r="AI177" s="107"/>
      <c r="AJ177" s="107"/>
      <c r="AK177" s="107"/>
      <c r="AL177" s="107"/>
      <c r="AM177" s="107"/>
      <c r="AN177" s="107"/>
      <c r="AO177" s="107"/>
      <c r="AP177" s="107"/>
      <c r="AQ177" s="107"/>
      <c r="AR177" s="107"/>
      <c r="AS177" s="107"/>
      <c r="AT177" s="107"/>
      <c r="AU177" s="107"/>
      <c r="AV177" s="107"/>
      <c r="AW177" s="107"/>
      <c r="AX177" s="107"/>
      <c r="AY177" s="107"/>
      <c r="AZ177" s="107"/>
      <c r="BA177" s="107"/>
      <c r="BB177" s="107"/>
      <c r="BC177" s="107"/>
      <c r="BD177" s="107"/>
      <c r="BE177" s="107"/>
      <c r="BF177" s="107"/>
      <c r="BG177" s="107"/>
      <c r="BH177" s="107"/>
      <c r="BI177" s="107"/>
      <c r="BJ177" s="107"/>
      <c r="BK177" s="107"/>
      <c r="BL177" s="107"/>
      <c r="BM177" s="107"/>
      <c r="BN177" s="107"/>
      <c r="BO177" s="107"/>
      <c r="BP177" s="107"/>
      <c r="BQ177" s="107"/>
      <c r="BR177" s="107"/>
      <c r="BS177" s="107"/>
      <c r="BT177" s="107"/>
      <c r="BU177" s="107"/>
      <c r="BV177" s="107"/>
      <c r="BW177" s="107"/>
      <c r="BX177" s="107"/>
      <c r="BY177" s="107"/>
      <c r="BZ177" s="107"/>
      <c r="CA177" s="107"/>
      <c r="CB177" s="107"/>
      <c r="CC177" s="107"/>
      <c r="CD177" s="107"/>
      <c r="CE177" s="107"/>
      <c r="CF177" s="107"/>
    </row>
    <row r="178" spans="2:84">
      <c r="B178" s="98"/>
      <c r="C178" s="98"/>
      <c r="D178" s="97"/>
      <c r="E178" s="97"/>
      <c r="F178" s="97"/>
      <c r="G178" s="97"/>
      <c r="H178" s="97"/>
      <c r="I178" s="97"/>
      <c r="J178" s="97"/>
      <c r="K178" s="97"/>
      <c r="L178" s="97"/>
      <c r="M178" s="97"/>
      <c r="N178" s="99"/>
      <c r="O178" s="97"/>
      <c r="P178" s="99"/>
      <c r="Q178" s="97"/>
      <c r="R178" s="97"/>
      <c r="S178" s="97"/>
      <c r="T178" s="97"/>
      <c r="U178" s="97"/>
      <c r="V178" s="97"/>
      <c r="W178" s="97"/>
      <c r="X178" s="97"/>
      <c r="Y178" s="97"/>
      <c r="Z178" s="97"/>
      <c r="AA178" s="97"/>
      <c r="AB178" s="97"/>
      <c r="AC178" s="97"/>
      <c r="AD178" s="107"/>
      <c r="AE178" s="107"/>
      <c r="AF178" s="107"/>
      <c r="AG178" s="107"/>
      <c r="AH178" s="107"/>
      <c r="AI178" s="107"/>
      <c r="AJ178" s="107"/>
      <c r="AK178" s="107"/>
      <c r="AL178" s="107"/>
      <c r="AM178" s="107"/>
      <c r="AN178" s="107"/>
      <c r="AO178" s="107"/>
      <c r="AP178" s="107"/>
      <c r="AQ178" s="107"/>
      <c r="AR178" s="107"/>
      <c r="AS178" s="107"/>
      <c r="AT178" s="107"/>
      <c r="AU178" s="107"/>
      <c r="AV178" s="107"/>
      <c r="AW178" s="107"/>
      <c r="AX178" s="107"/>
      <c r="AY178" s="107"/>
      <c r="AZ178" s="107"/>
      <c r="BA178" s="107"/>
      <c r="BB178" s="107"/>
      <c r="BC178" s="107"/>
      <c r="BD178" s="107"/>
      <c r="BE178" s="107"/>
      <c r="BF178" s="107"/>
      <c r="BG178" s="107"/>
      <c r="BH178" s="107"/>
      <c r="BI178" s="107"/>
      <c r="BJ178" s="107"/>
      <c r="BK178" s="107"/>
      <c r="BL178" s="107"/>
      <c r="BM178" s="107"/>
      <c r="BN178" s="107"/>
      <c r="BO178" s="107"/>
      <c r="BP178" s="107"/>
      <c r="BQ178" s="107"/>
      <c r="BR178" s="107"/>
      <c r="BS178" s="107"/>
      <c r="BT178" s="107"/>
      <c r="BU178" s="107"/>
      <c r="BV178" s="107"/>
      <c r="BW178" s="107"/>
      <c r="BX178" s="107"/>
      <c r="BY178" s="107"/>
      <c r="BZ178" s="107"/>
      <c r="CA178" s="107"/>
      <c r="CB178" s="107"/>
      <c r="CC178" s="107"/>
      <c r="CD178" s="107"/>
      <c r="CE178" s="107"/>
      <c r="CF178" s="107"/>
    </row>
    <row r="179" spans="2:84">
      <c r="B179" s="98"/>
      <c r="C179" s="98"/>
      <c r="D179" s="97"/>
      <c r="E179" s="97"/>
      <c r="F179" s="97"/>
      <c r="G179" s="97"/>
      <c r="H179" s="97"/>
      <c r="I179" s="97"/>
      <c r="J179" s="97"/>
      <c r="K179" s="97"/>
      <c r="L179" s="97"/>
      <c r="M179" s="97"/>
      <c r="N179" s="99"/>
      <c r="O179" s="97"/>
      <c r="P179" s="99"/>
      <c r="Q179" s="97"/>
      <c r="R179" s="97"/>
      <c r="S179" s="97"/>
      <c r="T179" s="97"/>
      <c r="U179" s="97"/>
      <c r="V179" s="97"/>
      <c r="W179" s="97"/>
      <c r="X179" s="97"/>
      <c r="Y179" s="97"/>
      <c r="Z179" s="97"/>
      <c r="AA179" s="97"/>
      <c r="AB179" s="97"/>
      <c r="AC179" s="97"/>
      <c r="AD179" s="107"/>
      <c r="AE179" s="107"/>
      <c r="AF179" s="107"/>
      <c r="AG179" s="107"/>
      <c r="AH179" s="107"/>
      <c r="AI179" s="107"/>
      <c r="AJ179" s="107"/>
      <c r="AK179" s="107"/>
      <c r="AL179" s="107"/>
      <c r="AM179" s="107"/>
      <c r="AN179" s="107"/>
      <c r="AO179" s="107"/>
      <c r="AP179" s="107"/>
      <c r="AQ179" s="107"/>
      <c r="AR179" s="107"/>
      <c r="AS179" s="107"/>
      <c r="AT179" s="107"/>
      <c r="AU179" s="107"/>
      <c r="AV179" s="107"/>
      <c r="AW179" s="107"/>
      <c r="AX179" s="107"/>
      <c r="AY179" s="107"/>
      <c r="AZ179" s="107"/>
      <c r="BA179" s="107"/>
      <c r="BB179" s="107"/>
      <c r="BC179" s="107"/>
      <c r="BD179" s="107"/>
      <c r="BE179" s="107"/>
      <c r="BF179" s="107"/>
      <c r="BG179" s="107"/>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row>
    <row r="180" spans="2:84">
      <c r="B180" s="98"/>
      <c r="C180" s="98"/>
      <c r="D180" s="97"/>
      <c r="E180" s="97"/>
      <c r="F180" s="97"/>
      <c r="G180" s="97"/>
      <c r="H180" s="97"/>
      <c r="I180" s="97"/>
      <c r="J180" s="97"/>
      <c r="K180" s="97"/>
      <c r="L180" s="97"/>
      <c r="M180" s="97"/>
      <c r="N180" s="99"/>
      <c r="O180" s="97"/>
      <c r="P180" s="99"/>
      <c r="Q180" s="97"/>
      <c r="R180" s="97"/>
      <c r="S180" s="97"/>
      <c r="T180" s="97"/>
      <c r="U180" s="97"/>
      <c r="V180" s="97"/>
      <c r="W180" s="97"/>
      <c r="X180" s="97"/>
      <c r="Y180" s="97"/>
      <c r="Z180" s="97"/>
      <c r="AA180" s="97"/>
      <c r="AB180" s="97"/>
      <c r="AC180" s="97"/>
      <c r="AD180" s="107"/>
      <c r="AE180" s="107"/>
      <c r="AF180" s="107"/>
      <c r="AG180" s="107"/>
      <c r="AH180" s="107"/>
      <c r="AI180" s="107"/>
      <c r="AJ180" s="107"/>
      <c r="AK180" s="107"/>
      <c r="AL180" s="107"/>
      <c r="AM180" s="107"/>
      <c r="AN180" s="107"/>
      <c r="AO180" s="107"/>
      <c r="AP180" s="107"/>
      <c r="AQ180" s="107"/>
      <c r="AR180" s="107"/>
      <c r="AS180" s="107"/>
      <c r="AT180" s="107"/>
      <c r="AU180" s="107"/>
      <c r="AV180" s="107"/>
      <c r="AW180" s="107"/>
      <c r="AX180" s="107"/>
      <c r="AY180" s="107"/>
      <c r="AZ180" s="107"/>
      <c r="BA180" s="107"/>
      <c r="BB180" s="107"/>
      <c r="BC180" s="107"/>
      <c r="BD180" s="107"/>
      <c r="BE180" s="107"/>
      <c r="BF180" s="107"/>
      <c r="BG180" s="107"/>
      <c r="BH180" s="107"/>
      <c r="BI180" s="107"/>
      <c r="BJ180" s="107"/>
      <c r="BK180" s="107"/>
      <c r="BL180" s="107"/>
      <c r="BM180" s="107"/>
      <c r="BN180" s="107"/>
      <c r="BO180" s="107"/>
      <c r="BP180" s="107"/>
      <c r="BQ180" s="107"/>
      <c r="BR180" s="107"/>
      <c r="BS180" s="107"/>
      <c r="BT180" s="107"/>
      <c r="BU180" s="107"/>
      <c r="BV180" s="107"/>
      <c r="BW180" s="107"/>
      <c r="BX180" s="107"/>
      <c r="BY180" s="107"/>
      <c r="BZ180" s="107"/>
      <c r="CA180" s="107"/>
      <c r="CB180" s="107"/>
      <c r="CC180" s="107"/>
      <c r="CD180" s="107"/>
      <c r="CE180" s="107"/>
      <c r="CF180" s="107"/>
    </row>
    <row r="181" spans="2:84">
      <c r="B181" s="98"/>
      <c r="C181" s="98"/>
      <c r="D181" s="97"/>
      <c r="E181" s="97"/>
      <c r="F181" s="97"/>
      <c r="G181" s="97"/>
      <c r="H181" s="97"/>
      <c r="I181" s="97"/>
      <c r="J181" s="97"/>
      <c r="K181" s="97"/>
      <c r="L181" s="97"/>
      <c r="M181" s="97"/>
      <c r="N181" s="99"/>
      <c r="O181" s="97"/>
      <c r="P181" s="99"/>
      <c r="Q181" s="97"/>
      <c r="R181" s="97"/>
      <c r="S181" s="97"/>
      <c r="T181" s="97"/>
      <c r="U181" s="97"/>
      <c r="V181" s="97"/>
      <c r="W181" s="97"/>
      <c r="X181" s="97"/>
      <c r="Y181" s="97"/>
      <c r="Z181" s="97"/>
      <c r="AA181" s="97"/>
      <c r="AB181" s="97"/>
      <c r="AC181" s="97"/>
      <c r="AD181" s="107"/>
      <c r="AE181" s="107"/>
      <c r="AF181" s="107"/>
      <c r="AG181" s="107"/>
      <c r="AH181" s="107"/>
      <c r="AI181" s="107"/>
      <c r="AJ181" s="107"/>
      <c r="AK181" s="107"/>
      <c r="AL181" s="107"/>
      <c r="AM181" s="107"/>
      <c r="AN181" s="107"/>
      <c r="AO181" s="107"/>
      <c r="AP181" s="107"/>
      <c r="AQ181" s="107"/>
      <c r="AR181" s="107"/>
      <c r="AS181" s="107"/>
      <c r="AT181" s="107"/>
      <c r="AU181" s="107"/>
      <c r="AV181" s="107"/>
      <c r="AW181" s="107"/>
      <c r="AX181" s="107"/>
      <c r="AY181" s="107"/>
      <c r="AZ181" s="107"/>
      <c r="BA181" s="107"/>
      <c r="BB181" s="107"/>
      <c r="BC181" s="107"/>
      <c r="BD181" s="107"/>
      <c r="BE181" s="107"/>
      <c r="BF181" s="107"/>
      <c r="BG181" s="107"/>
      <c r="BH181" s="107"/>
      <c r="BI181" s="107"/>
      <c r="BJ181" s="107"/>
      <c r="BK181" s="107"/>
      <c r="BL181" s="107"/>
      <c r="BM181" s="107"/>
      <c r="BN181" s="107"/>
      <c r="BO181" s="107"/>
      <c r="BP181" s="107"/>
      <c r="BQ181" s="107"/>
      <c r="BR181" s="107"/>
      <c r="BS181" s="107"/>
      <c r="BT181" s="107"/>
      <c r="BU181" s="107"/>
      <c r="BV181" s="107"/>
      <c r="BW181" s="107"/>
      <c r="BX181" s="107"/>
      <c r="BY181" s="107"/>
      <c r="BZ181" s="107"/>
      <c r="CA181" s="107"/>
      <c r="CB181" s="107"/>
      <c r="CC181" s="107"/>
      <c r="CD181" s="107"/>
      <c r="CE181" s="107"/>
      <c r="CF181" s="107"/>
    </row>
    <row r="182" spans="2:84">
      <c r="B182" s="98"/>
      <c r="C182" s="98"/>
      <c r="D182" s="97"/>
      <c r="E182" s="97"/>
      <c r="F182" s="97"/>
      <c r="G182" s="97"/>
      <c r="H182" s="97"/>
      <c r="I182" s="97"/>
      <c r="J182" s="97"/>
      <c r="K182" s="97"/>
      <c r="L182" s="97"/>
      <c r="M182" s="97"/>
      <c r="N182" s="99"/>
      <c r="O182" s="97"/>
      <c r="P182" s="99"/>
      <c r="Q182" s="97"/>
      <c r="R182" s="97"/>
      <c r="S182" s="97"/>
      <c r="T182" s="97"/>
      <c r="U182" s="97"/>
      <c r="V182" s="97"/>
      <c r="W182" s="97"/>
      <c r="X182" s="97"/>
      <c r="Y182" s="97"/>
      <c r="Z182" s="97"/>
      <c r="AA182" s="97"/>
      <c r="AB182" s="97"/>
      <c r="AC182" s="97"/>
      <c r="AD182" s="107"/>
      <c r="AE182" s="107"/>
      <c r="AF182" s="107"/>
      <c r="AG182" s="107"/>
      <c r="AH182" s="107"/>
      <c r="AI182" s="107"/>
      <c r="AJ182" s="107"/>
      <c r="AK182" s="107"/>
      <c r="AL182" s="107"/>
      <c r="AM182" s="107"/>
      <c r="AN182" s="107"/>
      <c r="AO182" s="107"/>
      <c r="AP182" s="107"/>
      <c r="AQ182" s="107"/>
      <c r="AR182" s="107"/>
      <c r="AS182" s="107"/>
      <c r="AT182" s="107"/>
      <c r="AU182" s="107"/>
      <c r="AV182" s="107"/>
      <c r="AW182" s="107"/>
      <c r="AX182" s="107"/>
      <c r="AY182" s="107"/>
      <c r="AZ182" s="107"/>
      <c r="BA182" s="107"/>
      <c r="BB182" s="107"/>
      <c r="BC182" s="107"/>
      <c r="BD182" s="107"/>
      <c r="BE182" s="107"/>
      <c r="BF182" s="107"/>
      <c r="BG182" s="107"/>
      <c r="BH182" s="107"/>
      <c r="BI182" s="107"/>
      <c r="BJ182" s="107"/>
      <c r="BK182" s="107"/>
      <c r="BL182" s="107"/>
      <c r="BM182" s="107"/>
      <c r="BN182" s="107"/>
      <c r="BO182" s="107"/>
      <c r="BP182" s="107"/>
      <c r="BQ182" s="107"/>
      <c r="BR182" s="107"/>
      <c r="BS182" s="107"/>
      <c r="BT182" s="107"/>
      <c r="BU182" s="107"/>
      <c r="BV182" s="107"/>
      <c r="BW182" s="107"/>
      <c r="BX182" s="107"/>
      <c r="BY182" s="107"/>
      <c r="BZ182" s="107"/>
      <c r="CA182" s="107"/>
      <c r="CB182" s="107"/>
      <c r="CC182" s="107"/>
      <c r="CD182" s="107"/>
      <c r="CE182" s="107"/>
      <c r="CF182" s="107"/>
    </row>
    <row r="183" spans="2:84">
      <c r="B183" s="98"/>
      <c r="C183" s="98"/>
      <c r="D183" s="97"/>
      <c r="E183" s="97"/>
      <c r="F183" s="97"/>
      <c r="G183" s="97"/>
      <c r="H183" s="97"/>
      <c r="I183" s="97"/>
      <c r="J183" s="97"/>
      <c r="K183" s="97"/>
      <c r="L183" s="97"/>
      <c r="M183" s="97"/>
      <c r="N183" s="99"/>
      <c r="O183" s="97"/>
      <c r="P183" s="99"/>
      <c r="Q183" s="97"/>
      <c r="R183" s="97"/>
      <c r="S183" s="97"/>
      <c r="T183" s="97"/>
      <c r="U183" s="97"/>
      <c r="V183" s="97"/>
      <c r="W183" s="97"/>
      <c r="X183" s="97"/>
      <c r="Y183" s="97"/>
      <c r="Z183" s="97"/>
      <c r="AA183" s="97"/>
      <c r="AB183" s="97"/>
      <c r="AC183" s="97"/>
      <c r="AD183" s="107"/>
      <c r="AE183" s="107"/>
      <c r="AF183" s="107"/>
      <c r="AG183" s="107"/>
      <c r="AH183" s="107"/>
      <c r="AI183" s="107"/>
      <c r="AJ183" s="107"/>
      <c r="AK183" s="107"/>
      <c r="AL183" s="107"/>
      <c r="AM183" s="107"/>
      <c r="AN183" s="107"/>
      <c r="AO183" s="107"/>
      <c r="AP183" s="107"/>
      <c r="AQ183" s="107"/>
      <c r="AR183" s="107"/>
      <c r="AS183" s="107"/>
      <c r="AT183" s="107"/>
      <c r="AU183" s="107"/>
      <c r="AV183" s="107"/>
      <c r="AW183" s="107"/>
      <c r="AX183" s="107"/>
      <c r="AY183" s="107"/>
      <c r="AZ183" s="107"/>
      <c r="BA183" s="107"/>
      <c r="BB183" s="107"/>
      <c r="BC183" s="107"/>
      <c r="BD183" s="107"/>
      <c r="BE183" s="107"/>
      <c r="BF183" s="107"/>
      <c r="BG183" s="107"/>
      <c r="BH183" s="107"/>
      <c r="BI183" s="107"/>
      <c r="BJ183" s="107"/>
      <c r="BK183" s="107"/>
      <c r="BL183" s="107"/>
      <c r="BM183" s="107"/>
      <c r="BN183" s="107"/>
      <c r="BO183" s="107"/>
      <c r="BP183" s="107"/>
      <c r="BQ183" s="107"/>
      <c r="BR183" s="107"/>
      <c r="BS183" s="107"/>
      <c r="BT183" s="107"/>
      <c r="BU183" s="107"/>
      <c r="BV183" s="107"/>
      <c r="BW183" s="107"/>
      <c r="BX183" s="107"/>
      <c r="BY183" s="107"/>
      <c r="BZ183" s="107"/>
      <c r="CA183" s="107"/>
      <c r="CB183" s="107"/>
      <c r="CC183" s="107"/>
      <c r="CD183" s="107"/>
      <c r="CE183" s="107"/>
      <c r="CF183" s="107"/>
    </row>
    <row r="184" spans="2:84">
      <c r="B184" s="98"/>
      <c r="C184" s="98"/>
      <c r="D184" s="97"/>
      <c r="E184" s="97"/>
      <c r="F184" s="97"/>
      <c r="G184" s="97"/>
      <c r="H184" s="97"/>
      <c r="I184" s="97"/>
      <c r="J184" s="97"/>
      <c r="K184" s="97"/>
      <c r="L184" s="97"/>
      <c r="M184" s="97"/>
      <c r="N184" s="99"/>
      <c r="O184" s="97"/>
      <c r="P184" s="99"/>
      <c r="Q184" s="97"/>
      <c r="R184" s="97"/>
      <c r="S184" s="97"/>
      <c r="T184" s="97"/>
      <c r="U184" s="97"/>
      <c r="V184" s="97"/>
      <c r="W184" s="97"/>
      <c r="X184" s="97"/>
      <c r="Y184" s="97"/>
      <c r="Z184" s="97"/>
      <c r="AA184" s="97"/>
      <c r="AB184" s="97"/>
      <c r="AC184" s="97"/>
      <c r="AD184" s="107"/>
      <c r="AE184" s="107"/>
      <c r="AF184" s="107"/>
      <c r="AG184" s="107"/>
      <c r="AH184" s="107"/>
      <c r="AI184" s="107"/>
      <c r="AJ184" s="107"/>
      <c r="AK184" s="107"/>
      <c r="AL184" s="107"/>
      <c r="AM184" s="107"/>
      <c r="AN184" s="107"/>
      <c r="AO184" s="107"/>
      <c r="AP184" s="107"/>
      <c r="AQ184" s="107"/>
      <c r="AR184" s="107"/>
      <c r="AS184" s="107"/>
      <c r="AT184" s="107"/>
      <c r="AU184" s="107"/>
      <c r="AV184" s="107"/>
      <c r="AW184" s="107"/>
      <c r="AX184" s="107"/>
      <c r="AY184" s="107"/>
      <c r="AZ184" s="107"/>
      <c r="BA184" s="107"/>
      <c r="BB184" s="107"/>
      <c r="BC184" s="107"/>
      <c r="BD184" s="107"/>
      <c r="BE184" s="107"/>
      <c r="BF184" s="107"/>
      <c r="BG184" s="107"/>
      <c r="BH184" s="107"/>
      <c r="BI184" s="107"/>
      <c r="BJ184" s="107"/>
      <c r="BK184" s="107"/>
      <c r="BL184" s="107"/>
      <c r="BM184" s="107"/>
      <c r="BN184" s="107"/>
      <c r="BO184" s="107"/>
      <c r="BP184" s="107"/>
      <c r="BQ184" s="107"/>
      <c r="BR184" s="107"/>
      <c r="BS184" s="107"/>
      <c r="BT184" s="107"/>
      <c r="BU184" s="107"/>
      <c r="BV184" s="107"/>
      <c r="BW184" s="107"/>
      <c r="BX184" s="107"/>
      <c r="BY184" s="107"/>
      <c r="BZ184" s="107"/>
      <c r="CA184" s="107"/>
      <c r="CB184" s="107"/>
      <c r="CC184" s="107"/>
      <c r="CD184" s="107"/>
      <c r="CE184" s="107"/>
      <c r="CF184" s="107"/>
    </row>
    <row r="185" spans="2:84">
      <c r="B185" s="98"/>
      <c r="C185" s="98"/>
      <c r="D185" s="97"/>
      <c r="E185" s="97"/>
      <c r="F185" s="97"/>
      <c r="G185" s="97"/>
      <c r="H185" s="97"/>
      <c r="I185" s="97"/>
      <c r="J185" s="97"/>
      <c r="K185" s="97"/>
      <c r="L185" s="97"/>
      <c r="M185" s="97"/>
      <c r="N185" s="99"/>
      <c r="O185" s="97"/>
      <c r="P185" s="99"/>
      <c r="Q185" s="97"/>
      <c r="R185" s="97"/>
      <c r="S185" s="97"/>
      <c r="T185" s="97"/>
      <c r="U185" s="97"/>
      <c r="V185" s="97"/>
      <c r="W185" s="97"/>
      <c r="X185" s="97"/>
      <c r="Y185" s="97"/>
      <c r="Z185" s="97"/>
      <c r="AA185" s="97"/>
      <c r="AB185" s="97"/>
      <c r="AC185" s="97"/>
      <c r="AD185" s="107"/>
      <c r="AE185" s="107"/>
      <c r="AF185" s="107"/>
      <c r="AG185" s="107"/>
      <c r="AH185" s="107"/>
      <c r="AI185" s="107"/>
      <c r="AJ185" s="107"/>
      <c r="AK185" s="107"/>
      <c r="AL185" s="107"/>
      <c r="AM185" s="107"/>
      <c r="AN185" s="107"/>
      <c r="AO185" s="107"/>
      <c r="AP185" s="107"/>
      <c r="AQ185" s="107"/>
      <c r="AR185" s="107"/>
      <c r="AS185" s="107"/>
      <c r="AT185" s="107"/>
      <c r="AU185" s="107"/>
      <c r="AV185" s="107"/>
      <c r="AW185" s="107"/>
      <c r="AX185" s="107"/>
      <c r="AY185" s="107"/>
      <c r="AZ185" s="107"/>
      <c r="BA185" s="107"/>
      <c r="BB185" s="107"/>
      <c r="BC185" s="107"/>
      <c r="BD185" s="107"/>
      <c r="BE185" s="107"/>
      <c r="BF185" s="107"/>
      <c r="BG185" s="107"/>
      <c r="BH185" s="107"/>
      <c r="BI185" s="107"/>
      <c r="BJ185" s="107"/>
      <c r="BK185" s="107"/>
      <c r="BL185" s="107"/>
      <c r="BM185" s="107"/>
      <c r="BN185" s="107"/>
      <c r="BO185" s="107"/>
      <c r="BP185" s="107"/>
      <c r="BQ185" s="107"/>
      <c r="BR185" s="107"/>
      <c r="BS185" s="107"/>
      <c r="BT185" s="107"/>
      <c r="BU185" s="107"/>
      <c r="BV185" s="107"/>
      <c r="BW185" s="107"/>
      <c r="BX185" s="107"/>
      <c r="BY185" s="107"/>
      <c r="BZ185" s="107"/>
      <c r="CA185" s="107"/>
      <c r="CB185" s="107"/>
      <c r="CC185" s="107"/>
      <c r="CD185" s="107"/>
      <c r="CE185" s="107"/>
      <c r="CF185" s="107"/>
    </row>
    <row r="186" spans="2:84">
      <c r="B186" s="98"/>
      <c r="C186" s="98"/>
      <c r="D186" s="97"/>
      <c r="E186" s="97"/>
      <c r="F186" s="97"/>
      <c r="G186" s="97"/>
      <c r="H186" s="97"/>
      <c r="I186" s="97"/>
      <c r="J186" s="97"/>
      <c r="K186" s="97"/>
      <c r="L186" s="97"/>
      <c r="M186" s="97"/>
      <c r="N186" s="99"/>
      <c r="O186" s="97"/>
      <c r="P186" s="99"/>
      <c r="Q186" s="97"/>
      <c r="R186" s="97"/>
      <c r="S186" s="97"/>
      <c r="T186" s="97"/>
      <c r="U186" s="97"/>
      <c r="V186" s="97"/>
      <c r="W186" s="97"/>
      <c r="X186" s="97"/>
      <c r="Y186" s="97"/>
      <c r="Z186" s="97"/>
      <c r="AA186" s="97"/>
      <c r="AB186" s="97"/>
      <c r="AC186" s="97"/>
      <c r="AD186" s="107"/>
      <c r="AE186" s="107"/>
      <c r="AF186" s="107"/>
      <c r="AG186" s="107"/>
      <c r="AH186" s="107"/>
      <c r="AI186" s="107"/>
      <c r="AJ186" s="107"/>
      <c r="AK186" s="107"/>
      <c r="AL186" s="107"/>
      <c r="AM186" s="107"/>
      <c r="AN186" s="107"/>
      <c r="AO186" s="107"/>
      <c r="AP186" s="107"/>
      <c r="AQ186" s="107"/>
      <c r="AR186" s="107"/>
      <c r="AS186" s="107"/>
      <c r="AT186" s="107"/>
      <c r="AU186" s="107"/>
      <c r="AV186" s="107"/>
      <c r="AW186" s="107"/>
      <c r="AX186" s="107"/>
      <c r="AY186" s="107"/>
      <c r="AZ186" s="107"/>
      <c r="BA186" s="107"/>
      <c r="BB186" s="107"/>
      <c r="BC186" s="107"/>
      <c r="BD186" s="107"/>
      <c r="BE186" s="107"/>
      <c r="BF186" s="107"/>
      <c r="BG186" s="107"/>
      <c r="BH186" s="107"/>
      <c r="BI186" s="107"/>
      <c r="BJ186" s="107"/>
      <c r="BK186" s="107"/>
      <c r="BL186" s="107"/>
      <c r="BM186" s="107"/>
      <c r="BN186" s="107"/>
      <c r="BO186" s="107"/>
      <c r="BP186" s="107"/>
      <c r="BQ186" s="107"/>
      <c r="BR186" s="107"/>
      <c r="BS186" s="107"/>
      <c r="BT186" s="107"/>
      <c r="BU186" s="107"/>
      <c r="BV186" s="107"/>
      <c r="BW186" s="107"/>
      <c r="BX186" s="107"/>
      <c r="BY186" s="107"/>
      <c r="BZ186" s="107"/>
      <c r="CA186" s="107"/>
      <c r="CB186" s="107"/>
      <c r="CC186" s="107"/>
      <c r="CD186" s="107"/>
      <c r="CE186" s="107"/>
      <c r="CF186" s="107"/>
    </row>
    <row r="187" spans="2:84">
      <c r="B187" s="98"/>
      <c r="C187" s="98"/>
      <c r="D187" s="97"/>
      <c r="E187" s="97"/>
      <c r="F187" s="97"/>
      <c r="G187" s="97"/>
      <c r="H187" s="97"/>
      <c r="I187" s="97"/>
      <c r="J187" s="97"/>
      <c r="K187" s="97"/>
      <c r="L187" s="97"/>
      <c r="M187" s="97"/>
      <c r="N187" s="99"/>
      <c r="O187" s="97"/>
      <c r="P187" s="99"/>
      <c r="Q187" s="97"/>
      <c r="R187" s="97"/>
      <c r="S187" s="97"/>
      <c r="T187" s="97"/>
      <c r="U187" s="97"/>
      <c r="V187" s="97"/>
      <c r="W187" s="97"/>
      <c r="X187" s="97"/>
      <c r="Y187" s="97"/>
      <c r="Z187" s="97"/>
      <c r="AA187" s="97"/>
      <c r="AB187" s="97"/>
      <c r="AC187" s="97"/>
      <c r="AD187" s="107"/>
      <c r="AE187" s="107"/>
      <c r="AF187" s="107"/>
      <c r="AG187" s="107"/>
      <c r="AH187" s="107"/>
      <c r="AI187" s="107"/>
      <c r="AJ187" s="107"/>
      <c r="AK187" s="107"/>
      <c r="AL187" s="107"/>
      <c r="AM187" s="107"/>
      <c r="AN187" s="107"/>
      <c r="AO187" s="107"/>
      <c r="AP187" s="107"/>
      <c r="AQ187" s="107"/>
      <c r="AR187" s="107"/>
      <c r="AS187" s="107"/>
      <c r="AT187" s="107"/>
      <c r="AU187" s="107"/>
      <c r="AV187" s="107"/>
      <c r="AW187" s="107"/>
      <c r="AX187" s="107"/>
      <c r="AY187" s="107"/>
      <c r="AZ187" s="107"/>
      <c r="BA187" s="107"/>
      <c r="BB187" s="107"/>
      <c r="BC187" s="107"/>
      <c r="BD187" s="107"/>
      <c r="BE187" s="107"/>
      <c r="BF187" s="107"/>
      <c r="BG187" s="107"/>
      <c r="BH187" s="107"/>
      <c r="BI187" s="107"/>
      <c r="BJ187" s="107"/>
      <c r="BK187" s="107"/>
      <c r="BL187" s="107"/>
      <c r="BM187" s="107"/>
      <c r="BN187" s="107"/>
      <c r="BO187" s="107"/>
      <c r="BP187" s="107"/>
      <c r="BQ187" s="107"/>
      <c r="BR187" s="107"/>
      <c r="BS187" s="107"/>
      <c r="BT187" s="107"/>
      <c r="BU187" s="107"/>
      <c r="BV187" s="107"/>
      <c r="BW187" s="107"/>
      <c r="BX187" s="107"/>
      <c r="BY187" s="107"/>
      <c r="BZ187" s="107"/>
      <c r="CA187" s="107"/>
      <c r="CB187" s="107"/>
      <c r="CC187" s="107"/>
      <c r="CD187" s="107"/>
      <c r="CE187" s="107"/>
      <c r="CF187" s="107"/>
    </row>
    <row r="188" spans="2:84">
      <c r="B188" s="98"/>
      <c r="C188" s="98"/>
      <c r="D188" s="97"/>
      <c r="E188" s="97"/>
      <c r="F188" s="97"/>
      <c r="G188" s="97"/>
      <c r="H188" s="97"/>
      <c r="I188" s="97"/>
      <c r="J188" s="97"/>
      <c r="K188" s="97"/>
      <c r="L188" s="97"/>
      <c r="M188" s="97"/>
      <c r="N188" s="99"/>
      <c r="O188" s="97"/>
      <c r="P188" s="99"/>
      <c r="Q188" s="97"/>
      <c r="R188" s="97"/>
      <c r="S188" s="97"/>
      <c r="T188" s="97"/>
      <c r="U188" s="97"/>
      <c r="V188" s="97"/>
      <c r="W188" s="97"/>
      <c r="X188" s="97"/>
      <c r="Y188" s="97"/>
      <c r="Z188" s="97"/>
      <c r="AA188" s="97"/>
      <c r="AB188" s="97"/>
      <c r="AC188" s="97"/>
      <c r="AD188" s="107"/>
      <c r="AE188" s="107"/>
      <c r="AF188" s="107"/>
      <c r="AG188" s="107"/>
      <c r="AH188" s="107"/>
      <c r="AI188" s="107"/>
      <c r="AJ188" s="107"/>
      <c r="AK188" s="107"/>
      <c r="AL188" s="107"/>
      <c r="AM188" s="107"/>
      <c r="AN188" s="107"/>
      <c r="AO188" s="107"/>
      <c r="AP188" s="107"/>
      <c r="AQ188" s="107"/>
      <c r="AR188" s="107"/>
      <c r="AS188" s="107"/>
      <c r="AT188" s="107"/>
      <c r="AU188" s="107"/>
      <c r="AV188" s="107"/>
      <c r="AW188" s="107"/>
      <c r="AX188" s="107"/>
      <c r="AY188" s="107"/>
      <c r="AZ188" s="107"/>
      <c r="BA188" s="107"/>
      <c r="BB188" s="107"/>
      <c r="BC188" s="107"/>
      <c r="BD188" s="107"/>
      <c r="BE188" s="107"/>
      <c r="BF188" s="107"/>
      <c r="BG188" s="107"/>
      <c r="BH188" s="107"/>
      <c r="BI188" s="107"/>
      <c r="BJ188" s="107"/>
      <c r="BK188" s="107"/>
      <c r="BL188" s="107"/>
      <c r="BM188" s="107"/>
      <c r="BN188" s="107"/>
      <c r="BO188" s="107"/>
      <c r="BP188" s="107"/>
      <c r="BQ188" s="107"/>
      <c r="BR188" s="107"/>
      <c r="BS188" s="107"/>
      <c r="BT188" s="107"/>
      <c r="BU188" s="107"/>
      <c r="BV188" s="107"/>
      <c r="BW188" s="107"/>
      <c r="BX188" s="107"/>
      <c r="BY188" s="107"/>
      <c r="BZ188" s="107"/>
      <c r="CA188" s="107"/>
      <c r="CB188" s="107"/>
      <c r="CC188" s="107"/>
      <c r="CD188" s="107"/>
      <c r="CE188" s="107"/>
      <c r="CF188" s="107"/>
    </row>
    <row r="189" spans="2:84">
      <c r="B189" s="98"/>
      <c r="C189" s="98"/>
      <c r="D189" s="97"/>
      <c r="E189" s="97"/>
      <c r="F189" s="97"/>
      <c r="G189" s="97"/>
      <c r="H189" s="97"/>
      <c r="I189" s="97"/>
      <c r="J189" s="97"/>
      <c r="K189" s="97"/>
      <c r="L189" s="97"/>
      <c r="M189" s="97"/>
      <c r="N189" s="99"/>
      <c r="O189" s="97"/>
      <c r="P189" s="99"/>
      <c r="Q189" s="97"/>
      <c r="R189" s="97"/>
      <c r="S189" s="97"/>
      <c r="T189" s="97"/>
      <c r="U189" s="97"/>
      <c r="V189" s="97"/>
      <c r="W189" s="97"/>
      <c r="X189" s="97"/>
      <c r="Y189" s="97"/>
      <c r="Z189" s="97"/>
      <c r="AA189" s="97"/>
      <c r="AB189" s="97"/>
      <c r="AC189" s="97"/>
      <c r="AD189" s="107"/>
      <c r="AE189" s="107"/>
      <c r="AF189" s="107"/>
      <c r="AG189" s="107"/>
      <c r="AH189" s="107"/>
      <c r="AI189" s="107"/>
      <c r="AJ189" s="107"/>
      <c r="AK189" s="107"/>
      <c r="AL189" s="107"/>
      <c r="AM189" s="107"/>
      <c r="AN189" s="107"/>
      <c r="AO189" s="107"/>
      <c r="AP189" s="107"/>
      <c r="AQ189" s="107"/>
      <c r="AR189" s="107"/>
      <c r="AS189" s="107"/>
      <c r="AT189" s="107"/>
      <c r="AU189" s="107"/>
      <c r="AV189" s="107"/>
      <c r="AW189" s="107"/>
      <c r="AX189" s="107"/>
      <c r="AY189" s="107"/>
      <c r="AZ189" s="107"/>
      <c r="BA189" s="107"/>
      <c r="BB189" s="107"/>
      <c r="BC189" s="107"/>
      <c r="BD189" s="107"/>
      <c r="BE189" s="107"/>
      <c r="BF189" s="107"/>
      <c r="BG189" s="107"/>
      <c r="BH189" s="107"/>
      <c r="BI189" s="107"/>
      <c r="BJ189" s="107"/>
      <c r="BK189" s="107"/>
      <c r="BL189" s="107"/>
      <c r="BM189" s="107"/>
      <c r="BN189" s="107"/>
      <c r="BO189" s="107"/>
      <c r="BP189" s="107"/>
      <c r="BQ189" s="107"/>
      <c r="BR189" s="107"/>
      <c r="BS189" s="107"/>
      <c r="BT189" s="107"/>
      <c r="BU189" s="107"/>
      <c r="BV189" s="107"/>
      <c r="BW189" s="107"/>
      <c r="BX189" s="107"/>
      <c r="BY189" s="107"/>
      <c r="BZ189" s="107"/>
      <c r="CA189" s="107"/>
      <c r="CB189" s="107"/>
      <c r="CC189" s="107"/>
      <c r="CD189" s="107"/>
      <c r="CE189" s="107"/>
      <c r="CF189" s="107"/>
    </row>
    <row r="190" spans="2:84">
      <c r="B190" s="98"/>
      <c r="C190" s="98"/>
      <c r="D190" s="97"/>
      <c r="E190" s="97"/>
      <c r="F190" s="97"/>
      <c r="G190" s="97"/>
      <c r="H190" s="97"/>
      <c r="I190" s="97"/>
      <c r="J190" s="97"/>
      <c r="K190" s="97"/>
      <c r="L190" s="97"/>
      <c r="M190" s="97"/>
      <c r="N190" s="99"/>
      <c r="O190" s="97"/>
      <c r="P190" s="99"/>
      <c r="Q190" s="97"/>
      <c r="R190" s="97"/>
      <c r="S190" s="97"/>
      <c r="T190" s="97"/>
      <c r="U190" s="97"/>
      <c r="V190" s="97"/>
      <c r="W190" s="97"/>
      <c r="X190" s="97"/>
      <c r="Y190" s="97"/>
      <c r="Z190" s="97"/>
      <c r="AA190" s="97"/>
      <c r="AB190" s="97"/>
      <c r="AC190" s="97"/>
      <c r="AD190" s="107"/>
      <c r="AE190" s="107"/>
      <c r="AF190" s="107"/>
      <c r="AG190" s="107"/>
      <c r="AH190" s="107"/>
      <c r="AI190" s="107"/>
      <c r="AJ190" s="107"/>
      <c r="AK190" s="107"/>
      <c r="AL190" s="107"/>
      <c r="AM190" s="107"/>
      <c r="AN190" s="107"/>
      <c r="AO190" s="107"/>
      <c r="AP190" s="107"/>
      <c r="AQ190" s="107"/>
      <c r="AR190" s="107"/>
      <c r="AS190" s="107"/>
      <c r="AT190" s="107"/>
      <c r="AU190" s="107"/>
      <c r="AV190" s="107"/>
      <c r="AW190" s="107"/>
      <c r="AX190" s="107"/>
      <c r="AY190" s="107"/>
      <c r="AZ190" s="107"/>
      <c r="BA190" s="107"/>
      <c r="BB190" s="107"/>
      <c r="BC190" s="107"/>
      <c r="BD190" s="107"/>
      <c r="BE190" s="107"/>
      <c r="BF190" s="107"/>
      <c r="BG190" s="107"/>
      <c r="BH190" s="107"/>
      <c r="BI190" s="107"/>
      <c r="BJ190" s="107"/>
      <c r="BK190" s="107"/>
      <c r="BL190" s="107"/>
      <c r="BM190" s="107"/>
      <c r="BN190" s="107"/>
      <c r="BO190" s="107"/>
      <c r="BP190" s="107"/>
      <c r="BQ190" s="107"/>
      <c r="BR190" s="107"/>
      <c r="BS190" s="107"/>
      <c r="BT190" s="107"/>
      <c r="BU190" s="107"/>
      <c r="BV190" s="107"/>
      <c r="BW190" s="107"/>
      <c r="BX190" s="107"/>
      <c r="BY190" s="107"/>
      <c r="BZ190" s="107"/>
      <c r="CA190" s="107"/>
      <c r="CB190" s="107"/>
      <c r="CC190" s="107"/>
      <c r="CD190" s="107"/>
      <c r="CE190" s="107"/>
      <c r="CF190" s="107"/>
    </row>
    <row r="191" spans="2:84">
      <c r="B191" s="98"/>
      <c r="C191" s="98"/>
      <c r="D191" s="97"/>
      <c r="E191" s="97"/>
      <c r="F191" s="97"/>
      <c r="G191" s="97"/>
      <c r="H191" s="97"/>
      <c r="I191" s="97"/>
      <c r="J191" s="97"/>
      <c r="K191" s="97"/>
      <c r="L191" s="97"/>
      <c r="M191" s="97"/>
      <c r="N191" s="99"/>
      <c r="O191" s="97"/>
      <c r="P191" s="99"/>
      <c r="Q191" s="97"/>
      <c r="R191" s="97"/>
      <c r="S191" s="97"/>
      <c r="T191" s="97"/>
      <c r="U191" s="97"/>
      <c r="V191" s="97"/>
      <c r="W191" s="97"/>
      <c r="X191" s="97"/>
      <c r="Y191" s="97"/>
      <c r="Z191" s="97"/>
      <c r="AA191" s="97"/>
      <c r="AB191" s="97"/>
      <c r="AC191" s="97"/>
      <c r="AD191" s="107"/>
      <c r="AE191" s="107"/>
      <c r="AF191" s="107"/>
      <c r="AG191" s="107"/>
      <c r="AH191" s="107"/>
      <c r="AI191" s="107"/>
      <c r="AJ191" s="107"/>
      <c r="AK191" s="107"/>
      <c r="AL191" s="107"/>
      <c r="AM191" s="107"/>
      <c r="AN191" s="107"/>
      <c r="AO191" s="107"/>
      <c r="AP191" s="107"/>
      <c r="AQ191" s="107"/>
      <c r="AR191" s="107"/>
      <c r="AS191" s="107"/>
      <c r="AT191" s="107"/>
      <c r="AU191" s="107"/>
      <c r="AV191" s="107"/>
      <c r="AW191" s="107"/>
      <c r="AX191" s="107"/>
      <c r="AY191" s="107"/>
      <c r="AZ191" s="107"/>
      <c r="BA191" s="107"/>
      <c r="BB191" s="107"/>
      <c r="BC191" s="107"/>
      <c r="BD191" s="107"/>
      <c r="BE191" s="107"/>
      <c r="BF191" s="107"/>
      <c r="BG191" s="107"/>
      <c r="BH191" s="107"/>
      <c r="BI191" s="107"/>
      <c r="BJ191" s="107"/>
      <c r="BK191" s="107"/>
      <c r="BL191" s="107"/>
      <c r="BM191" s="107"/>
      <c r="BN191" s="107"/>
      <c r="BO191" s="107"/>
      <c r="BP191" s="107"/>
      <c r="BQ191" s="107"/>
      <c r="BR191" s="107"/>
      <c r="BS191" s="107"/>
      <c r="BT191" s="107"/>
      <c r="BU191" s="107"/>
      <c r="BV191" s="107"/>
      <c r="BW191" s="107"/>
      <c r="BX191" s="107"/>
      <c r="BY191" s="107"/>
      <c r="BZ191" s="107"/>
      <c r="CA191" s="107"/>
      <c r="CB191" s="107"/>
      <c r="CC191" s="107"/>
      <c r="CD191" s="107"/>
      <c r="CE191" s="107"/>
      <c r="CF191" s="107"/>
    </row>
    <row r="192" spans="2:84">
      <c r="B192" s="98"/>
      <c r="C192" s="98"/>
      <c r="D192" s="97"/>
      <c r="E192" s="97"/>
      <c r="F192" s="97"/>
      <c r="G192" s="97"/>
      <c r="H192" s="97"/>
      <c r="I192" s="97"/>
      <c r="J192" s="97"/>
      <c r="K192" s="97"/>
      <c r="L192" s="97"/>
      <c r="M192" s="97"/>
      <c r="N192" s="99"/>
      <c r="O192" s="97"/>
      <c r="P192" s="99"/>
      <c r="Q192" s="97"/>
      <c r="R192" s="97"/>
      <c r="S192" s="97"/>
      <c r="T192" s="97"/>
      <c r="U192" s="97"/>
      <c r="V192" s="97"/>
      <c r="W192" s="97"/>
      <c r="X192" s="97"/>
      <c r="Y192" s="97"/>
      <c r="Z192" s="97"/>
      <c r="AA192" s="97"/>
      <c r="AB192" s="97"/>
      <c r="AC192" s="97"/>
      <c r="AD192" s="107"/>
      <c r="AE192" s="107"/>
      <c r="AF192" s="107"/>
      <c r="AG192" s="107"/>
      <c r="AH192" s="107"/>
      <c r="AI192" s="107"/>
      <c r="AJ192" s="107"/>
      <c r="AK192" s="107"/>
      <c r="AL192" s="107"/>
      <c r="AM192" s="107"/>
      <c r="AN192" s="107"/>
      <c r="AO192" s="107"/>
      <c r="AP192" s="107"/>
      <c r="AQ192" s="107"/>
      <c r="AR192" s="107"/>
      <c r="AS192" s="107"/>
      <c r="AT192" s="107"/>
      <c r="AU192" s="107"/>
      <c r="AV192" s="107"/>
      <c r="AW192" s="107"/>
      <c r="AX192" s="107"/>
      <c r="AY192" s="107"/>
      <c r="AZ192" s="107"/>
      <c r="BA192" s="107"/>
      <c r="BB192" s="107"/>
      <c r="BC192" s="107"/>
      <c r="BD192" s="107"/>
      <c r="BE192" s="107"/>
      <c r="BF192" s="107"/>
      <c r="BG192" s="107"/>
      <c r="BH192" s="107"/>
      <c r="BI192" s="107"/>
      <c r="BJ192" s="107"/>
      <c r="BK192" s="107"/>
      <c r="BL192" s="107"/>
      <c r="BM192" s="107"/>
      <c r="BN192" s="107"/>
      <c r="BO192" s="107"/>
      <c r="BP192" s="107"/>
      <c r="BQ192" s="107"/>
      <c r="BR192" s="107"/>
      <c r="BS192" s="107"/>
      <c r="BT192" s="107"/>
      <c r="BU192" s="107"/>
      <c r="BV192" s="107"/>
      <c r="BW192" s="107"/>
      <c r="BX192" s="107"/>
      <c r="BY192" s="107"/>
      <c r="BZ192" s="107"/>
      <c r="CA192" s="107"/>
      <c r="CB192" s="107"/>
      <c r="CC192" s="107"/>
      <c r="CD192" s="107"/>
      <c r="CE192" s="107"/>
      <c r="CF192" s="107"/>
    </row>
    <row r="193" spans="2:84">
      <c r="B193" s="98"/>
      <c r="C193" s="98"/>
      <c r="D193" s="97"/>
      <c r="E193" s="97"/>
      <c r="F193" s="97"/>
      <c r="G193" s="97"/>
      <c r="H193" s="97"/>
      <c r="I193" s="97"/>
      <c r="J193" s="97"/>
      <c r="K193" s="97"/>
      <c r="L193" s="97"/>
      <c r="M193" s="97"/>
      <c r="N193" s="99"/>
      <c r="O193" s="97"/>
      <c r="P193" s="99"/>
      <c r="Q193" s="97"/>
      <c r="R193" s="97"/>
      <c r="S193" s="97"/>
      <c r="T193" s="97"/>
      <c r="U193" s="97"/>
      <c r="V193" s="97"/>
      <c r="W193" s="97"/>
      <c r="X193" s="97"/>
      <c r="Y193" s="97"/>
      <c r="Z193" s="97"/>
      <c r="AA193" s="97"/>
      <c r="AB193" s="97"/>
      <c r="AC193" s="97"/>
      <c r="AD193" s="107"/>
      <c r="AE193" s="107"/>
      <c r="AF193" s="107"/>
      <c r="AG193" s="107"/>
      <c r="AH193" s="107"/>
      <c r="AI193" s="107"/>
      <c r="AJ193" s="107"/>
      <c r="AK193" s="107"/>
      <c r="AL193" s="107"/>
      <c r="AM193" s="107"/>
      <c r="AN193" s="107"/>
      <c r="AO193" s="107"/>
      <c r="AP193" s="107"/>
      <c r="AQ193" s="107"/>
      <c r="AR193" s="107"/>
      <c r="AS193" s="107"/>
      <c r="AT193" s="107"/>
      <c r="AU193" s="107"/>
      <c r="AV193" s="107"/>
      <c r="AW193" s="107"/>
      <c r="AX193" s="107"/>
      <c r="AY193" s="107"/>
      <c r="AZ193" s="107"/>
      <c r="BA193" s="107"/>
      <c r="BB193" s="107"/>
      <c r="BC193" s="107"/>
      <c r="BD193" s="107"/>
      <c r="BE193" s="107"/>
      <c r="BF193" s="107"/>
      <c r="BG193" s="107"/>
      <c r="BH193" s="107"/>
      <c r="BI193" s="107"/>
      <c r="BJ193" s="107"/>
      <c r="BK193" s="107"/>
      <c r="BL193" s="107"/>
      <c r="BM193" s="107"/>
      <c r="BN193" s="107"/>
      <c r="BO193" s="107"/>
      <c r="BP193" s="107"/>
      <c r="BQ193" s="107"/>
      <c r="BR193" s="107"/>
      <c r="BS193" s="107"/>
      <c r="BT193" s="107"/>
      <c r="BU193" s="107"/>
      <c r="BV193" s="107"/>
      <c r="BW193" s="107"/>
      <c r="BX193" s="107"/>
      <c r="BY193" s="107"/>
      <c r="BZ193" s="107"/>
      <c r="CA193" s="107"/>
      <c r="CB193" s="107"/>
      <c r="CC193" s="107"/>
      <c r="CD193" s="107"/>
      <c r="CE193" s="107"/>
      <c r="CF193" s="107"/>
    </row>
    <row r="194" spans="2:84">
      <c r="B194" s="98"/>
      <c r="C194" s="98"/>
      <c r="D194" s="97"/>
      <c r="E194" s="97"/>
      <c r="F194" s="97"/>
      <c r="G194" s="97"/>
      <c r="H194" s="97"/>
      <c r="I194" s="97"/>
      <c r="J194" s="97"/>
      <c r="K194" s="97"/>
      <c r="L194" s="97"/>
      <c r="M194" s="97"/>
      <c r="N194" s="99"/>
      <c r="O194" s="97"/>
      <c r="P194" s="99"/>
      <c r="Q194" s="97"/>
      <c r="R194" s="97"/>
      <c r="S194" s="97"/>
      <c r="T194" s="97"/>
      <c r="U194" s="97"/>
      <c r="V194" s="97"/>
      <c r="W194" s="97"/>
      <c r="X194" s="97"/>
      <c r="Y194" s="97"/>
      <c r="Z194" s="97"/>
      <c r="AA194" s="97"/>
      <c r="AB194" s="97"/>
      <c r="AC194" s="97"/>
      <c r="AD194" s="107"/>
      <c r="AE194" s="107"/>
      <c r="AF194" s="107"/>
      <c r="AG194" s="107"/>
      <c r="AH194" s="107"/>
      <c r="AI194" s="107"/>
      <c r="AJ194" s="107"/>
      <c r="AK194" s="107"/>
      <c r="AL194" s="107"/>
      <c r="AM194" s="107"/>
      <c r="AN194" s="107"/>
      <c r="AO194" s="107"/>
      <c r="AP194" s="107"/>
      <c r="AQ194" s="107"/>
      <c r="AR194" s="107"/>
      <c r="AS194" s="107"/>
      <c r="AT194" s="107"/>
      <c r="AU194" s="107"/>
      <c r="AV194" s="107"/>
      <c r="AW194" s="107"/>
      <c r="AX194" s="107"/>
      <c r="AY194" s="107"/>
      <c r="AZ194" s="107"/>
      <c r="BA194" s="107"/>
      <c r="BB194" s="107"/>
      <c r="BC194" s="107"/>
      <c r="BD194" s="107"/>
      <c r="BE194" s="107"/>
      <c r="BF194" s="107"/>
      <c r="BG194" s="107"/>
      <c r="BH194" s="107"/>
      <c r="BI194" s="107"/>
      <c r="BJ194" s="107"/>
      <c r="BK194" s="107"/>
      <c r="BL194" s="107"/>
      <c r="BM194" s="107"/>
      <c r="BN194" s="107"/>
      <c r="BO194" s="107"/>
      <c r="BP194" s="107"/>
      <c r="BQ194" s="107"/>
      <c r="BR194" s="107"/>
      <c r="BS194" s="107"/>
      <c r="BT194" s="107"/>
      <c r="BU194" s="107"/>
      <c r="BV194" s="107"/>
      <c r="BW194" s="107"/>
      <c r="BX194" s="107"/>
      <c r="BY194" s="107"/>
      <c r="BZ194" s="107"/>
      <c r="CA194" s="107"/>
      <c r="CB194" s="107"/>
      <c r="CC194" s="107"/>
      <c r="CD194" s="107"/>
      <c r="CE194" s="107"/>
      <c r="CF194" s="107"/>
    </row>
    <row r="195" spans="2:84">
      <c r="B195" s="98"/>
      <c r="C195" s="98"/>
      <c r="D195" s="97"/>
      <c r="E195" s="97"/>
      <c r="F195" s="97"/>
      <c r="G195" s="97"/>
      <c r="H195" s="97"/>
      <c r="I195" s="97"/>
      <c r="J195" s="97"/>
      <c r="K195" s="97"/>
      <c r="L195" s="97"/>
      <c r="M195" s="97"/>
      <c r="N195" s="99"/>
      <c r="O195" s="97"/>
      <c r="P195" s="99"/>
      <c r="Q195" s="97"/>
      <c r="R195" s="97"/>
      <c r="S195" s="97"/>
      <c r="T195" s="97"/>
      <c r="U195" s="97"/>
      <c r="V195" s="97"/>
      <c r="W195" s="97"/>
      <c r="X195" s="97"/>
      <c r="Y195" s="97"/>
      <c r="Z195" s="97"/>
      <c r="AA195" s="97"/>
      <c r="AB195" s="97"/>
      <c r="AC195" s="97"/>
      <c r="AD195" s="107"/>
      <c r="AE195" s="107"/>
      <c r="AF195" s="107"/>
      <c r="AG195" s="107"/>
      <c r="AH195" s="107"/>
      <c r="AI195" s="107"/>
      <c r="AJ195" s="107"/>
      <c r="AK195" s="107"/>
      <c r="AL195" s="107"/>
      <c r="AM195" s="107"/>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7"/>
      <c r="BQ195" s="107"/>
      <c r="BR195" s="107"/>
      <c r="BS195" s="107"/>
      <c r="BT195" s="107"/>
      <c r="BU195" s="107"/>
      <c r="BV195" s="107"/>
      <c r="BW195" s="107"/>
      <c r="BX195" s="107"/>
      <c r="BY195" s="107"/>
      <c r="BZ195" s="107"/>
      <c r="CA195" s="107"/>
      <c r="CB195" s="107"/>
      <c r="CC195" s="107"/>
      <c r="CD195" s="107"/>
      <c r="CE195" s="107"/>
      <c r="CF195" s="107"/>
    </row>
    <row r="196" spans="2:84">
      <c r="B196" s="98"/>
      <c r="C196" s="98"/>
      <c r="D196" s="97"/>
      <c r="E196" s="97"/>
      <c r="F196" s="97"/>
      <c r="G196" s="97"/>
      <c r="H196" s="97"/>
      <c r="I196" s="97"/>
      <c r="J196" s="97"/>
      <c r="K196" s="97"/>
      <c r="L196" s="97"/>
      <c r="M196" s="97"/>
      <c r="N196" s="99"/>
      <c r="O196" s="97"/>
      <c r="P196" s="99"/>
      <c r="Q196" s="97"/>
      <c r="R196" s="97"/>
      <c r="S196" s="97"/>
      <c r="T196" s="97"/>
      <c r="U196" s="97"/>
      <c r="V196" s="97"/>
      <c r="W196" s="97"/>
      <c r="X196" s="97"/>
      <c r="Y196" s="97"/>
      <c r="Z196" s="97"/>
      <c r="AA196" s="97"/>
      <c r="AB196" s="97"/>
      <c r="AC196" s="97"/>
      <c r="AD196" s="107"/>
      <c r="AE196" s="107"/>
      <c r="AF196" s="107"/>
      <c r="AG196" s="107"/>
      <c r="AH196" s="107"/>
      <c r="AI196" s="107"/>
      <c r="AJ196" s="107"/>
      <c r="AK196" s="107"/>
      <c r="AL196" s="107"/>
      <c r="AM196" s="107"/>
      <c r="AN196" s="107"/>
      <c r="AO196" s="107"/>
      <c r="AP196" s="107"/>
      <c r="AQ196" s="107"/>
      <c r="AR196" s="107"/>
      <c r="AS196" s="107"/>
      <c r="AT196" s="107"/>
      <c r="AU196" s="107"/>
      <c r="AV196" s="107"/>
      <c r="AW196" s="107"/>
      <c r="AX196" s="107"/>
      <c r="AY196" s="107"/>
      <c r="AZ196" s="107"/>
      <c r="BA196" s="107"/>
      <c r="BB196" s="107"/>
      <c r="BC196" s="107"/>
      <c r="BD196" s="107"/>
      <c r="BE196" s="107"/>
      <c r="BF196" s="107"/>
      <c r="BG196" s="107"/>
      <c r="BH196" s="107"/>
      <c r="BI196" s="107"/>
      <c r="BJ196" s="107"/>
      <c r="BK196" s="107"/>
      <c r="BL196" s="107"/>
      <c r="BM196" s="107"/>
      <c r="BN196" s="107"/>
      <c r="BO196" s="107"/>
      <c r="BP196" s="107"/>
      <c r="BQ196" s="107"/>
      <c r="BR196" s="107"/>
      <c r="BS196" s="107"/>
      <c r="BT196" s="107"/>
      <c r="BU196" s="107"/>
      <c r="BV196" s="107"/>
      <c r="BW196" s="107"/>
      <c r="BX196" s="107"/>
      <c r="BY196" s="107"/>
      <c r="BZ196" s="107"/>
      <c r="CA196" s="107"/>
      <c r="CB196" s="107"/>
      <c r="CC196" s="107"/>
      <c r="CD196" s="107"/>
      <c r="CE196" s="107"/>
      <c r="CF196" s="107"/>
    </row>
    <row r="197" spans="2:84">
      <c r="B197" s="98"/>
      <c r="C197" s="98"/>
      <c r="D197" s="97"/>
      <c r="E197" s="97"/>
      <c r="F197" s="97"/>
      <c r="G197" s="97"/>
      <c r="H197" s="97"/>
      <c r="I197" s="97"/>
      <c r="J197" s="97"/>
      <c r="K197" s="97"/>
      <c r="L197" s="97"/>
      <c r="M197" s="97"/>
      <c r="N197" s="99"/>
      <c r="O197" s="97"/>
      <c r="P197" s="99"/>
      <c r="Q197" s="97"/>
      <c r="R197" s="97"/>
      <c r="S197" s="97"/>
      <c r="T197" s="97"/>
      <c r="U197" s="97"/>
      <c r="V197" s="97"/>
      <c r="W197" s="97"/>
      <c r="X197" s="97"/>
      <c r="Y197" s="97"/>
      <c r="Z197" s="97"/>
      <c r="AA197" s="97"/>
      <c r="AB197" s="97"/>
      <c r="AC197" s="97"/>
      <c r="AD197" s="107"/>
      <c r="AE197" s="107"/>
      <c r="AF197" s="107"/>
      <c r="AG197" s="107"/>
      <c r="AH197" s="107"/>
      <c r="AI197" s="107"/>
      <c r="AJ197" s="107"/>
      <c r="AK197" s="107"/>
      <c r="AL197" s="107"/>
      <c r="AM197" s="107"/>
      <c r="AN197" s="107"/>
      <c r="AO197" s="107"/>
      <c r="AP197" s="107"/>
      <c r="AQ197" s="107"/>
      <c r="AR197" s="107"/>
      <c r="AS197" s="107"/>
      <c r="AT197" s="107"/>
      <c r="AU197" s="107"/>
      <c r="AV197" s="107"/>
      <c r="AW197" s="107"/>
      <c r="AX197" s="107"/>
      <c r="AY197" s="107"/>
      <c r="AZ197" s="107"/>
      <c r="BA197" s="107"/>
      <c r="BB197" s="107"/>
      <c r="BC197" s="107"/>
      <c r="BD197" s="107"/>
      <c r="BE197" s="107"/>
      <c r="BF197" s="107"/>
      <c r="BG197" s="107"/>
      <c r="BH197" s="107"/>
      <c r="BI197" s="107"/>
      <c r="BJ197" s="107"/>
      <c r="BK197" s="107"/>
      <c r="BL197" s="107"/>
      <c r="BM197" s="107"/>
      <c r="BN197" s="107"/>
      <c r="BO197" s="107"/>
      <c r="BP197" s="107"/>
      <c r="BQ197" s="107"/>
      <c r="BR197" s="107"/>
      <c r="BS197" s="107"/>
      <c r="BT197" s="107"/>
      <c r="BU197" s="107"/>
      <c r="BV197" s="107"/>
      <c r="BW197" s="107"/>
      <c r="BX197" s="107"/>
      <c r="BY197" s="107"/>
      <c r="BZ197" s="107"/>
      <c r="CA197" s="107"/>
      <c r="CB197" s="107"/>
      <c r="CC197" s="107"/>
      <c r="CD197" s="107"/>
      <c r="CE197" s="107"/>
      <c r="CF197" s="107"/>
    </row>
    <row r="198" spans="2:84">
      <c r="B198" s="98"/>
      <c r="C198" s="98"/>
      <c r="D198" s="97"/>
      <c r="E198" s="97"/>
      <c r="F198" s="97"/>
      <c r="G198" s="97"/>
      <c r="H198" s="97"/>
      <c r="I198" s="97"/>
      <c r="J198" s="97"/>
      <c r="K198" s="97"/>
      <c r="L198" s="97"/>
      <c r="M198" s="97"/>
      <c r="N198" s="99"/>
      <c r="O198" s="97"/>
      <c r="P198" s="99"/>
      <c r="Q198" s="97"/>
      <c r="R198" s="97"/>
      <c r="S198" s="97"/>
      <c r="T198" s="97"/>
      <c r="U198" s="97"/>
      <c r="V198" s="97"/>
      <c r="W198" s="97"/>
      <c r="X198" s="97"/>
      <c r="Y198" s="97"/>
      <c r="Z198" s="97"/>
      <c r="AA198" s="97"/>
      <c r="AB198" s="97"/>
      <c r="AC198" s="97"/>
      <c r="AD198" s="107"/>
      <c r="AE198" s="107"/>
      <c r="AF198" s="107"/>
      <c r="AG198" s="107"/>
      <c r="AH198" s="107"/>
      <c r="AI198" s="107"/>
      <c r="AJ198" s="107"/>
      <c r="AK198" s="107"/>
      <c r="AL198" s="107"/>
      <c r="AM198" s="107"/>
      <c r="AN198" s="107"/>
      <c r="AO198" s="107"/>
      <c r="AP198" s="107"/>
      <c r="AQ198" s="107"/>
      <c r="AR198" s="107"/>
      <c r="AS198" s="107"/>
      <c r="AT198" s="107"/>
      <c r="AU198" s="107"/>
      <c r="AV198" s="107"/>
      <c r="AW198" s="107"/>
      <c r="AX198" s="107"/>
      <c r="AY198" s="107"/>
      <c r="AZ198" s="107"/>
      <c r="BA198" s="107"/>
      <c r="BB198" s="107"/>
      <c r="BC198" s="107"/>
      <c r="BD198" s="107"/>
      <c r="BE198" s="107"/>
      <c r="BF198" s="107"/>
      <c r="BG198" s="107"/>
      <c r="BH198" s="107"/>
      <c r="BI198" s="107"/>
      <c r="BJ198" s="107"/>
      <c r="BK198" s="107"/>
      <c r="BL198" s="107"/>
      <c r="BM198" s="107"/>
      <c r="BN198" s="107"/>
      <c r="BO198" s="107"/>
      <c r="BP198" s="107"/>
      <c r="BQ198" s="107"/>
      <c r="BR198" s="107"/>
      <c r="BS198" s="107"/>
      <c r="BT198" s="107"/>
      <c r="BU198" s="107"/>
      <c r="BV198" s="107"/>
      <c r="BW198" s="107"/>
      <c r="BX198" s="107"/>
      <c r="BY198" s="107"/>
      <c r="BZ198" s="107"/>
      <c r="CA198" s="107"/>
      <c r="CB198" s="107"/>
      <c r="CC198" s="107"/>
      <c r="CD198" s="107"/>
      <c r="CE198" s="107"/>
      <c r="CF198" s="107"/>
    </row>
    <row r="199" spans="2:84">
      <c r="B199" s="98"/>
      <c r="C199" s="98"/>
      <c r="D199" s="97"/>
      <c r="E199" s="97"/>
      <c r="F199" s="97"/>
      <c r="G199" s="97"/>
      <c r="H199" s="97"/>
      <c r="I199" s="97"/>
      <c r="J199" s="97"/>
      <c r="K199" s="97"/>
      <c r="L199" s="97"/>
      <c r="M199" s="97"/>
      <c r="N199" s="99"/>
      <c r="O199" s="97"/>
      <c r="P199" s="99"/>
      <c r="Q199" s="97"/>
      <c r="R199" s="97"/>
      <c r="S199" s="97"/>
      <c r="T199" s="97"/>
      <c r="U199" s="97"/>
      <c r="V199" s="97"/>
      <c r="W199" s="97"/>
      <c r="X199" s="97"/>
      <c r="Y199" s="97"/>
      <c r="Z199" s="97"/>
      <c r="AA199" s="97"/>
      <c r="AB199" s="97"/>
      <c r="AC199" s="97"/>
      <c r="AD199" s="107"/>
      <c r="AE199" s="107"/>
      <c r="AF199" s="107"/>
      <c r="AG199" s="107"/>
      <c r="AH199" s="107"/>
      <c r="AI199" s="107"/>
      <c r="AJ199" s="107"/>
      <c r="AK199" s="107"/>
      <c r="AL199" s="107"/>
      <c r="AM199" s="107"/>
      <c r="AN199" s="107"/>
      <c r="AO199" s="107"/>
      <c r="AP199" s="107"/>
      <c r="AQ199" s="107"/>
      <c r="AR199" s="107"/>
      <c r="AS199" s="107"/>
      <c r="AT199" s="107"/>
      <c r="AU199" s="107"/>
      <c r="AV199" s="107"/>
      <c r="AW199" s="107"/>
      <c r="AX199" s="107"/>
      <c r="AY199" s="107"/>
      <c r="AZ199" s="107"/>
      <c r="BA199" s="107"/>
      <c r="BB199" s="107"/>
      <c r="BC199" s="107"/>
      <c r="BD199" s="107"/>
      <c r="BE199" s="107"/>
      <c r="BF199" s="107"/>
      <c r="BG199" s="107"/>
      <c r="BH199" s="107"/>
      <c r="BI199" s="107"/>
      <c r="BJ199" s="107"/>
      <c r="BK199" s="107"/>
      <c r="BL199" s="107"/>
      <c r="BM199" s="107"/>
      <c r="BN199" s="107"/>
      <c r="BO199" s="107"/>
      <c r="BP199" s="107"/>
      <c r="BQ199" s="107"/>
      <c r="BR199" s="107"/>
      <c r="BS199" s="107"/>
      <c r="BT199" s="107"/>
      <c r="BU199" s="107"/>
      <c r="BV199" s="107"/>
      <c r="BW199" s="107"/>
      <c r="BX199" s="107"/>
      <c r="BY199" s="107"/>
      <c r="BZ199" s="107"/>
      <c r="CA199" s="107"/>
      <c r="CB199" s="107"/>
      <c r="CC199" s="107"/>
      <c r="CD199" s="107"/>
      <c r="CE199" s="107"/>
      <c r="CF199" s="107"/>
    </row>
    <row r="200" spans="2:84">
      <c r="B200" s="98"/>
      <c r="C200" s="98"/>
      <c r="D200" s="97"/>
      <c r="E200" s="97"/>
      <c r="F200" s="97"/>
      <c r="G200" s="97"/>
      <c r="H200" s="97"/>
      <c r="I200" s="97"/>
      <c r="J200" s="97"/>
      <c r="K200" s="97"/>
      <c r="L200" s="97"/>
      <c r="M200" s="97"/>
      <c r="N200" s="99"/>
      <c r="O200" s="97"/>
      <c r="P200" s="99"/>
      <c r="Q200" s="97"/>
      <c r="R200" s="97"/>
      <c r="S200" s="97"/>
      <c r="T200" s="97"/>
      <c r="U200" s="97"/>
      <c r="V200" s="97"/>
      <c r="W200" s="97"/>
      <c r="X200" s="97"/>
      <c r="Y200" s="97"/>
      <c r="Z200" s="97"/>
      <c r="AA200" s="97"/>
      <c r="AB200" s="97"/>
      <c r="AC200" s="97"/>
      <c r="AD200" s="107"/>
      <c r="AE200" s="107"/>
      <c r="AF200" s="107"/>
      <c r="AG200" s="107"/>
      <c r="AH200" s="107"/>
      <c r="AI200" s="107"/>
      <c r="AJ200" s="107"/>
      <c r="AK200" s="107"/>
      <c r="AL200" s="107"/>
      <c r="AM200" s="107"/>
      <c r="AN200" s="107"/>
      <c r="AO200" s="107"/>
      <c r="AP200" s="107"/>
      <c r="AQ200" s="107"/>
      <c r="AR200" s="107"/>
      <c r="AS200" s="107"/>
      <c r="AT200" s="107"/>
      <c r="AU200" s="107"/>
      <c r="AV200" s="107"/>
      <c r="AW200" s="107"/>
      <c r="AX200" s="107"/>
      <c r="AY200" s="107"/>
      <c r="AZ200" s="107"/>
      <c r="BA200" s="107"/>
      <c r="BB200" s="107"/>
      <c r="BC200" s="107"/>
      <c r="BD200" s="107"/>
      <c r="BE200" s="107"/>
      <c r="BF200" s="107"/>
      <c r="BG200" s="107"/>
      <c r="BH200" s="107"/>
      <c r="BI200" s="107"/>
      <c r="BJ200" s="107"/>
      <c r="BK200" s="107"/>
      <c r="BL200" s="107"/>
      <c r="BM200" s="107"/>
      <c r="BN200" s="107"/>
      <c r="BO200" s="107"/>
      <c r="BP200" s="107"/>
      <c r="BQ200" s="107"/>
      <c r="BR200" s="107"/>
      <c r="BS200" s="107"/>
      <c r="BT200" s="107"/>
      <c r="BU200" s="107"/>
      <c r="BV200" s="107"/>
      <c r="BW200" s="107"/>
      <c r="BX200" s="107"/>
      <c r="BY200" s="107"/>
      <c r="BZ200" s="107"/>
      <c r="CA200" s="107"/>
      <c r="CB200" s="107"/>
      <c r="CC200" s="107"/>
      <c r="CD200" s="107"/>
      <c r="CE200" s="107"/>
      <c r="CF200" s="107"/>
    </row>
    <row r="201" spans="2:84">
      <c r="B201" s="98"/>
      <c r="C201" s="98"/>
      <c r="D201" s="97"/>
      <c r="E201" s="97"/>
      <c r="F201" s="97"/>
      <c r="G201" s="97"/>
      <c r="H201" s="97"/>
      <c r="I201" s="97"/>
      <c r="J201" s="97"/>
      <c r="K201" s="97"/>
      <c r="L201" s="97"/>
      <c r="M201" s="97"/>
      <c r="N201" s="99"/>
      <c r="O201" s="97"/>
      <c r="P201" s="99"/>
      <c r="Q201" s="97"/>
      <c r="R201" s="97"/>
      <c r="S201" s="97"/>
      <c r="T201" s="97"/>
      <c r="U201" s="97"/>
      <c r="V201" s="97"/>
      <c r="W201" s="97"/>
      <c r="X201" s="97"/>
      <c r="Y201" s="97"/>
      <c r="Z201" s="97"/>
      <c r="AA201" s="97"/>
      <c r="AB201" s="97"/>
      <c r="AC201" s="97"/>
      <c r="AD201" s="107"/>
      <c r="AE201" s="107"/>
      <c r="AF201" s="107"/>
      <c r="AG201" s="107"/>
      <c r="AH201" s="107"/>
      <c r="AI201" s="107"/>
      <c r="AJ201" s="107"/>
      <c r="AK201" s="107"/>
      <c r="AL201" s="107"/>
      <c r="AM201" s="107"/>
      <c r="AN201" s="107"/>
      <c r="AO201" s="107"/>
      <c r="AP201" s="107"/>
      <c r="AQ201" s="107"/>
      <c r="AR201" s="107"/>
      <c r="AS201" s="107"/>
      <c r="AT201" s="107"/>
      <c r="AU201" s="107"/>
      <c r="AV201" s="107"/>
      <c r="AW201" s="107"/>
      <c r="AX201" s="107"/>
      <c r="AY201" s="107"/>
      <c r="AZ201" s="107"/>
      <c r="BA201" s="107"/>
      <c r="BB201" s="107"/>
      <c r="BC201" s="107"/>
      <c r="BD201" s="107"/>
      <c r="BE201" s="107"/>
      <c r="BF201" s="107"/>
      <c r="BG201" s="107"/>
      <c r="BH201" s="107"/>
      <c r="BI201" s="107"/>
      <c r="BJ201" s="107"/>
      <c r="BK201" s="107"/>
      <c r="BL201" s="107"/>
      <c r="BM201" s="107"/>
      <c r="BN201" s="107"/>
      <c r="BO201" s="107"/>
      <c r="BP201" s="107"/>
      <c r="BQ201" s="107"/>
      <c r="BR201" s="107"/>
      <c r="BS201" s="107"/>
      <c r="BT201" s="107"/>
      <c r="BU201" s="107"/>
      <c r="BV201" s="107"/>
      <c r="BW201" s="107"/>
      <c r="BX201" s="107"/>
      <c r="BY201" s="107"/>
      <c r="BZ201" s="107"/>
      <c r="CA201" s="107"/>
      <c r="CB201" s="107"/>
      <c r="CC201" s="107"/>
      <c r="CD201" s="107"/>
      <c r="CE201" s="107"/>
      <c r="CF201" s="107"/>
    </row>
    <row r="202" spans="2:84">
      <c r="B202" s="98"/>
      <c r="C202" s="98"/>
      <c r="D202" s="97"/>
      <c r="E202" s="97"/>
      <c r="F202" s="97"/>
      <c r="G202" s="97"/>
      <c r="H202" s="97"/>
      <c r="I202" s="97"/>
      <c r="J202" s="97"/>
      <c r="K202" s="97"/>
      <c r="L202" s="97"/>
      <c r="M202" s="97"/>
      <c r="N202" s="99"/>
      <c r="O202" s="97"/>
      <c r="P202" s="99"/>
      <c r="Q202" s="97"/>
      <c r="R202" s="97"/>
      <c r="S202" s="97"/>
      <c r="T202" s="97"/>
      <c r="U202" s="97"/>
      <c r="V202" s="97"/>
      <c r="W202" s="97"/>
      <c r="X202" s="97"/>
      <c r="Y202" s="97"/>
      <c r="Z202" s="97"/>
      <c r="AA202" s="97"/>
      <c r="AB202" s="97"/>
      <c r="AC202" s="97"/>
      <c r="AD202" s="107"/>
      <c r="AE202" s="107"/>
      <c r="AF202" s="107"/>
      <c r="AG202" s="107"/>
      <c r="AH202" s="107"/>
      <c r="AI202" s="107"/>
      <c r="AJ202" s="107"/>
      <c r="AK202" s="107"/>
      <c r="AL202" s="107"/>
      <c r="AM202" s="107"/>
      <c r="AN202" s="107"/>
      <c r="AO202" s="107"/>
      <c r="AP202" s="107"/>
      <c r="AQ202" s="107"/>
      <c r="AR202" s="107"/>
      <c r="AS202" s="107"/>
      <c r="AT202" s="107"/>
      <c r="AU202" s="107"/>
      <c r="AV202" s="107"/>
      <c r="AW202" s="107"/>
      <c r="AX202" s="107"/>
      <c r="AY202" s="107"/>
      <c r="AZ202" s="107"/>
      <c r="BA202" s="107"/>
      <c r="BB202" s="107"/>
      <c r="BC202" s="107"/>
      <c r="BD202" s="107"/>
      <c r="BE202" s="107"/>
      <c r="BF202" s="107"/>
      <c r="BG202" s="107"/>
      <c r="BH202" s="107"/>
      <c r="BI202" s="107"/>
      <c r="BJ202" s="107"/>
      <c r="BK202" s="107"/>
      <c r="BL202" s="107"/>
      <c r="BM202" s="107"/>
      <c r="BN202" s="107"/>
      <c r="BO202" s="107"/>
      <c r="BP202" s="107"/>
      <c r="BQ202" s="107"/>
      <c r="BR202" s="107"/>
      <c r="BS202" s="107"/>
      <c r="BT202" s="107"/>
      <c r="BU202" s="107"/>
      <c r="BV202" s="107"/>
      <c r="BW202" s="107"/>
      <c r="BX202" s="107"/>
      <c r="BY202" s="107"/>
      <c r="BZ202" s="107"/>
      <c r="CA202" s="107"/>
      <c r="CB202" s="107"/>
      <c r="CC202" s="107"/>
      <c r="CD202" s="107"/>
      <c r="CE202" s="107"/>
      <c r="CF202" s="107"/>
    </row>
    <row r="203" spans="2:84">
      <c r="B203" s="98"/>
      <c r="C203" s="98"/>
      <c r="D203" s="97"/>
      <c r="E203" s="97"/>
      <c r="F203" s="97"/>
      <c r="G203" s="97"/>
      <c r="H203" s="97"/>
      <c r="I203" s="97"/>
      <c r="J203" s="97"/>
      <c r="K203" s="97"/>
      <c r="L203" s="97"/>
      <c r="M203" s="97"/>
      <c r="N203" s="99"/>
      <c r="O203" s="97"/>
      <c r="P203" s="99"/>
      <c r="Q203" s="97"/>
      <c r="R203" s="97"/>
      <c r="S203" s="97"/>
      <c r="T203" s="97"/>
      <c r="U203" s="97"/>
      <c r="V203" s="97"/>
      <c r="W203" s="97"/>
      <c r="X203" s="97"/>
      <c r="Y203" s="97"/>
      <c r="Z203" s="97"/>
      <c r="AA203" s="97"/>
      <c r="AB203" s="97"/>
      <c r="AC203" s="97"/>
      <c r="AD203" s="107"/>
      <c r="AE203" s="107"/>
      <c r="AF203" s="107"/>
      <c r="AG203" s="107"/>
      <c r="AH203" s="107"/>
      <c r="AI203" s="107"/>
      <c r="AJ203" s="107"/>
      <c r="AK203" s="107"/>
      <c r="AL203" s="107"/>
      <c r="AM203" s="107"/>
      <c r="AN203" s="107"/>
      <c r="AO203" s="107"/>
      <c r="AP203" s="107"/>
      <c r="AQ203" s="107"/>
      <c r="AR203" s="107"/>
      <c r="AS203" s="107"/>
      <c r="AT203" s="107"/>
      <c r="AU203" s="107"/>
      <c r="AV203" s="107"/>
      <c r="AW203" s="107"/>
      <c r="AX203" s="107"/>
      <c r="AY203" s="107"/>
      <c r="AZ203" s="107"/>
      <c r="BA203" s="107"/>
      <c r="BB203" s="107"/>
      <c r="BC203" s="107"/>
      <c r="BD203" s="107"/>
      <c r="BE203" s="107"/>
      <c r="BF203" s="107"/>
      <c r="BG203" s="107"/>
      <c r="BH203" s="107"/>
      <c r="BI203" s="107"/>
      <c r="BJ203" s="107"/>
      <c r="BK203" s="107"/>
      <c r="BL203" s="107"/>
      <c r="BM203" s="107"/>
      <c r="BN203" s="107"/>
      <c r="BO203" s="107"/>
      <c r="BP203" s="107"/>
      <c r="BQ203" s="107"/>
      <c r="BR203" s="107"/>
      <c r="BS203" s="107"/>
      <c r="BT203" s="107"/>
      <c r="BU203" s="107"/>
      <c r="BV203" s="107"/>
      <c r="BW203" s="107"/>
      <c r="BX203" s="107"/>
      <c r="BY203" s="107"/>
      <c r="BZ203" s="107"/>
      <c r="CA203" s="107"/>
      <c r="CB203" s="107"/>
      <c r="CC203" s="107"/>
      <c r="CD203" s="107"/>
      <c r="CE203" s="107"/>
      <c r="CF203" s="107"/>
    </row>
    <row r="204" spans="2:84">
      <c r="B204" s="98"/>
      <c r="C204" s="98"/>
      <c r="D204" s="97"/>
      <c r="E204" s="97"/>
      <c r="F204" s="97"/>
      <c r="G204" s="97"/>
      <c r="H204" s="97"/>
      <c r="I204" s="97"/>
      <c r="J204" s="97"/>
      <c r="K204" s="97"/>
      <c r="L204" s="97"/>
      <c r="M204" s="97"/>
      <c r="N204" s="99"/>
      <c r="O204" s="97"/>
      <c r="P204" s="99"/>
      <c r="Q204" s="97"/>
      <c r="R204" s="97"/>
      <c r="S204" s="97"/>
      <c r="T204" s="97"/>
      <c r="U204" s="97"/>
      <c r="V204" s="97"/>
      <c r="W204" s="97"/>
      <c r="X204" s="97"/>
      <c r="Y204" s="97"/>
      <c r="Z204" s="97"/>
      <c r="AA204" s="97"/>
      <c r="AB204" s="97"/>
      <c r="AC204" s="97"/>
      <c r="AD204" s="107"/>
      <c r="AE204" s="107"/>
      <c r="AF204" s="107"/>
      <c r="AG204" s="107"/>
      <c r="AH204" s="107"/>
      <c r="AI204" s="107"/>
      <c r="AJ204" s="107"/>
      <c r="AK204" s="107"/>
      <c r="AL204" s="107"/>
      <c r="AM204" s="107"/>
      <c r="AN204" s="107"/>
      <c r="AO204" s="107"/>
      <c r="AP204" s="107"/>
      <c r="AQ204" s="107"/>
      <c r="AR204" s="107"/>
      <c r="AS204" s="107"/>
      <c r="AT204" s="107"/>
      <c r="AU204" s="107"/>
      <c r="AV204" s="107"/>
      <c r="AW204" s="107"/>
      <c r="AX204" s="107"/>
      <c r="AY204" s="107"/>
      <c r="AZ204" s="107"/>
      <c r="BA204" s="107"/>
      <c r="BB204" s="107"/>
      <c r="BC204" s="107"/>
      <c r="BD204" s="107"/>
      <c r="BE204" s="107"/>
      <c r="BF204" s="107"/>
      <c r="BG204" s="107"/>
      <c r="BH204" s="107"/>
      <c r="BI204" s="107"/>
      <c r="BJ204" s="107"/>
      <c r="BK204" s="107"/>
      <c r="BL204" s="107"/>
      <c r="BM204" s="107"/>
      <c r="BN204" s="107"/>
      <c r="BO204" s="107"/>
      <c r="BP204" s="107"/>
      <c r="BQ204" s="107"/>
      <c r="BR204" s="107"/>
      <c r="BS204" s="107"/>
      <c r="BT204" s="107"/>
      <c r="BU204" s="107"/>
      <c r="BV204" s="107"/>
      <c r="BW204" s="107"/>
      <c r="BX204" s="107"/>
      <c r="BY204" s="107"/>
      <c r="BZ204" s="107"/>
      <c r="CA204" s="107"/>
      <c r="CB204" s="107"/>
      <c r="CC204" s="107"/>
      <c r="CD204" s="107"/>
      <c r="CE204" s="107"/>
      <c r="CF204" s="107"/>
    </row>
    <row r="205" spans="2:84">
      <c r="B205" s="98"/>
      <c r="C205" s="98"/>
      <c r="D205" s="97"/>
      <c r="E205" s="97"/>
      <c r="F205" s="97"/>
      <c r="G205" s="97"/>
      <c r="H205" s="97"/>
      <c r="I205" s="97"/>
      <c r="J205" s="97"/>
      <c r="K205" s="97"/>
      <c r="L205" s="97"/>
      <c r="M205" s="97"/>
      <c r="N205" s="99"/>
      <c r="O205" s="97"/>
      <c r="P205" s="99"/>
      <c r="Q205" s="97"/>
      <c r="R205" s="97"/>
      <c r="S205" s="97"/>
      <c r="T205" s="97"/>
      <c r="U205" s="97"/>
      <c r="V205" s="97"/>
      <c r="W205" s="97"/>
      <c r="X205" s="97"/>
      <c r="Y205" s="97"/>
      <c r="Z205" s="97"/>
      <c r="AA205" s="97"/>
      <c r="AB205" s="97"/>
      <c r="AC205" s="97"/>
      <c r="AD205" s="107"/>
      <c r="AE205" s="107"/>
      <c r="AF205" s="107"/>
      <c r="AG205" s="107"/>
      <c r="AH205" s="107"/>
      <c r="AI205" s="107"/>
      <c r="AJ205" s="107"/>
      <c r="AK205" s="107"/>
      <c r="AL205" s="107"/>
      <c r="AM205" s="107"/>
      <c r="AN205" s="107"/>
      <c r="AO205" s="107"/>
      <c r="AP205" s="107"/>
      <c r="AQ205" s="107"/>
      <c r="AR205" s="107"/>
      <c r="AS205" s="107"/>
      <c r="AT205" s="107"/>
      <c r="AU205" s="107"/>
      <c r="AV205" s="107"/>
      <c r="AW205" s="107"/>
      <c r="AX205" s="107"/>
      <c r="AY205" s="107"/>
      <c r="AZ205" s="107"/>
      <c r="BA205" s="107"/>
      <c r="BB205" s="107"/>
      <c r="BC205" s="107"/>
      <c r="BD205" s="107"/>
      <c r="BE205" s="107"/>
      <c r="BF205" s="107"/>
      <c r="BG205" s="107"/>
      <c r="BH205" s="107"/>
      <c r="BI205" s="107"/>
      <c r="BJ205" s="107"/>
      <c r="BK205" s="107"/>
      <c r="BL205" s="107"/>
      <c r="BM205" s="107"/>
      <c r="BN205" s="107"/>
      <c r="BO205" s="107"/>
      <c r="BP205" s="107"/>
      <c r="BQ205" s="107"/>
      <c r="BR205" s="107"/>
      <c r="BS205" s="107"/>
      <c r="BT205" s="107"/>
      <c r="BU205" s="107"/>
      <c r="BV205" s="107"/>
      <c r="BW205" s="107"/>
      <c r="BX205" s="107"/>
      <c r="BY205" s="107"/>
      <c r="BZ205" s="107"/>
      <c r="CA205" s="107"/>
      <c r="CB205" s="107"/>
      <c r="CC205" s="107"/>
      <c r="CD205" s="107"/>
      <c r="CE205" s="107"/>
      <c r="CF205" s="107"/>
    </row>
    <row r="206" spans="2:84">
      <c r="B206" s="98"/>
      <c r="C206" s="98"/>
      <c r="D206" s="97"/>
      <c r="E206" s="97"/>
      <c r="F206" s="97"/>
      <c r="G206" s="97"/>
      <c r="H206" s="97"/>
      <c r="I206" s="97"/>
      <c r="J206" s="97"/>
      <c r="K206" s="97"/>
      <c r="L206" s="97"/>
      <c r="M206" s="97"/>
      <c r="N206" s="99"/>
      <c r="O206" s="97"/>
      <c r="P206" s="99"/>
      <c r="Q206" s="97"/>
      <c r="R206" s="97"/>
      <c r="S206" s="97"/>
      <c r="T206" s="97"/>
      <c r="U206" s="97"/>
      <c r="V206" s="97"/>
      <c r="W206" s="97"/>
      <c r="X206" s="97"/>
      <c r="Y206" s="97"/>
      <c r="Z206" s="97"/>
      <c r="AA206" s="97"/>
      <c r="AB206" s="97"/>
      <c r="AC206" s="97"/>
      <c r="AD206" s="107"/>
      <c r="AE206" s="107"/>
      <c r="AF206" s="107"/>
      <c r="AG206" s="107"/>
      <c r="AH206" s="107"/>
      <c r="AI206" s="107"/>
      <c r="AJ206" s="107"/>
      <c r="AK206" s="107"/>
      <c r="AL206" s="107"/>
      <c r="AM206" s="107"/>
      <c r="AN206" s="107"/>
      <c r="AO206" s="107"/>
      <c r="AP206" s="107"/>
      <c r="AQ206" s="107"/>
      <c r="AR206" s="107"/>
      <c r="AS206" s="107"/>
      <c r="AT206" s="107"/>
      <c r="AU206" s="107"/>
      <c r="AV206" s="107"/>
      <c r="AW206" s="107"/>
      <c r="AX206" s="107"/>
      <c r="AY206" s="107"/>
      <c r="AZ206" s="107"/>
      <c r="BA206" s="107"/>
      <c r="BB206" s="107"/>
      <c r="BC206" s="107"/>
      <c r="BD206" s="107"/>
      <c r="BE206" s="107"/>
      <c r="BF206" s="107"/>
      <c r="BG206" s="107"/>
      <c r="BH206" s="107"/>
      <c r="BI206" s="107"/>
      <c r="BJ206" s="107"/>
      <c r="BK206" s="107"/>
      <c r="BL206" s="107"/>
      <c r="BM206" s="107"/>
      <c r="BN206" s="107"/>
      <c r="BO206" s="107"/>
      <c r="BP206" s="107"/>
      <c r="BQ206" s="107"/>
      <c r="BR206" s="107"/>
      <c r="BS206" s="107"/>
      <c r="BT206" s="107"/>
      <c r="BU206" s="107"/>
      <c r="BV206" s="107"/>
      <c r="BW206" s="107"/>
      <c r="BX206" s="107"/>
      <c r="BY206" s="107"/>
      <c r="BZ206" s="107"/>
      <c r="CA206" s="107"/>
      <c r="CB206" s="107"/>
      <c r="CC206" s="107"/>
      <c r="CD206" s="107"/>
      <c r="CE206" s="107"/>
      <c r="CF206" s="107"/>
    </row>
    <row r="207" spans="2:84">
      <c r="B207" s="98"/>
      <c r="C207" s="98"/>
      <c r="D207" s="97"/>
      <c r="E207" s="97"/>
      <c r="F207" s="97"/>
      <c r="G207" s="97"/>
      <c r="H207" s="97"/>
      <c r="I207" s="97"/>
      <c r="J207" s="97"/>
      <c r="K207" s="97"/>
      <c r="L207" s="97"/>
      <c r="M207" s="97"/>
      <c r="N207" s="99"/>
      <c r="O207" s="97"/>
      <c r="P207" s="99"/>
      <c r="Q207" s="97"/>
      <c r="R207" s="97"/>
      <c r="S207" s="97"/>
      <c r="T207" s="97"/>
      <c r="U207" s="97"/>
      <c r="V207" s="97"/>
      <c r="W207" s="97"/>
      <c r="X207" s="97"/>
      <c r="Y207" s="97"/>
      <c r="Z207" s="97"/>
      <c r="AA207" s="97"/>
      <c r="AB207" s="97"/>
      <c r="AC207" s="97"/>
      <c r="AD207" s="107"/>
      <c r="AE207" s="107"/>
      <c r="AF207" s="107"/>
      <c r="AG207" s="107"/>
      <c r="AH207" s="107"/>
      <c r="AI207" s="107"/>
      <c r="AJ207" s="107"/>
      <c r="AK207" s="107"/>
      <c r="AL207" s="107"/>
      <c r="AM207" s="107"/>
      <c r="AN207" s="107"/>
      <c r="AO207" s="107"/>
      <c r="AP207" s="107"/>
      <c r="AQ207" s="107"/>
      <c r="AR207" s="107"/>
      <c r="AS207" s="107"/>
      <c r="AT207" s="107"/>
      <c r="AU207" s="107"/>
      <c r="AV207" s="107"/>
      <c r="AW207" s="107"/>
      <c r="AX207" s="107"/>
      <c r="AY207" s="107"/>
      <c r="AZ207" s="107"/>
      <c r="BA207" s="107"/>
      <c r="BB207" s="107"/>
      <c r="BC207" s="107"/>
      <c r="BD207" s="107"/>
      <c r="BE207" s="107"/>
      <c r="BF207" s="107"/>
      <c r="BG207" s="107"/>
      <c r="BH207" s="107"/>
      <c r="BI207" s="107"/>
      <c r="BJ207" s="107"/>
      <c r="BK207" s="107"/>
      <c r="BL207" s="107"/>
      <c r="BM207" s="107"/>
      <c r="BN207" s="107"/>
      <c r="BO207" s="107"/>
      <c r="BP207" s="107"/>
      <c r="BQ207" s="107"/>
      <c r="BR207" s="107"/>
      <c r="BS207" s="107"/>
      <c r="BT207" s="107"/>
      <c r="BU207" s="107"/>
      <c r="BV207" s="107"/>
      <c r="BW207" s="107"/>
      <c r="BX207" s="107"/>
      <c r="BY207" s="107"/>
      <c r="BZ207" s="107"/>
      <c r="CA207" s="107"/>
      <c r="CB207" s="107"/>
      <c r="CC207" s="107"/>
      <c r="CD207" s="107"/>
      <c r="CE207" s="107"/>
      <c r="CF207" s="107"/>
    </row>
    <row r="208" spans="2:84">
      <c r="B208" s="98"/>
      <c r="C208" s="98"/>
      <c r="D208" s="97"/>
      <c r="E208" s="97"/>
      <c r="F208" s="97"/>
      <c r="G208" s="97"/>
      <c r="H208" s="97"/>
      <c r="I208" s="97"/>
      <c r="J208" s="97"/>
      <c r="K208" s="97"/>
      <c r="L208" s="97"/>
      <c r="M208" s="97"/>
      <c r="N208" s="99"/>
      <c r="O208" s="97"/>
      <c r="P208" s="99"/>
      <c r="Q208" s="97"/>
      <c r="R208" s="97"/>
      <c r="S208" s="97"/>
      <c r="T208" s="97"/>
      <c r="U208" s="97"/>
      <c r="V208" s="97"/>
      <c r="W208" s="97"/>
      <c r="X208" s="97"/>
      <c r="Y208" s="97"/>
      <c r="Z208" s="97"/>
      <c r="AA208" s="97"/>
      <c r="AB208" s="97"/>
      <c r="AC208" s="97"/>
      <c r="AD208" s="107"/>
      <c r="AE208" s="107"/>
      <c r="AF208" s="107"/>
      <c r="AG208" s="107"/>
      <c r="AH208" s="107"/>
      <c r="AI208" s="107"/>
      <c r="AJ208" s="107"/>
      <c r="AK208" s="107"/>
      <c r="AL208" s="107"/>
      <c r="AM208" s="107"/>
      <c r="AN208" s="107"/>
      <c r="AO208" s="107"/>
      <c r="AP208" s="107"/>
      <c r="AQ208" s="107"/>
      <c r="AR208" s="107"/>
      <c r="AS208" s="107"/>
      <c r="AT208" s="107"/>
      <c r="AU208" s="107"/>
      <c r="AV208" s="107"/>
      <c r="AW208" s="107"/>
      <c r="AX208" s="107"/>
      <c r="AY208" s="107"/>
      <c r="AZ208" s="107"/>
      <c r="BA208" s="107"/>
      <c r="BB208" s="107"/>
      <c r="BC208" s="107"/>
      <c r="BD208" s="107"/>
      <c r="BE208" s="107"/>
      <c r="BF208" s="107"/>
      <c r="BG208" s="107"/>
      <c r="BH208" s="107"/>
      <c r="BI208" s="107"/>
      <c r="BJ208" s="107"/>
      <c r="BK208" s="107"/>
      <c r="BL208" s="107"/>
      <c r="BM208" s="107"/>
      <c r="BN208" s="107"/>
      <c r="BO208" s="107"/>
      <c r="BP208" s="107"/>
      <c r="BQ208" s="107"/>
      <c r="BR208" s="107"/>
      <c r="BS208" s="107"/>
      <c r="BT208" s="107"/>
      <c r="BU208" s="107"/>
      <c r="BV208" s="107"/>
      <c r="BW208" s="107"/>
      <c r="BX208" s="107"/>
      <c r="BY208" s="107"/>
      <c r="BZ208" s="107"/>
      <c r="CA208" s="107"/>
      <c r="CB208" s="107"/>
      <c r="CC208" s="107"/>
      <c r="CD208" s="107"/>
      <c r="CE208" s="107"/>
      <c r="CF208" s="107"/>
    </row>
    <row r="209" spans="2:84">
      <c r="B209" s="98"/>
      <c r="C209" s="98"/>
      <c r="D209" s="97"/>
      <c r="E209" s="97"/>
      <c r="F209" s="97"/>
      <c r="G209" s="97"/>
      <c r="H209" s="97"/>
      <c r="I209" s="97"/>
      <c r="J209" s="97"/>
      <c r="K209" s="97"/>
      <c r="L209" s="97"/>
      <c r="M209" s="97"/>
      <c r="N209" s="99"/>
      <c r="O209" s="97"/>
      <c r="P209" s="99"/>
      <c r="Q209" s="97"/>
      <c r="R209" s="97"/>
      <c r="S209" s="97"/>
      <c r="T209" s="97"/>
      <c r="U209" s="97"/>
      <c r="V209" s="97"/>
      <c r="W209" s="97"/>
      <c r="X209" s="97"/>
      <c r="Y209" s="97"/>
      <c r="Z209" s="97"/>
      <c r="AA209" s="97"/>
      <c r="AB209" s="97"/>
      <c r="AC209" s="97"/>
      <c r="AD209" s="107"/>
      <c r="AE209" s="107"/>
      <c r="AF209" s="107"/>
      <c r="AG209" s="107"/>
      <c r="AH209" s="107"/>
      <c r="AI209" s="107"/>
      <c r="AJ209" s="107"/>
      <c r="AK209" s="107"/>
      <c r="AL209" s="107"/>
      <c r="AM209" s="107"/>
      <c r="AN209" s="107"/>
      <c r="AO209" s="107"/>
      <c r="AP209" s="107"/>
      <c r="AQ209" s="107"/>
      <c r="AR209" s="107"/>
      <c r="AS209" s="107"/>
      <c r="AT209" s="107"/>
      <c r="AU209" s="107"/>
      <c r="AV209" s="107"/>
      <c r="AW209" s="107"/>
      <c r="AX209" s="107"/>
      <c r="AY209" s="107"/>
      <c r="AZ209" s="107"/>
      <c r="BA209" s="107"/>
      <c r="BB209" s="107"/>
      <c r="BC209" s="107"/>
      <c r="BD209" s="107"/>
      <c r="BE209" s="107"/>
      <c r="BF209" s="107"/>
      <c r="BG209" s="107"/>
      <c r="BH209" s="107"/>
      <c r="BI209" s="107"/>
      <c r="BJ209" s="107"/>
      <c r="BK209" s="107"/>
      <c r="BL209" s="107"/>
      <c r="BM209" s="107"/>
      <c r="BN209" s="107"/>
      <c r="BO209" s="107"/>
      <c r="BP209" s="107"/>
      <c r="BQ209" s="107"/>
      <c r="BR209" s="107"/>
      <c r="BS209" s="107"/>
      <c r="BT209" s="107"/>
      <c r="BU209" s="107"/>
      <c r="BV209" s="107"/>
      <c r="BW209" s="107"/>
      <c r="BX209" s="107"/>
      <c r="BY209" s="107"/>
      <c r="BZ209" s="107"/>
      <c r="CA209" s="107"/>
      <c r="CB209" s="107"/>
      <c r="CC209" s="107"/>
      <c r="CD209" s="107"/>
      <c r="CE209" s="107"/>
      <c r="CF209" s="107"/>
    </row>
    <row r="210" spans="2:84">
      <c r="B210" s="98"/>
      <c r="C210" s="98"/>
      <c r="D210" s="97"/>
      <c r="E210" s="97"/>
      <c r="F210" s="97"/>
      <c r="G210" s="97"/>
      <c r="H210" s="97"/>
      <c r="I210" s="97"/>
      <c r="J210" s="97"/>
      <c r="K210" s="97"/>
      <c r="L210" s="97"/>
      <c r="M210" s="97"/>
      <c r="N210" s="99"/>
      <c r="O210" s="97"/>
      <c r="P210" s="99"/>
      <c r="Q210" s="97"/>
      <c r="R210" s="97"/>
      <c r="S210" s="97"/>
      <c r="T210" s="97"/>
      <c r="U210" s="97"/>
      <c r="V210" s="97"/>
      <c r="W210" s="97"/>
      <c r="X210" s="97"/>
      <c r="Y210" s="97"/>
      <c r="Z210" s="97"/>
      <c r="AA210" s="97"/>
      <c r="AB210" s="97"/>
      <c r="AC210" s="97"/>
      <c r="AD210" s="107"/>
      <c r="AE210" s="107"/>
      <c r="AF210" s="107"/>
      <c r="AG210" s="107"/>
      <c r="AH210" s="107"/>
      <c r="AI210" s="107"/>
      <c r="AJ210" s="107"/>
      <c r="AK210" s="107"/>
      <c r="AL210" s="107"/>
      <c r="AM210" s="107"/>
      <c r="AN210" s="107"/>
      <c r="AO210" s="107"/>
      <c r="AP210" s="107"/>
      <c r="AQ210" s="107"/>
      <c r="AR210" s="107"/>
      <c r="AS210" s="107"/>
      <c r="AT210" s="107"/>
      <c r="AU210" s="107"/>
      <c r="AV210" s="107"/>
      <c r="AW210" s="107"/>
      <c r="AX210" s="107"/>
      <c r="AY210" s="107"/>
      <c r="AZ210" s="107"/>
      <c r="BA210" s="107"/>
      <c r="BB210" s="107"/>
      <c r="BC210" s="107"/>
      <c r="BD210" s="107"/>
      <c r="BE210" s="107"/>
      <c r="BF210" s="107"/>
      <c r="BG210" s="107"/>
      <c r="BH210" s="107"/>
      <c r="BI210" s="107"/>
      <c r="BJ210" s="107"/>
      <c r="BK210" s="107"/>
      <c r="BL210" s="107"/>
      <c r="BM210" s="107"/>
      <c r="BN210" s="107"/>
      <c r="BO210" s="107"/>
      <c r="BP210" s="107"/>
      <c r="BQ210" s="107"/>
      <c r="BR210" s="107"/>
      <c r="BS210" s="107"/>
      <c r="BT210" s="107"/>
      <c r="BU210" s="107"/>
      <c r="BV210" s="107"/>
      <c r="BW210" s="107"/>
      <c r="BX210" s="107"/>
      <c r="BY210" s="107"/>
      <c r="BZ210" s="107"/>
      <c r="CA210" s="107"/>
      <c r="CB210" s="107"/>
      <c r="CC210" s="107"/>
      <c r="CD210" s="107"/>
      <c r="CE210" s="107"/>
      <c r="CF210" s="107"/>
    </row>
    <row r="211" spans="2:84">
      <c r="B211" s="98"/>
      <c r="C211" s="98"/>
      <c r="D211" s="97"/>
      <c r="E211" s="97"/>
      <c r="F211" s="97"/>
      <c r="G211" s="97"/>
      <c r="H211" s="97"/>
      <c r="I211" s="97"/>
      <c r="J211" s="97"/>
      <c r="K211" s="97"/>
      <c r="L211" s="97"/>
      <c r="M211" s="97"/>
      <c r="N211" s="99"/>
      <c r="O211" s="97"/>
      <c r="P211" s="99"/>
      <c r="Q211" s="97"/>
      <c r="R211" s="97"/>
      <c r="S211" s="97"/>
      <c r="T211" s="97"/>
      <c r="U211" s="97"/>
      <c r="V211" s="97"/>
      <c r="W211" s="97"/>
      <c r="X211" s="97"/>
      <c r="Y211" s="97"/>
      <c r="Z211" s="97"/>
      <c r="AA211" s="97"/>
      <c r="AB211" s="97"/>
      <c r="AC211" s="97"/>
      <c r="AD211" s="107"/>
      <c r="AE211" s="107"/>
      <c r="AF211" s="107"/>
      <c r="AG211" s="107"/>
      <c r="AH211" s="107"/>
      <c r="AI211" s="107"/>
      <c r="AJ211" s="107"/>
      <c r="AK211" s="107"/>
      <c r="AL211" s="107"/>
      <c r="AM211" s="107"/>
      <c r="AN211" s="107"/>
      <c r="AO211" s="107"/>
      <c r="AP211" s="107"/>
      <c r="AQ211" s="107"/>
      <c r="AR211" s="107"/>
      <c r="AS211" s="107"/>
      <c r="AT211" s="107"/>
      <c r="AU211" s="107"/>
      <c r="AV211" s="107"/>
      <c r="AW211" s="107"/>
      <c r="AX211" s="107"/>
      <c r="AY211" s="107"/>
      <c r="AZ211" s="107"/>
      <c r="BA211" s="107"/>
      <c r="BB211" s="107"/>
      <c r="BC211" s="107"/>
      <c r="BD211" s="107"/>
      <c r="BE211" s="107"/>
      <c r="BF211" s="107"/>
      <c r="BG211" s="107"/>
      <c r="BH211" s="107"/>
      <c r="BI211" s="107"/>
      <c r="BJ211" s="107"/>
      <c r="BK211" s="107"/>
      <c r="BL211" s="107"/>
      <c r="BM211" s="107"/>
      <c r="BN211" s="107"/>
      <c r="BO211" s="107"/>
      <c r="BP211" s="107"/>
      <c r="BQ211" s="107"/>
      <c r="BR211" s="107"/>
      <c r="BS211" s="107"/>
      <c r="BT211" s="107"/>
      <c r="BU211" s="107"/>
      <c r="BV211" s="107"/>
      <c r="BW211" s="107"/>
      <c r="BX211" s="107"/>
      <c r="BY211" s="107"/>
      <c r="BZ211" s="107"/>
      <c r="CA211" s="107"/>
      <c r="CB211" s="107"/>
      <c r="CC211" s="107"/>
      <c r="CD211" s="107"/>
      <c r="CE211" s="107"/>
      <c r="CF211" s="107"/>
    </row>
    <row r="212" spans="2:84">
      <c r="B212" s="98"/>
      <c r="C212" s="98"/>
      <c r="D212" s="97"/>
      <c r="E212" s="97"/>
      <c r="F212" s="97"/>
      <c r="G212" s="97"/>
      <c r="H212" s="97"/>
      <c r="I212" s="97"/>
      <c r="J212" s="97"/>
      <c r="K212" s="97"/>
      <c r="L212" s="97"/>
      <c r="M212" s="97"/>
      <c r="N212" s="99"/>
      <c r="O212" s="97"/>
      <c r="P212" s="99"/>
      <c r="Q212" s="97"/>
      <c r="R212" s="97"/>
      <c r="S212" s="97"/>
      <c r="T212" s="97"/>
      <c r="U212" s="97"/>
      <c r="V212" s="97"/>
      <c r="W212" s="97"/>
      <c r="X212" s="97"/>
      <c r="Y212" s="97"/>
      <c r="Z212" s="97"/>
      <c r="AA212" s="97"/>
      <c r="AB212" s="97"/>
      <c r="AC212" s="97"/>
      <c r="AD212" s="107"/>
      <c r="AE212" s="107"/>
      <c r="AF212" s="107"/>
      <c r="AG212" s="107"/>
      <c r="AH212" s="107"/>
      <c r="AI212" s="107"/>
      <c r="AJ212" s="107"/>
      <c r="AK212" s="107"/>
      <c r="AL212" s="107"/>
      <c r="AM212" s="107"/>
      <c r="AN212" s="107"/>
      <c r="AO212" s="107"/>
      <c r="AP212" s="107"/>
      <c r="AQ212" s="107"/>
      <c r="AR212" s="107"/>
      <c r="AS212" s="107"/>
      <c r="AT212" s="107"/>
      <c r="AU212" s="107"/>
      <c r="AV212" s="107"/>
      <c r="AW212" s="107"/>
      <c r="AX212" s="107"/>
      <c r="AY212" s="107"/>
      <c r="AZ212" s="107"/>
      <c r="BA212" s="107"/>
      <c r="BB212" s="107"/>
      <c r="BC212" s="107"/>
      <c r="BD212" s="107"/>
      <c r="BE212" s="107"/>
      <c r="BF212" s="107"/>
      <c r="BG212" s="107"/>
      <c r="BH212" s="107"/>
      <c r="BI212" s="107"/>
      <c r="BJ212" s="107"/>
      <c r="BK212" s="107"/>
      <c r="BL212" s="107"/>
      <c r="BM212" s="107"/>
      <c r="BN212" s="107"/>
      <c r="BO212" s="107"/>
      <c r="BP212" s="107"/>
      <c r="BQ212" s="107"/>
      <c r="BR212" s="107"/>
      <c r="BS212" s="107"/>
      <c r="BT212" s="107"/>
      <c r="BU212" s="107"/>
      <c r="BV212" s="107"/>
      <c r="BW212" s="107"/>
      <c r="BX212" s="107"/>
      <c r="BY212" s="107"/>
      <c r="BZ212" s="107"/>
      <c r="CA212" s="107"/>
      <c r="CB212" s="107"/>
      <c r="CC212" s="107"/>
      <c r="CD212" s="107"/>
      <c r="CE212" s="107"/>
      <c r="CF212" s="107"/>
    </row>
    <row r="213" spans="2:84">
      <c r="B213" s="98"/>
      <c r="C213" s="98"/>
      <c r="D213" s="97"/>
      <c r="E213" s="97"/>
      <c r="F213" s="97"/>
      <c r="G213" s="97"/>
      <c r="H213" s="97"/>
      <c r="I213" s="97"/>
      <c r="J213" s="97"/>
      <c r="K213" s="97"/>
      <c r="L213" s="97"/>
      <c r="M213" s="97"/>
      <c r="N213" s="99"/>
      <c r="O213" s="97"/>
      <c r="P213" s="99"/>
      <c r="Q213" s="97"/>
      <c r="R213" s="97"/>
      <c r="S213" s="97"/>
      <c r="T213" s="97"/>
      <c r="U213" s="97"/>
      <c r="V213" s="97"/>
      <c r="W213" s="97"/>
      <c r="X213" s="97"/>
      <c r="Y213" s="97"/>
      <c r="Z213" s="97"/>
      <c r="AA213" s="97"/>
      <c r="AB213" s="97"/>
      <c r="AC213" s="97"/>
      <c r="AD213" s="107"/>
      <c r="AE213" s="107"/>
      <c r="AF213" s="107"/>
      <c r="AG213" s="107"/>
      <c r="AH213" s="107"/>
      <c r="AI213" s="107"/>
      <c r="AJ213" s="107"/>
      <c r="AK213" s="107"/>
      <c r="AL213" s="107"/>
      <c r="AM213" s="107"/>
      <c r="AN213" s="107"/>
      <c r="AO213" s="107"/>
      <c r="AP213" s="107"/>
      <c r="AQ213" s="107"/>
      <c r="AR213" s="107"/>
      <c r="AS213" s="107"/>
      <c r="AT213" s="107"/>
      <c r="AU213" s="107"/>
      <c r="AV213" s="107"/>
      <c r="AW213" s="107"/>
      <c r="AX213" s="107"/>
      <c r="AY213" s="107"/>
      <c r="AZ213" s="107"/>
      <c r="BA213" s="107"/>
      <c r="BB213" s="107"/>
      <c r="BC213" s="107"/>
      <c r="BD213" s="107"/>
      <c r="BE213" s="107"/>
      <c r="BF213" s="107"/>
      <c r="BG213" s="107"/>
      <c r="BH213" s="107"/>
      <c r="BI213" s="107"/>
      <c r="BJ213" s="107"/>
      <c r="BK213" s="107"/>
      <c r="BL213" s="107"/>
      <c r="BM213" s="107"/>
      <c r="BN213" s="107"/>
      <c r="BO213" s="107"/>
      <c r="BP213" s="107"/>
      <c r="BQ213" s="107"/>
      <c r="BR213" s="107"/>
      <c r="BS213" s="107"/>
      <c r="BT213" s="107"/>
      <c r="BU213" s="107"/>
      <c r="BV213" s="107"/>
      <c r="BW213" s="107"/>
      <c r="BX213" s="107"/>
      <c r="BY213" s="107"/>
      <c r="BZ213" s="107"/>
      <c r="CA213" s="107"/>
      <c r="CB213" s="107"/>
      <c r="CC213" s="107"/>
      <c r="CD213" s="107"/>
      <c r="CE213" s="107"/>
      <c r="CF213" s="107"/>
    </row>
    <row r="214" spans="2:84">
      <c r="B214" s="98"/>
      <c r="C214" s="98"/>
      <c r="D214" s="97"/>
      <c r="E214" s="97"/>
      <c r="F214" s="97"/>
      <c r="G214" s="97"/>
      <c r="H214" s="97"/>
      <c r="I214" s="97"/>
      <c r="J214" s="97"/>
      <c r="K214" s="97"/>
      <c r="L214" s="97"/>
      <c r="M214" s="97"/>
      <c r="N214" s="99"/>
      <c r="O214" s="97"/>
      <c r="P214" s="99"/>
      <c r="Q214" s="97"/>
      <c r="R214" s="97"/>
      <c r="S214" s="97"/>
      <c r="T214" s="97"/>
      <c r="U214" s="97"/>
      <c r="V214" s="97"/>
      <c r="W214" s="97"/>
      <c r="X214" s="97"/>
      <c r="Y214" s="97"/>
      <c r="Z214" s="97"/>
      <c r="AA214" s="97"/>
      <c r="AB214" s="97"/>
      <c r="AC214" s="97"/>
      <c r="AD214" s="107"/>
      <c r="AE214" s="107"/>
      <c r="AF214" s="107"/>
      <c r="AG214" s="107"/>
      <c r="AH214" s="107"/>
      <c r="AI214" s="107"/>
      <c r="AJ214" s="107"/>
      <c r="AK214" s="107"/>
      <c r="AL214" s="107"/>
      <c r="AM214" s="107"/>
      <c r="AN214" s="107"/>
      <c r="AO214" s="107"/>
      <c r="AP214" s="107"/>
      <c r="AQ214" s="107"/>
      <c r="AR214" s="107"/>
      <c r="AS214" s="107"/>
      <c r="AT214" s="107"/>
      <c r="AU214" s="107"/>
      <c r="AV214" s="107"/>
      <c r="AW214" s="107"/>
      <c r="AX214" s="107"/>
      <c r="AY214" s="107"/>
      <c r="AZ214" s="107"/>
      <c r="BA214" s="107"/>
      <c r="BB214" s="107"/>
      <c r="BC214" s="107"/>
      <c r="BD214" s="107"/>
      <c r="BE214" s="107"/>
      <c r="BF214" s="107"/>
      <c r="BG214" s="107"/>
      <c r="BH214" s="107"/>
      <c r="BI214" s="107"/>
      <c r="BJ214" s="107"/>
      <c r="BK214" s="107"/>
      <c r="BL214" s="107"/>
      <c r="BM214" s="107"/>
      <c r="BN214" s="107"/>
      <c r="BO214" s="107"/>
      <c r="BP214" s="107"/>
      <c r="BQ214" s="107"/>
      <c r="BR214" s="107"/>
      <c r="BS214" s="107"/>
      <c r="BT214" s="107"/>
      <c r="BU214" s="107"/>
      <c r="BV214" s="107"/>
      <c r="BW214" s="107"/>
      <c r="BX214" s="107"/>
      <c r="BY214" s="107"/>
      <c r="BZ214" s="107"/>
      <c r="CA214" s="107"/>
      <c r="CB214" s="107"/>
      <c r="CC214" s="107"/>
      <c r="CD214" s="107"/>
      <c r="CE214" s="107"/>
      <c r="CF214" s="107"/>
    </row>
    <row r="215" spans="2:84">
      <c r="B215" s="98"/>
      <c r="C215" s="98"/>
      <c r="D215" s="97"/>
      <c r="E215" s="97"/>
      <c r="F215" s="97"/>
      <c r="G215" s="97"/>
      <c r="H215" s="97"/>
      <c r="I215" s="97"/>
      <c r="J215" s="97"/>
      <c r="K215" s="97"/>
      <c r="L215" s="97"/>
      <c r="M215" s="97"/>
      <c r="N215" s="99"/>
      <c r="O215" s="97"/>
      <c r="P215" s="99"/>
      <c r="Q215" s="97"/>
      <c r="R215" s="97"/>
      <c r="S215" s="97"/>
      <c r="T215" s="97"/>
      <c r="U215" s="97"/>
      <c r="V215" s="97"/>
      <c r="W215" s="97"/>
      <c r="X215" s="97"/>
      <c r="Y215" s="97"/>
      <c r="Z215" s="97"/>
      <c r="AA215" s="97"/>
      <c r="AB215" s="97"/>
      <c r="AC215" s="97"/>
      <c r="AD215" s="107"/>
      <c r="AE215" s="107"/>
      <c r="AF215" s="107"/>
      <c r="AG215" s="107"/>
      <c r="AH215" s="107"/>
      <c r="AI215" s="107"/>
      <c r="AJ215" s="107"/>
      <c r="AK215" s="107"/>
      <c r="AL215" s="107"/>
      <c r="AM215" s="107"/>
      <c r="AN215" s="107"/>
      <c r="AO215" s="107"/>
      <c r="AP215" s="107"/>
      <c r="AQ215" s="107"/>
      <c r="AR215" s="107"/>
      <c r="AS215" s="107"/>
      <c r="AT215" s="107"/>
      <c r="AU215" s="107"/>
      <c r="AV215" s="107"/>
      <c r="AW215" s="107"/>
      <c r="AX215" s="107"/>
      <c r="AY215" s="107"/>
      <c r="AZ215" s="107"/>
      <c r="BA215" s="107"/>
      <c r="BB215" s="107"/>
      <c r="BC215" s="107"/>
      <c r="BD215" s="107"/>
      <c r="BE215" s="107"/>
      <c r="BF215" s="107"/>
      <c r="BG215" s="107"/>
      <c r="BH215" s="107"/>
      <c r="BI215" s="107"/>
      <c r="BJ215" s="107"/>
      <c r="BK215" s="107"/>
      <c r="BL215" s="107"/>
      <c r="BM215" s="107"/>
      <c r="BN215" s="107"/>
      <c r="BO215" s="107"/>
      <c r="BP215" s="107"/>
      <c r="BQ215" s="107"/>
      <c r="BR215" s="107"/>
      <c r="BS215" s="107"/>
      <c r="BT215" s="107"/>
      <c r="BU215" s="107"/>
      <c r="BV215" s="107"/>
      <c r="BW215" s="107"/>
      <c r="BX215" s="107"/>
      <c r="BY215" s="107"/>
      <c r="BZ215" s="107"/>
      <c r="CA215" s="107"/>
      <c r="CB215" s="107"/>
      <c r="CC215" s="107"/>
      <c r="CD215" s="107"/>
      <c r="CE215" s="107"/>
      <c r="CF215" s="107"/>
    </row>
    <row r="216" spans="2:84">
      <c r="B216" s="98"/>
      <c r="C216" s="98"/>
      <c r="D216" s="97"/>
      <c r="E216" s="97"/>
      <c r="F216" s="97"/>
      <c r="G216" s="97"/>
      <c r="H216" s="97"/>
      <c r="I216" s="97"/>
      <c r="J216" s="97"/>
      <c r="K216" s="97"/>
      <c r="L216" s="97"/>
      <c r="M216" s="97"/>
      <c r="N216" s="99"/>
      <c r="O216" s="97"/>
      <c r="P216" s="99"/>
      <c r="Q216" s="97"/>
      <c r="R216" s="97"/>
      <c r="S216" s="97"/>
      <c r="T216" s="97"/>
      <c r="U216" s="97"/>
      <c r="V216" s="97"/>
      <c r="W216" s="97"/>
      <c r="X216" s="97"/>
      <c r="Y216" s="97"/>
      <c r="Z216" s="97"/>
      <c r="AA216" s="97"/>
      <c r="AB216" s="97"/>
      <c r="AC216" s="97"/>
      <c r="AD216" s="107"/>
      <c r="AE216" s="107"/>
      <c r="AF216" s="107"/>
      <c r="AG216" s="107"/>
      <c r="AH216" s="107"/>
      <c r="AI216" s="107"/>
      <c r="AJ216" s="107"/>
      <c r="AK216" s="107"/>
      <c r="AL216" s="107"/>
      <c r="AM216" s="107"/>
      <c r="AN216" s="107"/>
      <c r="AO216" s="107"/>
      <c r="AP216" s="107"/>
      <c r="AQ216" s="107"/>
      <c r="AR216" s="107"/>
      <c r="AS216" s="107"/>
      <c r="AT216" s="107"/>
      <c r="AU216" s="107"/>
      <c r="AV216" s="107"/>
      <c r="AW216" s="107"/>
      <c r="AX216" s="107"/>
      <c r="AY216" s="107"/>
      <c r="AZ216" s="107"/>
      <c r="BA216" s="107"/>
      <c r="BB216" s="107"/>
      <c r="BC216" s="107"/>
      <c r="BD216" s="107"/>
      <c r="BE216" s="107"/>
      <c r="BF216" s="107"/>
      <c r="BG216" s="107"/>
      <c r="BH216" s="107"/>
      <c r="BI216" s="107"/>
      <c r="BJ216" s="107"/>
      <c r="BK216" s="107"/>
      <c r="BL216" s="107"/>
      <c r="BM216" s="107"/>
      <c r="BN216" s="107"/>
      <c r="BO216" s="107"/>
      <c r="BP216" s="107"/>
      <c r="BQ216" s="107"/>
      <c r="BR216" s="107"/>
      <c r="BS216" s="107"/>
      <c r="BT216" s="107"/>
      <c r="BU216" s="107"/>
      <c r="BV216" s="107"/>
      <c r="BW216" s="107"/>
      <c r="BX216" s="107"/>
      <c r="BY216" s="107"/>
      <c r="BZ216" s="107"/>
      <c r="CA216" s="107"/>
      <c r="CB216" s="107"/>
      <c r="CC216" s="107"/>
      <c r="CD216" s="107"/>
      <c r="CE216" s="107"/>
      <c r="CF216" s="107"/>
    </row>
    <row r="217" spans="2:84">
      <c r="B217" s="98"/>
      <c r="C217" s="98"/>
      <c r="D217" s="97"/>
      <c r="E217" s="97"/>
      <c r="F217" s="97"/>
      <c r="G217" s="97"/>
      <c r="H217" s="97"/>
      <c r="I217" s="97"/>
      <c r="J217" s="97"/>
      <c r="K217" s="97"/>
      <c r="L217" s="97"/>
      <c r="M217" s="97"/>
      <c r="N217" s="99"/>
      <c r="O217" s="97"/>
      <c r="P217" s="99"/>
      <c r="Q217" s="97"/>
      <c r="R217" s="97"/>
      <c r="S217" s="97"/>
      <c r="T217" s="97"/>
      <c r="U217" s="97"/>
      <c r="V217" s="97"/>
      <c r="W217" s="97"/>
      <c r="X217" s="97"/>
      <c r="Y217" s="97"/>
      <c r="Z217" s="97"/>
      <c r="AA217" s="97"/>
      <c r="AB217" s="97"/>
      <c r="AC217" s="97"/>
      <c r="AD217" s="107"/>
      <c r="AE217" s="107"/>
      <c r="AF217" s="107"/>
      <c r="AG217" s="107"/>
      <c r="AH217" s="107"/>
      <c r="AI217" s="107"/>
      <c r="AJ217" s="107"/>
      <c r="AK217" s="107"/>
      <c r="AL217" s="107"/>
      <c r="AM217" s="107"/>
      <c r="AN217" s="107"/>
      <c r="AO217" s="107"/>
      <c r="AP217" s="107"/>
      <c r="AQ217" s="107"/>
      <c r="AR217" s="107"/>
      <c r="AS217" s="107"/>
      <c r="AT217" s="107"/>
      <c r="AU217" s="107"/>
      <c r="AV217" s="107"/>
      <c r="AW217" s="107"/>
      <c r="AX217" s="107"/>
      <c r="AY217" s="107"/>
      <c r="AZ217" s="107"/>
      <c r="BA217" s="107"/>
      <c r="BB217" s="107"/>
      <c r="BC217" s="107"/>
      <c r="BD217" s="107"/>
      <c r="BE217" s="107"/>
      <c r="BF217" s="107"/>
      <c r="BG217" s="107"/>
      <c r="BH217" s="107"/>
      <c r="BI217" s="107"/>
      <c r="BJ217" s="107"/>
      <c r="BK217" s="107"/>
      <c r="BL217" s="107"/>
      <c r="BM217" s="107"/>
      <c r="BN217" s="107"/>
      <c r="BO217" s="107"/>
      <c r="BP217" s="107"/>
      <c r="BQ217" s="107"/>
      <c r="BR217" s="107"/>
      <c r="BS217" s="107"/>
      <c r="BT217" s="107"/>
      <c r="BU217" s="107"/>
      <c r="BV217" s="107"/>
      <c r="BW217" s="107"/>
      <c r="BX217" s="107"/>
      <c r="BY217" s="107"/>
      <c r="BZ217" s="107"/>
      <c r="CA217" s="107"/>
      <c r="CB217" s="107"/>
      <c r="CC217" s="107"/>
      <c r="CD217" s="107"/>
      <c r="CE217" s="107"/>
      <c r="CF217" s="107"/>
    </row>
    <row r="218" spans="2:84">
      <c r="B218" s="98"/>
      <c r="C218" s="98"/>
      <c r="D218" s="97"/>
      <c r="E218" s="97"/>
      <c r="F218" s="97"/>
      <c r="G218" s="97"/>
      <c r="H218" s="97"/>
      <c r="I218" s="97"/>
      <c r="J218" s="97"/>
      <c r="K218" s="97"/>
      <c r="L218" s="97"/>
      <c r="M218" s="97"/>
      <c r="N218" s="99"/>
      <c r="O218" s="97"/>
      <c r="P218" s="99"/>
      <c r="Q218" s="97"/>
      <c r="R218" s="97"/>
      <c r="S218" s="97"/>
      <c r="T218" s="97"/>
      <c r="U218" s="97"/>
      <c r="V218" s="97"/>
      <c r="W218" s="97"/>
      <c r="X218" s="97"/>
      <c r="Y218" s="97"/>
      <c r="Z218" s="97"/>
      <c r="AA218" s="97"/>
      <c r="AB218" s="97"/>
      <c r="AC218" s="97"/>
      <c r="AD218" s="107"/>
      <c r="AE218" s="107"/>
      <c r="AF218" s="107"/>
      <c r="AG218" s="107"/>
      <c r="AH218" s="107"/>
      <c r="AI218" s="107"/>
      <c r="AJ218" s="107"/>
      <c r="AK218" s="107"/>
      <c r="AL218" s="107"/>
      <c r="AM218" s="107"/>
      <c r="AN218" s="107"/>
      <c r="AO218" s="107"/>
      <c r="AP218" s="107"/>
      <c r="AQ218" s="107"/>
      <c r="AR218" s="107"/>
      <c r="AS218" s="107"/>
      <c r="AT218" s="107"/>
      <c r="AU218" s="107"/>
      <c r="AV218" s="107"/>
      <c r="AW218" s="107"/>
      <c r="AX218" s="107"/>
      <c r="AY218" s="107"/>
      <c r="AZ218" s="107"/>
      <c r="BA218" s="107"/>
      <c r="BB218" s="107"/>
      <c r="BC218" s="107"/>
      <c r="BD218" s="107"/>
      <c r="BE218" s="107"/>
      <c r="BF218" s="107"/>
      <c r="BG218" s="107"/>
      <c r="BH218" s="107"/>
      <c r="BI218" s="107"/>
      <c r="BJ218" s="107"/>
      <c r="BK218" s="107"/>
      <c r="BL218" s="107"/>
      <c r="BM218" s="107"/>
      <c r="BN218" s="107"/>
      <c r="BO218" s="107"/>
      <c r="BP218" s="107"/>
      <c r="BQ218" s="107"/>
      <c r="BR218" s="107"/>
      <c r="BS218" s="107"/>
      <c r="BT218" s="107"/>
      <c r="BU218" s="107"/>
      <c r="BV218" s="107"/>
      <c r="BW218" s="107"/>
      <c r="BX218" s="107"/>
      <c r="BY218" s="107"/>
      <c r="BZ218" s="107"/>
      <c r="CA218" s="107"/>
      <c r="CB218" s="107"/>
      <c r="CC218" s="107"/>
      <c r="CD218" s="107"/>
      <c r="CE218" s="107"/>
      <c r="CF218" s="107"/>
    </row>
    <row r="219" spans="2:84">
      <c r="B219" s="98"/>
      <c r="C219" s="98"/>
      <c r="D219" s="97"/>
      <c r="E219" s="97"/>
      <c r="F219" s="97"/>
      <c r="G219" s="97"/>
      <c r="H219" s="97"/>
      <c r="I219" s="97"/>
      <c r="J219" s="97"/>
      <c r="K219" s="97"/>
      <c r="L219" s="97"/>
      <c r="M219" s="97"/>
      <c r="N219" s="99"/>
      <c r="O219" s="97"/>
      <c r="P219" s="99"/>
      <c r="Q219" s="97"/>
      <c r="R219" s="97"/>
      <c r="S219" s="97"/>
      <c r="T219" s="97"/>
      <c r="U219" s="97"/>
      <c r="V219" s="97"/>
      <c r="W219" s="97"/>
      <c r="X219" s="97"/>
      <c r="Y219" s="97"/>
      <c r="Z219" s="97"/>
      <c r="AA219" s="97"/>
      <c r="AB219" s="97"/>
      <c r="AC219" s="97"/>
      <c r="AD219" s="107"/>
      <c r="AE219" s="107"/>
      <c r="AF219" s="107"/>
      <c r="AG219" s="107"/>
      <c r="AH219" s="107"/>
      <c r="AI219" s="107"/>
      <c r="AJ219" s="107"/>
      <c r="AK219" s="107"/>
      <c r="AL219" s="107"/>
      <c r="AM219" s="107"/>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7"/>
      <c r="BQ219" s="107"/>
      <c r="BR219" s="107"/>
      <c r="BS219" s="107"/>
      <c r="BT219" s="107"/>
      <c r="BU219" s="107"/>
      <c r="BV219" s="107"/>
      <c r="BW219" s="107"/>
      <c r="BX219" s="107"/>
      <c r="BY219" s="107"/>
      <c r="BZ219" s="107"/>
      <c r="CA219" s="107"/>
      <c r="CB219" s="107"/>
      <c r="CC219" s="107"/>
      <c r="CD219" s="107"/>
      <c r="CE219" s="107"/>
      <c r="CF219" s="107"/>
    </row>
    <row r="220" spans="2:84">
      <c r="B220" s="98"/>
      <c r="C220" s="98"/>
      <c r="D220" s="97"/>
      <c r="E220" s="97"/>
      <c r="F220" s="97"/>
      <c r="G220" s="97"/>
      <c r="H220" s="97"/>
      <c r="I220" s="97"/>
      <c r="J220" s="97"/>
      <c r="K220" s="97"/>
      <c r="L220" s="97"/>
      <c r="M220" s="97"/>
      <c r="N220" s="99"/>
      <c r="O220" s="97"/>
      <c r="P220" s="99"/>
      <c r="Q220" s="97"/>
      <c r="R220" s="97"/>
      <c r="S220" s="97"/>
      <c r="T220" s="97"/>
      <c r="U220" s="97"/>
      <c r="V220" s="97"/>
      <c r="W220" s="97"/>
      <c r="X220" s="97"/>
      <c r="Y220" s="97"/>
      <c r="Z220" s="97"/>
      <c r="AA220" s="97"/>
      <c r="AB220" s="97"/>
      <c r="AC220" s="97"/>
      <c r="AD220" s="107"/>
      <c r="AE220" s="107"/>
      <c r="AF220" s="107"/>
      <c r="AG220" s="107"/>
      <c r="AH220" s="107"/>
      <c r="AI220" s="107"/>
      <c r="AJ220" s="107"/>
      <c r="AK220" s="107"/>
      <c r="AL220" s="107"/>
      <c r="AM220" s="107"/>
      <c r="AN220" s="107"/>
      <c r="AO220" s="107"/>
      <c r="AP220" s="107"/>
      <c r="AQ220" s="107"/>
      <c r="AR220" s="107"/>
      <c r="AS220" s="107"/>
      <c r="AT220" s="107"/>
      <c r="AU220" s="107"/>
      <c r="AV220" s="107"/>
      <c r="AW220" s="107"/>
      <c r="AX220" s="107"/>
      <c r="AY220" s="107"/>
      <c r="AZ220" s="107"/>
      <c r="BA220" s="107"/>
      <c r="BB220" s="107"/>
      <c r="BC220" s="107"/>
      <c r="BD220" s="107"/>
      <c r="BE220" s="107"/>
      <c r="BF220" s="107"/>
      <c r="BG220" s="107"/>
      <c r="BH220" s="107"/>
      <c r="BI220" s="107"/>
      <c r="BJ220" s="107"/>
      <c r="BK220" s="107"/>
      <c r="BL220" s="107"/>
      <c r="BM220" s="107"/>
      <c r="BN220" s="107"/>
      <c r="BO220" s="107"/>
      <c r="BP220" s="107"/>
      <c r="BQ220" s="107"/>
      <c r="BR220" s="107"/>
      <c r="BS220" s="107"/>
      <c r="BT220" s="107"/>
      <c r="BU220" s="107"/>
      <c r="BV220" s="107"/>
      <c r="BW220" s="107"/>
      <c r="BX220" s="107"/>
      <c r="BY220" s="107"/>
      <c r="BZ220" s="107"/>
      <c r="CA220" s="107"/>
      <c r="CB220" s="107"/>
      <c r="CC220" s="107"/>
      <c r="CD220" s="107"/>
      <c r="CE220" s="107"/>
      <c r="CF220" s="107"/>
    </row>
    <row r="221" spans="2:84">
      <c r="B221" s="98"/>
      <c r="C221" s="98"/>
      <c r="D221" s="97"/>
      <c r="E221" s="97"/>
      <c r="F221" s="97"/>
      <c r="G221" s="97"/>
      <c r="H221" s="97"/>
      <c r="I221" s="97"/>
      <c r="J221" s="97"/>
      <c r="K221" s="97"/>
      <c r="L221" s="97"/>
      <c r="M221" s="97"/>
      <c r="N221" s="99"/>
      <c r="O221" s="97"/>
      <c r="P221" s="99"/>
      <c r="Q221" s="97"/>
      <c r="R221" s="97"/>
      <c r="S221" s="97"/>
      <c r="T221" s="97"/>
      <c r="U221" s="97"/>
      <c r="V221" s="97"/>
      <c r="W221" s="97"/>
      <c r="X221" s="97"/>
      <c r="Y221" s="97"/>
      <c r="Z221" s="97"/>
      <c r="AA221" s="97"/>
      <c r="AB221" s="97"/>
      <c r="AC221" s="97"/>
      <c r="AD221" s="107"/>
      <c r="AE221" s="107"/>
      <c r="AF221" s="107"/>
      <c r="AG221" s="107"/>
      <c r="AH221" s="107"/>
      <c r="AI221" s="107"/>
      <c r="AJ221" s="107"/>
      <c r="AK221" s="107"/>
      <c r="AL221" s="107"/>
      <c r="AM221" s="107"/>
      <c r="AN221" s="107"/>
      <c r="AO221" s="107"/>
      <c r="AP221" s="107"/>
      <c r="AQ221" s="107"/>
      <c r="AR221" s="107"/>
      <c r="AS221" s="107"/>
      <c r="AT221" s="107"/>
      <c r="AU221" s="107"/>
      <c r="AV221" s="107"/>
      <c r="AW221" s="107"/>
      <c r="AX221" s="107"/>
      <c r="AY221" s="107"/>
      <c r="AZ221" s="107"/>
      <c r="BA221" s="107"/>
      <c r="BB221" s="107"/>
      <c r="BC221" s="107"/>
      <c r="BD221" s="107"/>
      <c r="BE221" s="107"/>
      <c r="BF221" s="107"/>
      <c r="BG221" s="107"/>
      <c r="BH221" s="107"/>
      <c r="BI221" s="107"/>
      <c r="BJ221" s="107"/>
      <c r="BK221" s="107"/>
      <c r="BL221" s="107"/>
      <c r="BM221" s="107"/>
      <c r="BN221" s="107"/>
      <c r="BO221" s="107"/>
      <c r="BP221" s="107"/>
      <c r="BQ221" s="107"/>
      <c r="BR221" s="107"/>
      <c r="BS221" s="107"/>
      <c r="BT221" s="107"/>
      <c r="BU221" s="107"/>
      <c r="BV221" s="107"/>
      <c r="BW221" s="107"/>
      <c r="BX221" s="107"/>
      <c r="BY221" s="107"/>
      <c r="BZ221" s="107"/>
      <c r="CA221" s="107"/>
      <c r="CB221" s="107"/>
      <c r="CC221" s="107"/>
      <c r="CD221" s="107"/>
      <c r="CE221" s="107"/>
      <c r="CF221" s="107"/>
    </row>
    <row r="222" spans="2:84">
      <c r="B222" s="98"/>
      <c r="C222" s="98"/>
      <c r="D222" s="97"/>
      <c r="E222" s="97"/>
      <c r="F222" s="97"/>
      <c r="G222" s="97"/>
      <c r="H222" s="97"/>
      <c r="I222" s="97"/>
      <c r="J222" s="97"/>
      <c r="K222" s="97"/>
      <c r="L222" s="97"/>
      <c r="M222" s="97"/>
      <c r="N222" s="99"/>
      <c r="O222" s="97"/>
      <c r="P222" s="99"/>
      <c r="Q222" s="97"/>
      <c r="R222" s="97"/>
      <c r="S222" s="97"/>
      <c r="T222" s="97"/>
      <c r="U222" s="97"/>
      <c r="V222" s="97"/>
      <c r="W222" s="97"/>
      <c r="X222" s="97"/>
      <c r="Y222" s="97"/>
      <c r="Z222" s="97"/>
      <c r="AA222" s="97"/>
      <c r="AB222" s="97"/>
      <c r="AC222" s="97"/>
      <c r="AD222" s="107"/>
      <c r="AE222" s="107"/>
      <c r="AF222" s="107"/>
      <c r="AG222" s="107"/>
      <c r="AH222" s="107"/>
      <c r="AI222" s="107"/>
      <c r="AJ222" s="107"/>
      <c r="AK222" s="107"/>
      <c r="AL222" s="107"/>
      <c r="AM222" s="107"/>
      <c r="AN222" s="107"/>
      <c r="AO222" s="107"/>
      <c r="AP222" s="107"/>
      <c r="AQ222" s="107"/>
      <c r="AR222" s="107"/>
      <c r="AS222" s="107"/>
      <c r="AT222" s="107"/>
      <c r="AU222" s="107"/>
      <c r="AV222" s="107"/>
      <c r="AW222" s="107"/>
      <c r="AX222" s="107"/>
      <c r="AY222" s="107"/>
      <c r="AZ222" s="107"/>
      <c r="BA222" s="107"/>
      <c r="BB222" s="107"/>
      <c r="BC222" s="107"/>
      <c r="BD222" s="107"/>
      <c r="BE222" s="107"/>
      <c r="BF222" s="107"/>
      <c r="BG222" s="107"/>
      <c r="BH222" s="107"/>
      <c r="BI222" s="107"/>
      <c r="BJ222" s="107"/>
      <c r="BK222" s="107"/>
      <c r="BL222" s="107"/>
      <c r="BM222" s="107"/>
      <c r="BN222" s="107"/>
      <c r="BO222" s="107"/>
      <c r="BP222" s="107"/>
      <c r="BQ222" s="107"/>
      <c r="BR222" s="107"/>
      <c r="BS222" s="107"/>
      <c r="BT222" s="107"/>
      <c r="BU222" s="107"/>
      <c r="BV222" s="107"/>
      <c r="BW222" s="107"/>
      <c r="BX222" s="107"/>
      <c r="BY222" s="107"/>
      <c r="BZ222" s="107"/>
      <c r="CA222" s="107"/>
      <c r="CB222" s="107"/>
      <c r="CC222" s="107"/>
      <c r="CD222" s="107"/>
      <c r="CE222" s="107"/>
      <c r="CF222" s="107"/>
    </row>
    <row r="223" spans="2:84">
      <c r="B223" s="98"/>
      <c r="C223" s="98"/>
      <c r="D223" s="97"/>
      <c r="E223" s="97"/>
      <c r="F223" s="97"/>
      <c r="G223" s="97"/>
      <c r="H223" s="97"/>
      <c r="I223" s="97"/>
      <c r="J223" s="97"/>
      <c r="K223" s="97"/>
      <c r="L223" s="97"/>
      <c r="M223" s="97"/>
      <c r="N223" s="99"/>
      <c r="O223" s="97"/>
      <c r="P223" s="99"/>
      <c r="Q223" s="97"/>
      <c r="R223" s="97"/>
      <c r="S223" s="97"/>
      <c r="T223" s="97"/>
      <c r="U223" s="97"/>
      <c r="V223" s="97"/>
      <c r="W223" s="97"/>
      <c r="X223" s="97"/>
      <c r="Y223" s="97"/>
      <c r="Z223" s="97"/>
      <c r="AA223" s="97"/>
      <c r="AB223" s="97"/>
      <c r="AC223" s="97"/>
      <c r="AD223" s="107"/>
      <c r="AE223" s="107"/>
      <c r="AF223" s="107"/>
      <c r="AG223" s="107"/>
      <c r="AH223" s="107"/>
      <c r="AI223" s="107"/>
      <c r="AJ223" s="107"/>
      <c r="AK223" s="107"/>
      <c r="AL223" s="107"/>
      <c r="AM223" s="107"/>
      <c r="AN223" s="107"/>
      <c r="AO223" s="107"/>
      <c r="AP223" s="107"/>
      <c r="AQ223" s="107"/>
      <c r="AR223" s="107"/>
      <c r="AS223" s="107"/>
      <c r="AT223" s="107"/>
      <c r="AU223" s="107"/>
      <c r="AV223" s="107"/>
      <c r="AW223" s="107"/>
      <c r="AX223" s="107"/>
      <c r="AY223" s="107"/>
      <c r="AZ223" s="107"/>
      <c r="BA223" s="107"/>
      <c r="BB223" s="107"/>
      <c r="BC223" s="107"/>
      <c r="BD223" s="107"/>
      <c r="BE223" s="107"/>
      <c r="BF223" s="107"/>
      <c r="BG223" s="107"/>
      <c r="BH223" s="107"/>
      <c r="BI223" s="107"/>
      <c r="BJ223" s="107"/>
      <c r="BK223" s="107"/>
      <c r="BL223" s="107"/>
      <c r="BM223" s="107"/>
      <c r="BN223" s="107"/>
      <c r="BO223" s="107"/>
      <c r="BP223" s="107"/>
      <c r="BQ223" s="107"/>
      <c r="BR223" s="107"/>
      <c r="BS223" s="107"/>
      <c r="BT223" s="107"/>
      <c r="BU223" s="107"/>
      <c r="BV223" s="107"/>
      <c r="BW223" s="107"/>
      <c r="BX223" s="107"/>
      <c r="BY223" s="107"/>
      <c r="BZ223" s="107"/>
      <c r="CA223" s="107"/>
      <c r="CB223" s="107"/>
      <c r="CC223" s="107"/>
      <c r="CD223" s="107"/>
      <c r="CE223" s="107"/>
      <c r="CF223" s="107"/>
    </row>
    <row r="224" spans="2:84">
      <c r="B224" s="98"/>
      <c r="C224" s="98"/>
      <c r="D224" s="97"/>
      <c r="E224" s="97"/>
      <c r="F224" s="97"/>
      <c r="G224" s="97"/>
      <c r="H224" s="97"/>
      <c r="I224" s="97"/>
      <c r="J224" s="97"/>
      <c r="K224" s="97"/>
      <c r="L224" s="97"/>
      <c r="M224" s="97"/>
      <c r="N224" s="99"/>
      <c r="O224" s="97"/>
      <c r="P224" s="99"/>
      <c r="Q224" s="97"/>
      <c r="R224" s="97"/>
      <c r="S224" s="97"/>
      <c r="T224" s="97"/>
      <c r="U224" s="97"/>
      <c r="V224" s="97"/>
      <c r="W224" s="97"/>
      <c r="X224" s="97"/>
      <c r="Y224" s="97"/>
      <c r="Z224" s="97"/>
      <c r="AA224" s="97"/>
      <c r="AB224" s="97"/>
      <c r="AC224" s="97"/>
      <c r="AD224" s="107"/>
      <c r="AE224" s="107"/>
      <c r="AF224" s="107"/>
      <c r="AG224" s="107"/>
      <c r="AH224" s="107"/>
      <c r="AI224" s="107"/>
      <c r="AJ224" s="107"/>
      <c r="AK224" s="107"/>
      <c r="AL224" s="107"/>
      <c r="AM224" s="107"/>
      <c r="AN224" s="107"/>
      <c r="AO224" s="107"/>
      <c r="AP224" s="107"/>
      <c r="AQ224" s="107"/>
      <c r="AR224" s="107"/>
      <c r="AS224" s="107"/>
      <c r="AT224" s="107"/>
      <c r="AU224" s="107"/>
      <c r="AV224" s="107"/>
      <c r="AW224" s="107"/>
      <c r="AX224" s="107"/>
      <c r="AY224" s="107"/>
      <c r="AZ224" s="107"/>
      <c r="BA224" s="107"/>
      <c r="BB224" s="107"/>
      <c r="BC224" s="107"/>
      <c r="BD224" s="107"/>
      <c r="BE224" s="107"/>
      <c r="BF224" s="107"/>
      <c r="BG224" s="107"/>
      <c r="BH224" s="107"/>
      <c r="BI224" s="107"/>
      <c r="BJ224" s="107"/>
      <c r="BK224" s="107"/>
      <c r="BL224" s="107"/>
      <c r="BM224" s="107"/>
      <c r="BN224" s="107"/>
      <c r="BO224" s="107"/>
      <c r="BP224" s="107"/>
      <c r="BQ224" s="107"/>
      <c r="BR224" s="107"/>
      <c r="BS224" s="107"/>
      <c r="BT224" s="107"/>
      <c r="BU224" s="107"/>
      <c r="BV224" s="107"/>
      <c r="BW224" s="107"/>
      <c r="BX224" s="107"/>
      <c r="BY224" s="107"/>
      <c r="BZ224" s="107"/>
      <c r="CA224" s="107"/>
      <c r="CB224" s="107"/>
      <c r="CC224" s="107"/>
      <c r="CD224" s="107"/>
      <c r="CE224" s="107"/>
      <c r="CF224" s="107"/>
    </row>
    <row r="225" spans="2:84">
      <c r="B225" s="98"/>
      <c r="C225" s="98"/>
      <c r="D225" s="97"/>
      <c r="E225" s="97"/>
      <c r="F225" s="97"/>
      <c r="G225" s="97"/>
      <c r="H225" s="97"/>
      <c r="I225" s="97"/>
      <c r="J225" s="97"/>
      <c r="K225" s="97"/>
      <c r="L225" s="97"/>
      <c r="M225" s="97"/>
      <c r="N225" s="99"/>
      <c r="O225" s="97"/>
      <c r="P225" s="99"/>
      <c r="Q225" s="97"/>
      <c r="R225" s="97"/>
      <c r="S225" s="97"/>
      <c r="T225" s="97"/>
      <c r="U225" s="97"/>
      <c r="V225" s="97"/>
      <c r="W225" s="97"/>
      <c r="X225" s="97"/>
      <c r="Y225" s="97"/>
      <c r="Z225" s="97"/>
      <c r="AA225" s="97"/>
      <c r="AB225" s="97"/>
      <c r="AC225" s="97"/>
      <c r="AD225" s="107"/>
      <c r="AE225" s="107"/>
      <c r="AF225" s="107"/>
      <c r="AG225" s="107"/>
      <c r="AH225" s="107"/>
      <c r="AI225" s="107"/>
      <c r="AJ225" s="107"/>
      <c r="AK225" s="107"/>
      <c r="AL225" s="107"/>
      <c r="AM225" s="107"/>
      <c r="AN225" s="107"/>
      <c r="AO225" s="107"/>
      <c r="AP225" s="107"/>
      <c r="AQ225" s="107"/>
      <c r="AR225" s="107"/>
      <c r="AS225" s="107"/>
      <c r="AT225" s="107"/>
      <c r="AU225" s="107"/>
      <c r="AV225" s="107"/>
      <c r="AW225" s="107"/>
      <c r="AX225" s="107"/>
      <c r="AY225" s="107"/>
      <c r="AZ225" s="107"/>
      <c r="BA225" s="107"/>
      <c r="BB225" s="107"/>
      <c r="BC225" s="107"/>
      <c r="BD225" s="107"/>
      <c r="BE225" s="107"/>
      <c r="BF225" s="107"/>
      <c r="BG225" s="107"/>
      <c r="BH225" s="107"/>
      <c r="BI225" s="107"/>
      <c r="BJ225" s="107"/>
      <c r="BK225" s="107"/>
      <c r="BL225" s="107"/>
      <c r="BM225" s="107"/>
      <c r="BN225" s="107"/>
      <c r="BO225" s="107"/>
      <c r="BP225" s="107"/>
      <c r="BQ225" s="107"/>
      <c r="BR225" s="107"/>
      <c r="BS225" s="107"/>
      <c r="BT225" s="107"/>
      <c r="BU225" s="107"/>
      <c r="BV225" s="107"/>
      <c r="BW225" s="107"/>
      <c r="BX225" s="107"/>
      <c r="BY225" s="107"/>
      <c r="BZ225" s="107"/>
      <c r="CA225" s="107"/>
      <c r="CB225" s="107"/>
      <c r="CC225" s="107"/>
      <c r="CD225" s="107"/>
      <c r="CE225" s="107"/>
      <c r="CF225" s="107"/>
    </row>
    <row r="226" spans="2:84">
      <c r="B226" s="98"/>
      <c r="C226" s="98"/>
      <c r="D226" s="97"/>
      <c r="E226" s="97"/>
      <c r="F226" s="97"/>
      <c r="G226" s="97"/>
      <c r="H226" s="97"/>
      <c r="I226" s="97"/>
      <c r="J226" s="97"/>
      <c r="K226" s="97"/>
      <c r="L226" s="97"/>
      <c r="M226" s="97"/>
      <c r="N226" s="99"/>
      <c r="O226" s="97"/>
      <c r="P226" s="99"/>
      <c r="Q226" s="97"/>
      <c r="R226" s="97"/>
      <c r="S226" s="97"/>
      <c r="T226" s="97"/>
      <c r="U226" s="97"/>
      <c r="V226" s="97"/>
      <c r="W226" s="97"/>
      <c r="X226" s="97"/>
      <c r="Y226" s="97"/>
      <c r="Z226" s="97"/>
      <c r="AA226" s="97"/>
      <c r="AB226" s="97"/>
      <c r="AC226" s="97"/>
      <c r="AD226" s="107"/>
      <c r="AE226" s="107"/>
      <c r="AF226" s="107"/>
      <c r="AG226" s="107"/>
      <c r="AH226" s="107"/>
      <c r="AI226" s="107"/>
      <c r="AJ226" s="107"/>
      <c r="AK226" s="107"/>
      <c r="AL226" s="107"/>
      <c r="AM226" s="107"/>
      <c r="AN226" s="107"/>
      <c r="AO226" s="107"/>
      <c r="AP226" s="107"/>
      <c r="AQ226" s="107"/>
      <c r="AR226" s="107"/>
      <c r="AS226" s="107"/>
      <c r="AT226" s="107"/>
      <c r="AU226" s="107"/>
      <c r="AV226" s="107"/>
      <c r="AW226" s="107"/>
      <c r="AX226" s="107"/>
      <c r="AY226" s="107"/>
      <c r="AZ226" s="107"/>
      <c r="BA226" s="107"/>
      <c r="BB226" s="107"/>
      <c r="BC226" s="107"/>
      <c r="BD226" s="107"/>
      <c r="BE226" s="107"/>
      <c r="BF226" s="107"/>
      <c r="BG226" s="107"/>
      <c r="BH226" s="107"/>
      <c r="BI226" s="107"/>
      <c r="BJ226" s="107"/>
      <c r="BK226" s="107"/>
      <c r="BL226" s="107"/>
      <c r="BM226" s="107"/>
      <c r="BN226" s="107"/>
      <c r="BO226" s="107"/>
      <c r="BP226" s="107"/>
      <c r="BQ226" s="107"/>
      <c r="BR226" s="107"/>
      <c r="BS226" s="107"/>
      <c r="BT226" s="107"/>
      <c r="BU226" s="107"/>
      <c r="BV226" s="107"/>
      <c r="BW226" s="107"/>
      <c r="BX226" s="107"/>
      <c r="BY226" s="107"/>
      <c r="BZ226" s="107"/>
      <c r="CA226" s="107"/>
      <c r="CB226" s="107"/>
      <c r="CC226" s="107"/>
      <c r="CD226" s="107"/>
      <c r="CE226" s="107"/>
      <c r="CF226" s="107"/>
    </row>
    <row r="227" spans="2:84">
      <c r="B227" s="98"/>
      <c r="C227" s="98"/>
      <c r="D227" s="97"/>
      <c r="E227" s="97"/>
      <c r="F227" s="97"/>
      <c r="G227" s="97"/>
      <c r="H227" s="97"/>
      <c r="I227" s="97"/>
      <c r="J227" s="97"/>
      <c r="K227" s="97"/>
      <c r="L227" s="97"/>
      <c r="M227" s="97"/>
      <c r="N227" s="99"/>
      <c r="O227" s="97"/>
      <c r="P227" s="99"/>
      <c r="Q227" s="97"/>
      <c r="R227" s="97"/>
      <c r="S227" s="97"/>
      <c r="T227" s="97"/>
      <c r="U227" s="97"/>
      <c r="V227" s="97"/>
      <c r="W227" s="97"/>
      <c r="X227" s="97"/>
      <c r="Y227" s="97"/>
      <c r="Z227" s="97"/>
      <c r="AA227" s="97"/>
      <c r="AB227" s="97"/>
      <c r="AC227" s="97"/>
      <c r="AD227" s="107"/>
      <c r="AE227" s="107"/>
      <c r="AF227" s="107"/>
      <c r="AG227" s="107"/>
      <c r="AH227" s="107"/>
      <c r="AI227" s="107"/>
      <c r="AJ227" s="107"/>
      <c r="AK227" s="107"/>
      <c r="AL227" s="107"/>
      <c r="AM227" s="107"/>
      <c r="AN227" s="107"/>
      <c r="AO227" s="107"/>
      <c r="AP227" s="107"/>
      <c r="AQ227" s="107"/>
      <c r="AR227" s="107"/>
      <c r="AS227" s="107"/>
      <c r="AT227" s="107"/>
      <c r="AU227" s="107"/>
      <c r="AV227" s="107"/>
      <c r="AW227" s="107"/>
      <c r="AX227" s="107"/>
      <c r="AY227" s="107"/>
      <c r="AZ227" s="107"/>
      <c r="BA227" s="107"/>
      <c r="BB227" s="107"/>
      <c r="BC227" s="107"/>
      <c r="BD227" s="107"/>
      <c r="BE227" s="107"/>
      <c r="BF227" s="107"/>
      <c r="BG227" s="107"/>
      <c r="BH227" s="107"/>
      <c r="BI227" s="107"/>
      <c r="BJ227" s="107"/>
      <c r="BK227" s="107"/>
      <c r="BL227" s="107"/>
      <c r="BM227" s="107"/>
      <c r="BN227" s="107"/>
      <c r="BO227" s="107"/>
      <c r="BP227" s="107"/>
      <c r="BQ227" s="107"/>
      <c r="BR227" s="107"/>
      <c r="BS227" s="107"/>
      <c r="BT227" s="107"/>
      <c r="BU227" s="107"/>
      <c r="BV227" s="107"/>
      <c r="BW227" s="107"/>
      <c r="BX227" s="107"/>
      <c r="BY227" s="107"/>
      <c r="BZ227" s="107"/>
      <c r="CA227" s="107"/>
      <c r="CB227" s="107"/>
      <c r="CC227" s="107"/>
      <c r="CD227" s="107"/>
      <c r="CE227" s="107"/>
      <c r="CF227" s="107"/>
    </row>
    <row r="228" spans="2:84">
      <c r="B228" s="98"/>
      <c r="C228" s="98"/>
      <c r="D228" s="97"/>
      <c r="E228" s="97"/>
      <c r="F228" s="97"/>
      <c r="G228" s="97"/>
      <c r="H228" s="97"/>
      <c r="I228" s="97"/>
      <c r="J228" s="97"/>
      <c r="K228" s="97"/>
      <c r="L228" s="97"/>
      <c r="M228" s="97"/>
      <c r="N228" s="99"/>
      <c r="O228" s="97"/>
      <c r="P228" s="99"/>
      <c r="Q228" s="97"/>
      <c r="R228" s="97"/>
      <c r="S228" s="97"/>
      <c r="T228" s="97"/>
      <c r="U228" s="97"/>
      <c r="V228" s="97"/>
      <c r="W228" s="97"/>
      <c r="X228" s="97"/>
      <c r="Y228" s="97"/>
      <c r="Z228" s="97"/>
      <c r="AA228" s="97"/>
      <c r="AB228" s="97"/>
      <c r="AC228" s="97"/>
      <c r="AD228" s="107"/>
      <c r="AE228" s="107"/>
      <c r="AF228" s="107"/>
      <c r="AG228" s="107"/>
      <c r="AH228" s="107"/>
      <c r="AI228" s="107"/>
      <c r="AJ228" s="107"/>
      <c r="AK228" s="107"/>
      <c r="AL228" s="107"/>
      <c r="AM228" s="107"/>
      <c r="AN228" s="107"/>
      <c r="AO228" s="107"/>
      <c r="AP228" s="107"/>
      <c r="AQ228" s="107"/>
      <c r="AR228" s="107"/>
      <c r="AS228" s="107"/>
      <c r="AT228" s="107"/>
      <c r="AU228" s="107"/>
      <c r="AV228" s="107"/>
      <c r="AW228" s="107"/>
      <c r="AX228" s="107"/>
      <c r="AY228" s="107"/>
      <c r="AZ228" s="107"/>
      <c r="BA228" s="107"/>
      <c r="BB228" s="107"/>
      <c r="BC228" s="107"/>
      <c r="BD228" s="107"/>
      <c r="BE228" s="107"/>
      <c r="BF228" s="107"/>
      <c r="BG228" s="107"/>
      <c r="BH228" s="107"/>
      <c r="BI228" s="107"/>
      <c r="BJ228" s="107"/>
      <c r="BK228" s="107"/>
      <c r="BL228" s="107"/>
      <c r="BM228" s="107"/>
      <c r="BN228" s="107"/>
      <c r="BO228" s="107"/>
      <c r="BP228" s="107"/>
      <c r="BQ228" s="107"/>
      <c r="BR228" s="107"/>
      <c r="BS228" s="107"/>
      <c r="BT228" s="107"/>
      <c r="BU228" s="107"/>
      <c r="BV228" s="107"/>
      <c r="BW228" s="107"/>
      <c r="BX228" s="107"/>
      <c r="BY228" s="107"/>
      <c r="BZ228" s="107"/>
      <c r="CA228" s="107"/>
      <c r="CB228" s="107"/>
      <c r="CC228" s="107"/>
      <c r="CD228" s="107"/>
      <c r="CE228" s="107"/>
      <c r="CF228" s="107"/>
    </row>
    <row r="229" spans="2:84">
      <c r="B229" s="98"/>
      <c r="C229" s="98"/>
      <c r="D229" s="97"/>
      <c r="E229" s="97"/>
      <c r="F229" s="97"/>
      <c r="G229" s="97"/>
      <c r="H229" s="97"/>
      <c r="I229" s="97"/>
      <c r="J229" s="97"/>
      <c r="K229" s="97"/>
      <c r="L229" s="97"/>
      <c r="M229" s="97"/>
      <c r="N229" s="99"/>
      <c r="O229" s="97"/>
      <c r="P229" s="99"/>
      <c r="Q229" s="97"/>
      <c r="R229" s="97"/>
      <c r="S229" s="97"/>
      <c r="T229" s="97"/>
      <c r="U229" s="97"/>
      <c r="V229" s="97"/>
      <c r="W229" s="97"/>
      <c r="X229" s="97"/>
      <c r="Y229" s="97"/>
      <c r="Z229" s="97"/>
      <c r="AA229" s="97"/>
      <c r="AB229" s="97"/>
      <c r="AC229" s="97"/>
      <c r="AD229" s="107"/>
      <c r="AE229" s="107"/>
      <c r="AF229" s="107"/>
      <c r="AG229" s="107"/>
      <c r="AH229" s="107"/>
      <c r="AI229" s="107"/>
      <c r="AJ229" s="107"/>
      <c r="AK229" s="107"/>
      <c r="AL229" s="107"/>
      <c r="AM229" s="107"/>
      <c r="AN229" s="107"/>
      <c r="AO229" s="107"/>
      <c r="AP229" s="107"/>
      <c r="AQ229" s="107"/>
      <c r="AR229" s="107"/>
      <c r="AS229" s="107"/>
      <c r="AT229" s="107"/>
      <c r="AU229" s="107"/>
      <c r="AV229" s="107"/>
      <c r="AW229" s="107"/>
      <c r="AX229" s="107"/>
      <c r="AY229" s="107"/>
      <c r="AZ229" s="107"/>
      <c r="BA229" s="107"/>
      <c r="BB229" s="107"/>
      <c r="BC229" s="107"/>
      <c r="BD229" s="107"/>
      <c r="BE229" s="107"/>
      <c r="BF229" s="107"/>
      <c r="BG229" s="107"/>
      <c r="BH229" s="107"/>
      <c r="BI229" s="107"/>
      <c r="BJ229" s="107"/>
      <c r="BK229" s="107"/>
      <c r="BL229" s="107"/>
      <c r="BM229" s="107"/>
      <c r="BN229" s="107"/>
      <c r="BO229" s="107"/>
      <c r="BP229" s="107"/>
      <c r="BQ229" s="107"/>
      <c r="BR229" s="107"/>
      <c r="BS229" s="107"/>
      <c r="BT229" s="107"/>
      <c r="BU229" s="107"/>
      <c r="BV229" s="107"/>
      <c r="BW229" s="107"/>
      <c r="BX229" s="107"/>
      <c r="BY229" s="107"/>
      <c r="BZ229" s="107"/>
      <c r="CA229" s="107"/>
      <c r="CB229" s="107"/>
      <c r="CC229" s="107"/>
      <c r="CD229" s="107"/>
      <c r="CE229" s="107"/>
      <c r="CF229" s="107"/>
    </row>
    <row r="230" spans="2:84">
      <c r="B230" s="98"/>
      <c r="C230" s="98"/>
      <c r="D230" s="97"/>
      <c r="E230" s="97"/>
      <c r="F230" s="97"/>
      <c r="G230" s="97"/>
      <c r="H230" s="97"/>
      <c r="I230" s="97"/>
      <c r="J230" s="97"/>
      <c r="K230" s="97"/>
      <c r="L230" s="97"/>
      <c r="M230" s="97"/>
      <c r="N230" s="99"/>
      <c r="O230" s="97"/>
      <c r="P230" s="99"/>
      <c r="Q230" s="97"/>
      <c r="R230" s="97"/>
      <c r="S230" s="97"/>
      <c r="T230" s="97"/>
      <c r="U230" s="97"/>
      <c r="V230" s="97"/>
      <c r="W230" s="97"/>
      <c r="X230" s="97"/>
      <c r="Y230" s="97"/>
      <c r="Z230" s="97"/>
      <c r="AA230" s="97"/>
      <c r="AB230" s="97"/>
      <c r="AC230" s="97"/>
      <c r="AD230" s="107"/>
      <c r="AE230" s="107"/>
      <c r="AF230" s="107"/>
      <c r="AG230" s="107"/>
      <c r="AH230" s="107"/>
      <c r="AI230" s="107"/>
      <c r="AJ230" s="107"/>
      <c r="AK230" s="107"/>
      <c r="AL230" s="107"/>
      <c r="AM230" s="107"/>
      <c r="AN230" s="107"/>
      <c r="AO230" s="107"/>
      <c r="AP230" s="107"/>
      <c r="AQ230" s="107"/>
      <c r="AR230" s="107"/>
      <c r="AS230" s="107"/>
      <c r="AT230" s="107"/>
      <c r="AU230" s="107"/>
      <c r="AV230" s="107"/>
      <c r="AW230" s="107"/>
      <c r="AX230" s="107"/>
      <c r="AY230" s="107"/>
      <c r="AZ230" s="107"/>
      <c r="BA230" s="107"/>
      <c r="BB230" s="107"/>
      <c r="BC230" s="107"/>
      <c r="BD230" s="107"/>
      <c r="BE230" s="107"/>
      <c r="BF230" s="107"/>
      <c r="BG230" s="107"/>
      <c r="BH230" s="107"/>
      <c r="BI230" s="107"/>
      <c r="BJ230" s="107"/>
      <c r="BK230" s="107"/>
      <c r="BL230" s="107"/>
      <c r="BM230" s="107"/>
      <c r="BN230" s="107"/>
      <c r="BO230" s="107"/>
      <c r="BP230" s="107"/>
      <c r="BQ230" s="107"/>
      <c r="BR230" s="107"/>
      <c r="BS230" s="107"/>
      <c r="BT230" s="107"/>
      <c r="BU230" s="107"/>
      <c r="BV230" s="107"/>
      <c r="BW230" s="107"/>
      <c r="BX230" s="107"/>
      <c r="BY230" s="107"/>
      <c r="BZ230" s="107"/>
      <c r="CA230" s="107"/>
      <c r="CB230" s="107"/>
      <c r="CC230" s="107"/>
      <c r="CD230" s="107"/>
      <c r="CE230" s="107"/>
      <c r="CF230" s="107"/>
    </row>
    <row r="231" spans="2:84">
      <c r="B231" s="98"/>
      <c r="C231" s="98"/>
      <c r="D231" s="97"/>
      <c r="E231" s="97"/>
      <c r="F231" s="97"/>
      <c r="G231" s="97"/>
      <c r="H231" s="97"/>
      <c r="I231" s="97"/>
      <c r="J231" s="97"/>
      <c r="K231" s="97"/>
      <c r="L231" s="97"/>
      <c r="M231" s="97"/>
      <c r="N231" s="99"/>
      <c r="O231" s="97"/>
      <c r="P231" s="99"/>
      <c r="Q231" s="97"/>
      <c r="R231" s="97"/>
      <c r="S231" s="97"/>
      <c r="T231" s="97"/>
      <c r="U231" s="97"/>
      <c r="V231" s="97"/>
      <c r="W231" s="97"/>
      <c r="X231" s="97"/>
      <c r="Y231" s="97"/>
      <c r="Z231" s="97"/>
      <c r="AA231" s="97"/>
      <c r="AB231" s="97"/>
      <c r="AC231" s="97"/>
      <c r="AD231" s="107"/>
      <c r="AE231" s="107"/>
      <c r="AF231" s="107"/>
      <c r="AG231" s="107"/>
      <c r="AH231" s="107"/>
      <c r="AI231" s="107"/>
      <c r="AJ231" s="107"/>
      <c r="AK231" s="107"/>
      <c r="AL231" s="107"/>
      <c r="AM231" s="107"/>
      <c r="AN231" s="107"/>
      <c r="AO231" s="107"/>
      <c r="AP231" s="107"/>
      <c r="AQ231" s="107"/>
      <c r="AR231" s="107"/>
      <c r="AS231" s="107"/>
      <c r="AT231" s="107"/>
      <c r="AU231" s="107"/>
      <c r="AV231" s="107"/>
      <c r="AW231" s="107"/>
      <c r="AX231" s="107"/>
      <c r="AY231" s="107"/>
      <c r="AZ231" s="107"/>
      <c r="BA231" s="107"/>
      <c r="BB231" s="107"/>
      <c r="BC231" s="107"/>
      <c r="BD231" s="107"/>
      <c r="BE231" s="107"/>
      <c r="BF231" s="107"/>
      <c r="BG231" s="107"/>
      <c r="BH231" s="107"/>
      <c r="BI231" s="107"/>
      <c r="BJ231" s="107"/>
      <c r="BK231" s="107"/>
      <c r="BL231" s="107"/>
      <c r="BM231" s="107"/>
      <c r="BN231" s="107"/>
      <c r="BO231" s="107"/>
      <c r="BP231" s="107"/>
      <c r="BQ231" s="107"/>
      <c r="BR231" s="107"/>
      <c r="BS231" s="107"/>
      <c r="BT231" s="107"/>
      <c r="BU231" s="107"/>
      <c r="BV231" s="107"/>
      <c r="BW231" s="107"/>
      <c r="BX231" s="107"/>
      <c r="BY231" s="107"/>
      <c r="BZ231" s="107"/>
      <c r="CA231" s="107"/>
      <c r="CB231" s="107"/>
      <c r="CC231" s="107"/>
      <c r="CD231" s="107"/>
      <c r="CE231" s="107"/>
      <c r="CF231" s="107"/>
    </row>
    <row r="232" spans="2:84">
      <c r="B232" s="98"/>
      <c r="C232" s="98"/>
      <c r="D232" s="97"/>
      <c r="E232" s="97"/>
      <c r="F232" s="97"/>
      <c r="G232" s="97"/>
      <c r="H232" s="97"/>
      <c r="I232" s="97"/>
      <c r="J232" s="97"/>
      <c r="K232" s="97"/>
      <c r="L232" s="97"/>
      <c r="M232" s="97"/>
      <c r="N232" s="99"/>
      <c r="O232" s="97"/>
      <c r="P232" s="99"/>
      <c r="Q232" s="97"/>
      <c r="R232" s="97"/>
      <c r="S232" s="97"/>
      <c r="T232" s="97"/>
      <c r="U232" s="97"/>
      <c r="V232" s="97"/>
      <c r="W232" s="97"/>
      <c r="X232" s="97"/>
      <c r="Y232" s="97"/>
      <c r="Z232" s="97"/>
      <c r="AA232" s="97"/>
      <c r="AB232" s="97"/>
      <c r="AC232" s="97"/>
      <c r="AD232" s="107"/>
      <c r="AE232" s="107"/>
      <c r="AF232" s="107"/>
      <c r="AG232" s="107"/>
      <c r="AH232" s="107"/>
      <c r="AI232" s="107"/>
      <c r="AJ232" s="107"/>
      <c r="AK232" s="107"/>
      <c r="AL232" s="107"/>
      <c r="AM232" s="107"/>
      <c r="AN232" s="107"/>
      <c r="AO232" s="107"/>
      <c r="AP232" s="107"/>
      <c r="AQ232" s="107"/>
      <c r="AR232" s="107"/>
      <c r="AS232" s="107"/>
      <c r="AT232" s="107"/>
      <c r="AU232" s="107"/>
      <c r="AV232" s="107"/>
      <c r="AW232" s="107"/>
      <c r="AX232" s="107"/>
      <c r="AY232" s="107"/>
      <c r="AZ232" s="107"/>
      <c r="BA232" s="107"/>
      <c r="BB232" s="107"/>
      <c r="BC232" s="107"/>
      <c r="BD232" s="107"/>
      <c r="BE232" s="107"/>
      <c r="BF232" s="107"/>
      <c r="BG232" s="107"/>
      <c r="BH232" s="107"/>
      <c r="BI232" s="107"/>
      <c r="BJ232" s="107"/>
      <c r="BK232" s="107"/>
      <c r="BL232" s="107"/>
      <c r="BM232" s="107"/>
      <c r="BN232" s="107"/>
      <c r="BO232" s="107"/>
      <c r="BP232" s="107"/>
      <c r="BQ232" s="107"/>
      <c r="BR232" s="107"/>
      <c r="BS232" s="107"/>
      <c r="BT232" s="107"/>
      <c r="BU232" s="107"/>
      <c r="BV232" s="107"/>
      <c r="BW232" s="107"/>
      <c r="BX232" s="107"/>
      <c r="BY232" s="107"/>
      <c r="BZ232" s="107"/>
      <c r="CA232" s="107"/>
      <c r="CB232" s="107"/>
      <c r="CC232" s="107"/>
      <c r="CD232" s="107"/>
      <c r="CE232" s="107"/>
      <c r="CF232" s="107"/>
    </row>
    <row r="233" spans="2:84">
      <c r="B233" s="98"/>
      <c r="C233" s="98"/>
      <c r="D233" s="97"/>
      <c r="E233" s="97"/>
      <c r="F233" s="97"/>
      <c r="G233" s="97"/>
      <c r="H233" s="97"/>
      <c r="I233" s="97"/>
      <c r="J233" s="97"/>
      <c r="K233" s="97"/>
      <c r="L233" s="97"/>
      <c r="M233" s="97"/>
      <c r="N233" s="99"/>
      <c r="O233" s="97"/>
      <c r="P233" s="99"/>
      <c r="Q233" s="97"/>
      <c r="R233" s="97"/>
      <c r="S233" s="97"/>
      <c r="T233" s="97"/>
      <c r="U233" s="97"/>
      <c r="V233" s="97"/>
      <c r="W233" s="97"/>
      <c r="X233" s="97"/>
      <c r="Y233" s="97"/>
      <c r="Z233" s="97"/>
      <c r="AA233" s="97"/>
      <c r="AB233" s="97"/>
      <c r="AC233" s="97"/>
      <c r="AD233" s="107"/>
      <c r="AE233" s="107"/>
      <c r="AF233" s="107"/>
      <c r="AG233" s="107"/>
      <c r="AH233" s="107"/>
      <c r="AI233" s="107"/>
      <c r="AJ233" s="107"/>
      <c r="AK233" s="107"/>
      <c r="AL233" s="107"/>
      <c r="AM233" s="107"/>
      <c r="AN233" s="107"/>
      <c r="AO233" s="107"/>
      <c r="AP233" s="107"/>
      <c r="AQ233" s="107"/>
      <c r="AR233" s="107"/>
      <c r="AS233" s="107"/>
      <c r="AT233" s="107"/>
      <c r="AU233" s="107"/>
      <c r="AV233" s="107"/>
      <c r="AW233" s="107"/>
      <c r="AX233" s="107"/>
      <c r="AY233" s="107"/>
      <c r="AZ233" s="107"/>
      <c r="BA233" s="107"/>
      <c r="BB233" s="107"/>
      <c r="BC233" s="107"/>
      <c r="BD233" s="107"/>
      <c r="BE233" s="107"/>
      <c r="BF233" s="107"/>
      <c r="BG233" s="107"/>
      <c r="BH233" s="107"/>
      <c r="BI233" s="107"/>
      <c r="BJ233" s="107"/>
      <c r="BK233" s="107"/>
      <c r="BL233" s="107"/>
      <c r="BM233" s="107"/>
      <c r="BN233" s="107"/>
      <c r="BO233" s="107"/>
      <c r="BP233" s="107"/>
      <c r="BQ233" s="107"/>
      <c r="BR233" s="107"/>
      <c r="BS233" s="107"/>
      <c r="BT233" s="107"/>
      <c r="BU233" s="107"/>
      <c r="BV233" s="107"/>
      <c r="BW233" s="107"/>
      <c r="BX233" s="107"/>
      <c r="BY233" s="107"/>
      <c r="BZ233" s="107"/>
      <c r="CA233" s="107"/>
      <c r="CB233" s="107"/>
      <c r="CC233" s="107"/>
      <c r="CD233" s="107"/>
      <c r="CE233" s="107"/>
      <c r="CF233" s="107"/>
    </row>
    <row r="234" spans="2:84">
      <c r="B234" s="98"/>
      <c r="C234" s="98"/>
      <c r="D234" s="97"/>
      <c r="E234" s="97"/>
      <c r="F234" s="97"/>
      <c r="G234" s="97"/>
      <c r="H234" s="97"/>
      <c r="I234" s="97"/>
      <c r="J234" s="97"/>
      <c r="K234" s="97"/>
      <c r="L234" s="97"/>
      <c r="M234" s="97"/>
      <c r="N234" s="99"/>
      <c r="O234" s="97"/>
      <c r="P234" s="99"/>
      <c r="Q234" s="97"/>
      <c r="R234" s="97"/>
      <c r="S234" s="97"/>
      <c r="T234" s="97"/>
      <c r="U234" s="97"/>
      <c r="V234" s="97"/>
      <c r="W234" s="97"/>
      <c r="X234" s="97"/>
      <c r="Y234" s="97"/>
      <c r="Z234" s="97"/>
      <c r="AA234" s="97"/>
      <c r="AB234" s="97"/>
      <c r="AC234" s="97"/>
      <c r="AD234" s="107"/>
      <c r="AE234" s="107"/>
      <c r="AF234" s="107"/>
      <c r="AG234" s="107"/>
      <c r="AH234" s="107"/>
      <c r="AI234" s="107"/>
      <c r="AJ234" s="107"/>
      <c r="AK234" s="107"/>
      <c r="AL234" s="107"/>
      <c r="AM234" s="107"/>
      <c r="AN234" s="107"/>
      <c r="AO234" s="107"/>
      <c r="AP234" s="107"/>
      <c r="AQ234" s="107"/>
      <c r="AR234" s="107"/>
      <c r="AS234" s="107"/>
      <c r="AT234" s="107"/>
      <c r="AU234" s="107"/>
      <c r="AV234" s="107"/>
      <c r="AW234" s="107"/>
      <c r="AX234" s="107"/>
      <c r="AY234" s="107"/>
      <c r="AZ234" s="107"/>
      <c r="BA234" s="107"/>
      <c r="BB234" s="107"/>
      <c r="BC234" s="107"/>
      <c r="BD234" s="107"/>
      <c r="BE234" s="107"/>
      <c r="BF234" s="107"/>
      <c r="BG234" s="107"/>
      <c r="BH234" s="107"/>
      <c r="BI234" s="107"/>
      <c r="BJ234" s="107"/>
      <c r="BK234" s="107"/>
      <c r="BL234" s="107"/>
      <c r="BM234" s="107"/>
      <c r="BN234" s="107"/>
      <c r="BO234" s="107"/>
      <c r="BP234" s="107"/>
      <c r="BQ234" s="107"/>
      <c r="BR234" s="107"/>
      <c r="BS234" s="107"/>
      <c r="BT234" s="107"/>
      <c r="BU234" s="107"/>
      <c r="BV234" s="107"/>
      <c r="BW234" s="107"/>
      <c r="BX234" s="107"/>
      <c r="BY234" s="107"/>
      <c r="BZ234" s="107"/>
      <c r="CA234" s="107"/>
      <c r="CB234" s="107"/>
      <c r="CC234" s="107"/>
      <c r="CD234" s="107"/>
      <c r="CE234" s="107"/>
      <c r="CF234" s="107"/>
    </row>
    <row r="235" spans="2:84">
      <c r="B235" s="98"/>
      <c r="C235" s="98"/>
      <c r="D235" s="97"/>
      <c r="E235" s="97"/>
      <c r="F235" s="97"/>
      <c r="G235" s="97"/>
      <c r="H235" s="97"/>
      <c r="I235" s="97"/>
      <c r="J235" s="97"/>
      <c r="K235" s="97"/>
      <c r="L235" s="97"/>
      <c r="M235" s="97"/>
      <c r="N235" s="99"/>
      <c r="O235" s="97"/>
      <c r="P235" s="99"/>
      <c r="Q235" s="97"/>
      <c r="R235" s="97"/>
      <c r="S235" s="97"/>
      <c r="T235" s="97"/>
      <c r="U235" s="97"/>
      <c r="V235" s="97"/>
      <c r="W235" s="97"/>
      <c r="X235" s="97"/>
      <c r="Y235" s="97"/>
      <c r="Z235" s="97"/>
      <c r="AA235" s="97"/>
      <c r="AB235" s="97"/>
      <c r="AC235" s="97"/>
      <c r="AD235" s="107"/>
      <c r="AE235" s="107"/>
      <c r="AF235" s="107"/>
      <c r="AG235" s="107"/>
      <c r="AH235" s="107"/>
      <c r="AI235" s="107"/>
      <c r="AJ235" s="107"/>
      <c r="AK235" s="107"/>
      <c r="AL235" s="107"/>
      <c r="AM235" s="107"/>
      <c r="AN235" s="107"/>
      <c r="AO235" s="107"/>
      <c r="AP235" s="107"/>
      <c r="AQ235" s="107"/>
      <c r="AR235" s="107"/>
      <c r="AS235" s="107"/>
      <c r="AT235" s="107"/>
      <c r="AU235" s="107"/>
      <c r="AV235" s="107"/>
      <c r="AW235" s="107"/>
      <c r="AX235" s="107"/>
      <c r="AY235" s="107"/>
      <c r="AZ235" s="107"/>
      <c r="BA235" s="107"/>
      <c r="BB235" s="107"/>
      <c r="BC235" s="107"/>
      <c r="BD235" s="107"/>
      <c r="BE235" s="107"/>
      <c r="BF235" s="107"/>
      <c r="BG235" s="107"/>
      <c r="BH235" s="107"/>
      <c r="BI235" s="107"/>
      <c r="BJ235" s="107"/>
      <c r="BK235" s="107"/>
      <c r="BL235" s="107"/>
      <c r="BM235" s="107"/>
      <c r="BN235" s="107"/>
      <c r="BO235" s="107"/>
      <c r="BP235" s="107"/>
      <c r="BQ235" s="107"/>
      <c r="BR235" s="107"/>
      <c r="BS235" s="107"/>
      <c r="BT235" s="107"/>
      <c r="BU235" s="107"/>
      <c r="BV235" s="107"/>
      <c r="BW235" s="107"/>
      <c r="BX235" s="107"/>
      <c r="BY235" s="107"/>
      <c r="BZ235" s="107"/>
      <c r="CA235" s="107"/>
      <c r="CB235" s="107"/>
      <c r="CC235" s="107"/>
      <c r="CD235" s="107"/>
      <c r="CE235" s="107"/>
      <c r="CF235" s="107"/>
    </row>
    <row r="236" spans="2:84">
      <c r="B236" s="98"/>
      <c r="C236" s="98"/>
      <c r="D236" s="97"/>
      <c r="E236" s="97"/>
      <c r="F236" s="97"/>
      <c r="G236" s="97"/>
      <c r="H236" s="97"/>
      <c r="I236" s="97"/>
      <c r="J236" s="97"/>
      <c r="K236" s="97"/>
      <c r="L236" s="97"/>
      <c r="M236" s="97"/>
      <c r="N236" s="99"/>
      <c r="O236" s="97"/>
      <c r="P236" s="99"/>
      <c r="Q236" s="97"/>
      <c r="R236" s="97"/>
      <c r="S236" s="97"/>
      <c r="T236" s="97"/>
      <c r="U236" s="97"/>
      <c r="V236" s="97"/>
      <c r="W236" s="97"/>
      <c r="X236" s="97"/>
      <c r="Y236" s="97"/>
      <c r="Z236" s="97"/>
      <c r="AA236" s="97"/>
      <c r="AB236" s="97"/>
      <c r="AC236" s="97"/>
      <c r="AD236" s="107"/>
      <c r="AE236" s="107"/>
      <c r="AF236" s="107"/>
      <c r="AG236" s="107"/>
      <c r="AH236" s="107"/>
      <c r="AI236" s="107"/>
      <c r="AJ236" s="107"/>
      <c r="AK236" s="107"/>
      <c r="AL236" s="107"/>
      <c r="AM236" s="107"/>
      <c r="AN236" s="107"/>
      <c r="AO236" s="107"/>
      <c r="AP236" s="107"/>
      <c r="AQ236" s="107"/>
      <c r="AR236" s="107"/>
      <c r="AS236" s="107"/>
      <c r="AT236" s="107"/>
      <c r="AU236" s="107"/>
      <c r="AV236" s="107"/>
      <c r="AW236" s="107"/>
      <c r="AX236" s="107"/>
      <c r="AY236" s="107"/>
      <c r="AZ236" s="107"/>
      <c r="BA236" s="107"/>
      <c r="BB236" s="107"/>
      <c r="BC236" s="107"/>
      <c r="BD236" s="107"/>
      <c r="BE236" s="107"/>
      <c r="BF236" s="107"/>
      <c r="BG236" s="107"/>
      <c r="BH236" s="107"/>
      <c r="BI236" s="107"/>
      <c r="BJ236" s="107"/>
      <c r="BK236" s="107"/>
      <c r="BL236" s="107"/>
      <c r="BM236" s="107"/>
      <c r="BN236" s="107"/>
      <c r="BO236" s="107"/>
      <c r="BP236" s="107"/>
      <c r="BQ236" s="107"/>
      <c r="BR236" s="107"/>
      <c r="BS236" s="107"/>
      <c r="BT236" s="107"/>
      <c r="BU236" s="107"/>
      <c r="BV236" s="107"/>
      <c r="BW236" s="107"/>
      <c r="BX236" s="107"/>
      <c r="BY236" s="107"/>
      <c r="BZ236" s="107"/>
      <c r="CA236" s="107"/>
      <c r="CB236" s="107"/>
      <c r="CC236" s="107"/>
      <c r="CD236" s="107"/>
      <c r="CE236" s="107"/>
      <c r="CF236" s="107"/>
    </row>
    <row r="237" spans="2:84">
      <c r="B237" s="98"/>
      <c r="C237" s="98"/>
      <c r="D237" s="97"/>
      <c r="E237" s="97"/>
      <c r="F237" s="97"/>
      <c r="G237" s="97"/>
      <c r="H237" s="97"/>
      <c r="I237" s="97"/>
      <c r="J237" s="97"/>
      <c r="K237" s="97"/>
      <c r="L237" s="97"/>
      <c r="M237" s="97"/>
      <c r="N237" s="99"/>
      <c r="O237" s="97"/>
      <c r="P237" s="99"/>
      <c r="Q237" s="97"/>
      <c r="R237" s="97"/>
      <c r="S237" s="97"/>
      <c r="T237" s="97"/>
      <c r="U237" s="97"/>
      <c r="V237" s="97"/>
      <c r="W237" s="97"/>
      <c r="X237" s="97"/>
      <c r="Y237" s="97"/>
      <c r="Z237" s="97"/>
      <c r="AA237" s="97"/>
      <c r="AB237" s="97"/>
      <c r="AC237" s="97"/>
      <c r="AD237" s="107"/>
      <c r="AE237" s="107"/>
      <c r="AF237" s="107"/>
      <c r="AG237" s="107"/>
      <c r="AH237" s="107"/>
      <c r="AI237" s="107"/>
      <c r="AJ237" s="107"/>
      <c r="AK237" s="107"/>
      <c r="AL237" s="107"/>
      <c r="AM237" s="107"/>
      <c r="AN237" s="107"/>
      <c r="AO237" s="107"/>
      <c r="AP237" s="107"/>
      <c r="AQ237" s="107"/>
      <c r="AR237" s="107"/>
      <c r="AS237" s="107"/>
      <c r="AT237" s="107"/>
      <c r="AU237" s="107"/>
      <c r="AV237" s="107"/>
      <c r="AW237" s="107"/>
      <c r="AX237" s="107"/>
      <c r="AY237" s="107"/>
      <c r="AZ237" s="107"/>
      <c r="BA237" s="107"/>
      <c r="BB237" s="107"/>
      <c r="BC237" s="107"/>
      <c r="BD237" s="107"/>
      <c r="BE237" s="107"/>
      <c r="BF237" s="107"/>
      <c r="BG237" s="107"/>
      <c r="BH237" s="107"/>
      <c r="BI237" s="107"/>
      <c r="BJ237" s="107"/>
      <c r="BK237" s="107"/>
      <c r="BL237" s="107"/>
      <c r="BM237" s="107"/>
      <c r="BN237" s="107"/>
      <c r="BO237" s="107"/>
      <c r="BP237" s="107"/>
      <c r="BQ237" s="107"/>
      <c r="BR237" s="107"/>
      <c r="BS237" s="107"/>
      <c r="BT237" s="107"/>
      <c r="BU237" s="107"/>
      <c r="BV237" s="107"/>
      <c r="BW237" s="107"/>
      <c r="BX237" s="107"/>
      <c r="BY237" s="107"/>
      <c r="BZ237" s="107"/>
      <c r="CA237" s="107"/>
      <c r="CB237" s="107"/>
      <c r="CC237" s="107"/>
      <c r="CD237" s="107"/>
      <c r="CE237" s="107"/>
      <c r="CF237" s="107"/>
    </row>
    <row r="238" spans="2:84">
      <c r="B238" s="98"/>
      <c r="C238" s="98"/>
      <c r="D238" s="97"/>
      <c r="E238" s="97"/>
      <c r="F238" s="97"/>
      <c r="G238" s="97"/>
      <c r="H238" s="97"/>
      <c r="I238" s="97"/>
      <c r="J238" s="97"/>
      <c r="K238" s="97"/>
      <c r="L238" s="97"/>
      <c r="M238" s="97"/>
      <c r="N238" s="99"/>
      <c r="O238" s="97"/>
      <c r="P238" s="99"/>
      <c r="Q238" s="97"/>
      <c r="R238" s="97"/>
      <c r="S238" s="97"/>
      <c r="T238" s="97"/>
      <c r="U238" s="97"/>
      <c r="V238" s="97"/>
      <c r="W238" s="97"/>
      <c r="X238" s="97"/>
      <c r="Y238" s="97"/>
      <c r="Z238" s="97"/>
      <c r="AA238" s="97"/>
      <c r="AB238" s="97"/>
      <c r="AC238" s="97"/>
      <c r="AD238" s="107"/>
      <c r="AE238" s="107"/>
      <c r="AF238" s="107"/>
      <c r="AG238" s="107"/>
      <c r="AH238" s="107"/>
      <c r="AI238" s="107"/>
      <c r="AJ238" s="107"/>
      <c r="AK238" s="107"/>
      <c r="AL238" s="107"/>
      <c r="AM238" s="107"/>
      <c r="AN238" s="107"/>
      <c r="AO238" s="107"/>
      <c r="AP238" s="107"/>
      <c r="AQ238" s="107"/>
      <c r="AR238" s="107"/>
      <c r="AS238" s="107"/>
      <c r="AT238" s="107"/>
      <c r="AU238" s="107"/>
      <c r="AV238" s="107"/>
      <c r="AW238" s="107"/>
      <c r="AX238" s="107"/>
      <c r="AY238" s="107"/>
      <c r="AZ238" s="107"/>
      <c r="BA238" s="107"/>
      <c r="BB238" s="107"/>
      <c r="BC238" s="107"/>
      <c r="BD238" s="107"/>
      <c r="BE238" s="107"/>
      <c r="BF238" s="107"/>
      <c r="BG238" s="107"/>
      <c r="BH238" s="107"/>
      <c r="BI238" s="107"/>
      <c r="BJ238" s="107"/>
      <c r="BK238" s="107"/>
      <c r="BL238" s="107"/>
      <c r="BM238" s="107"/>
      <c r="BN238" s="107"/>
      <c r="BO238" s="107"/>
      <c r="BP238" s="107"/>
      <c r="BQ238" s="107"/>
      <c r="BR238" s="107"/>
      <c r="BS238" s="107"/>
      <c r="BT238" s="107"/>
      <c r="BU238" s="107"/>
      <c r="BV238" s="107"/>
      <c r="BW238" s="107"/>
      <c r="BX238" s="107"/>
      <c r="BY238" s="107"/>
      <c r="BZ238" s="107"/>
      <c r="CA238" s="107"/>
      <c r="CB238" s="107"/>
      <c r="CC238" s="107"/>
      <c r="CD238" s="107"/>
      <c r="CE238" s="107"/>
      <c r="CF238" s="107"/>
    </row>
    <row r="239" spans="2:84">
      <c r="B239" s="98"/>
      <c r="C239" s="98"/>
      <c r="D239" s="97"/>
      <c r="E239" s="97"/>
      <c r="F239" s="97"/>
      <c r="G239" s="97"/>
      <c r="H239" s="97"/>
      <c r="I239" s="97"/>
      <c r="J239" s="97"/>
      <c r="K239" s="97"/>
      <c r="L239" s="97"/>
      <c r="M239" s="97"/>
      <c r="N239" s="99"/>
      <c r="O239" s="97"/>
      <c r="P239" s="99"/>
      <c r="Q239" s="97"/>
      <c r="R239" s="97"/>
      <c r="S239" s="97"/>
      <c r="T239" s="97"/>
      <c r="U239" s="97"/>
      <c r="V239" s="97"/>
      <c r="W239" s="97"/>
      <c r="X239" s="97"/>
      <c r="Y239" s="97"/>
      <c r="Z239" s="97"/>
      <c r="AA239" s="97"/>
      <c r="AB239" s="97"/>
      <c r="AC239" s="97"/>
      <c r="AD239" s="107"/>
      <c r="AE239" s="107"/>
      <c r="AF239" s="107"/>
      <c r="AG239" s="107"/>
      <c r="AH239" s="107"/>
      <c r="AI239" s="107"/>
      <c r="AJ239" s="107"/>
      <c r="AK239" s="107"/>
      <c r="AL239" s="107"/>
      <c r="AM239" s="107"/>
      <c r="AN239" s="107"/>
      <c r="AO239" s="107"/>
      <c r="AP239" s="107"/>
      <c r="AQ239" s="107"/>
      <c r="AR239" s="107"/>
      <c r="AS239" s="107"/>
      <c r="AT239" s="107"/>
      <c r="AU239" s="107"/>
      <c r="AV239" s="107"/>
      <c r="AW239" s="107"/>
      <c r="AX239" s="107"/>
      <c r="AY239" s="107"/>
      <c r="AZ239" s="107"/>
      <c r="BA239" s="107"/>
      <c r="BB239" s="107"/>
      <c r="BC239" s="107"/>
      <c r="BD239" s="107"/>
      <c r="BE239" s="107"/>
      <c r="BF239" s="107"/>
      <c r="BG239" s="107"/>
      <c r="BH239" s="107"/>
      <c r="BI239" s="107"/>
      <c r="BJ239" s="107"/>
      <c r="BK239" s="107"/>
      <c r="BL239" s="107"/>
      <c r="BM239" s="107"/>
      <c r="BN239" s="107"/>
      <c r="BO239" s="107"/>
      <c r="BP239" s="107"/>
      <c r="BQ239" s="107"/>
      <c r="BR239" s="107"/>
      <c r="BS239" s="107"/>
      <c r="BT239" s="107"/>
      <c r="BU239" s="107"/>
      <c r="BV239" s="107"/>
      <c r="BW239" s="107"/>
      <c r="BX239" s="107"/>
      <c r="BY239" s="107"/>
      <c r="BZ239" s="107"/>
      <c r="CA239" s="107"/>
      <c r="CB239" s="107"/>
      <c r="CC239" s="107"/>
      <c r="CD239" s="107"/>
      <c r="CE239" s="107"/>
      <c r="CF239" s="107"/>
    </row>
    <row r="240" spans="2:84">
      <c r="B240" s="98"/>
      <c r="C240" s="98"/>
      <c r="D240" s="97"/>
      <c r="E240" s="97"/>
      <c r="F240" s="97"/>
      <c r="G240" s="97"/>
      <c r="H240" s="97"/>
      <c r="I240" s="97"/>
      <c r="J240" s="97"/>
      <c r="K240" s="97"/>
      <c r="L240" s="97"/>
      <c r="M240" s="97"/>
      <c r="N240" s="99"/>
      <c r="O240" s="97"/>
      <c r="P240" s="99"/>
      <c r="Q240" s="97"/>
      <c r="R240" s="97"/>
      <c r="S240" s="97"/>
      <c r="T240" s="97"/>
      <c r="U240" s="97"/>
      <c r="V240" s="97"/>
      <c r="W240" s="97"/>
      <c r="X240" s="97"/>
      <c r="Y240" s="97"/>
      <c r="Z240" s="97"/>
      <c r="AA240" s="97"/>
      <c r="AB240" s="97"/>
      <c r="AC240" s="97"/>
      <c r="AD240" s="107"/>
      <c r="AE240" s="107"/>
      <c r="AF240" s="107"/>
      <c r="AG240" s="107"/>
      <c r="AH240" s="107"/>
      <c r="AI240" s="107"/>
      <c r="AJ240" s="107"/>
      <c r="AK240" s="107"/>
      <c r="AL240" s="107"/>
      <c r="AM240" s="107"/>
      <c r="AN240" s="107"/>
      <c r="AO240" s="107"/>
      <c r="AP240" s="107"/>
      <c r="AQ240" s="107"/>
      <c r="AR240" s="107"/>
      <c r="AS240" s="107"/>
      <c r="AT240" s="107"/>
      <c r="AU240" s="107"/>
      <c r="AV240" s="107"/>
      <c r="AW240" s="107"/>
      <c r="AX240" s="107"/>
      <c r="AY240" s="107"/>
      <c r="AZ240" s="107"/>
      <c r="BA240" s="107"/>
      <c r="BB240" s="107"/>
      <c r="BC240" s="107"/>
      <c r="BD240" s="107"/>
      <c r="BE240" s="107"/>
      <c r="BF240" s="107"/>
      <c r="BG240" s="107"/>
      <c r="BH240" s="107"/>
      <c r="BI240" s="107"/>
      <c r="BJ240" s="107"/>
      <c r="BK240" s="107"/>
      <c r="BL240" s="107"/>
      <c r="BM240" s="107"/>
      <c r="BN240" s="107"/>
      <c r="BO240" s="107"/>
      <c r="BP240" s="107"/>
      <c r="BQ240" s="107"/>
      <c r="BR240" s="107"/>
      <c r="BS240" s="107"/>
      <c r="BT240" s="107"/>
      <c r="BU240" s="107"/>
      <c r="BV240" s="107"/>
      <c r="BW240" s="107"/>
      <c r="BX240" s="107"/>
      <c r="BY240" s="107"/>
      <c r="BZ240" s="107"/>
      <c r="CA240" s="107"/>
      <c r="CB240" s="107"/>
      <c r="CC240" s="107"/>
      <c r="CD240" s="107"/>
      <c r="CE240" s="107"/>
      <c r="CF240" s="107"/>
    </row>
    <row r="241" spans="2:84">
      <c r="B241" s="98"/>
      <c r="C241" s="98"/>
      <c r="D241" s="97"/>
      <c r="E241" s="97"/>
      <c r="F241" s="97"/>
      <c r="G241" s="97"/>
      <c r="H241" s="97"/>
      <c r="I241" s="97"/>
      <c r="J241" s="97"/>
      <c r="K241" s="97"/>
      <c r="L241" s="97"/>
      <c r="M241" s="97"/>
      <c r="N241" s="99"/>
      <c r="O241" s="97"/>
      <c r="P241" s="99"/>
      <c r="Q241" s="97"/>
      <c r="R241" s="97"/>
      <c r="S241" s="97"/>
      <c r="T241" s="97"/>
      <c r="U241" s="97"/>
      <c r="V241" s="97"/>
      <c r="W241" s="97"/>
      <c r="X241" s="97"/>
      <c r="Y241" s="97"/>
      <c r="Z241" s="97"/>
      <c r="AA241" s="97"/>
      <c r="AB241" s="97"/>
      <c r="AC241" s="97"/>
      <c r="AD241" s="107"/>
      <c r="AE241" s="107"/>
      <c r="AF241" s="107"/>
      <c r="AG241" s="107"/>
      <c r="AH241" s="107"/>
      <c r="AI241" s="107"/>
      <c r="AJ241" s="107"/>
      <c r="AK241" s="107"/>
      <c r="AL241" s="107"/>
      <c r="AM241" s="107"/>
      <c r="AN241" s="107"/>
      <c r="AO241" s="107"/>
      <c r="AP241" s="107"/>
      <c r="AQ241" s="107"/>
      <c r="AR241" s="107"/>
      <c r="AS241" s="107"/>
      <c r="AT241" s="107"/>
      <c r="AU241" s="107"/>
      <c r="AV241" s="107"/>
      <c r="AW241" s="107"/>
      <c r="AX241" s="107"/>
      <c r="AY241" s="107"/>
      <c r="AZ241" s="107"/>
      <c r="BA241" s="107"/>
      <c r="BB241" s="107"/>
      <c r="BC241" s="107"/>
      <c r="BD241" s="107"/>
      <c r="BE241" s="107"/>
      <c r="BF241" s="107"/>
      <c r="BG241" s="107"/>
      <c r="BH241" s="107"/>
      <c r="BI241" s="107"/>
      <c r="BJ241" s="107"/>
      <c r="BK241" s="107"/>
      <c r="BL241" s="107"/>
      <c r="BM241" s="107"/>
      <c r="BN241" s="107"/>
      <c r="BO241" s="107"/>
      <c r="BP241" s="107"/>
      <c r="BQ241" s="107"/>
      <c r="BR241" s="107"/>
      <c r="BS241" s="107"/>
      <c r="BT241" s="107"/>
      <c r="BU241" s="107"/>
      <c r="BV241" s="107"/>
      <c r="BW241" s="107"/>
      <c r="BX241" s="107"/>
      <c r="BY241" s="107"/>
      <c r="BZ241" s="107"/>
      <c r="CA241" s="107"/>
      <c r="CB241" s="107"/>
      <c r="CC241" s="107"/>
      <c r="CD241" s="107"/>
      <c r="CE241" s="107"/>
      <c r="CF241" s="107"/>
    </row>
    <row r="242" spans="2:84">
      <c r="B242" s="98"/>
      <c r="C242" s="98"/>
      <c r="D242" s="97"/>
      <c r="E242" s="97"/>
      <c r="F242" s="97"/>
      <c r="G242" s="97"/>
      <c r="H242" s="97"/>
      <c r="I242" s="97"/>
      <c r="J242" s="97"/>
      <c r="K242" s="97"/>
      <c r="L242" s="97"/>
      <c r="M242" s="97"/>
      <c r="N242" s="99"/>
      <c r="O242" s="97"/>
      <c r="P242" s="99"/>
      <c r="Q242" s="97"/>
      <c r="R242" s="97"/>
      <c r="S242" s="97"/>
      <c r="T242" s="97"/>
      <c r="U242" s="97"/>
      <c r="V242" s="97"/>
      <c r="W242" s="97"/>
      <c r="X242" s="97"/>
      <c r="Y242" s="97"/>
      <c r="Z242" s="97"/>
      <c r="AA242" s="97"/>
      <c r="AB242" s="97"/>
      <c r="AC242" s="97"/>
      <c r="AD242" s="107"/>
      <c r="AE242" s="107"/>
      <c r="AF242" s="107"/>
      <c r="AG242" s="107"/>
      <c r="AH242" s="107"/>
      <c r="AI242" s="107"/>
      <c r="AJ242" s="107"/>
      <c r="AK242" s="107"/>
      <c r="AL242" s="107"/>
      <c r="AM242" s="107"/>
      <c r="AN242" s="107"/>
      <c r="AO242" s="107"/>
      <c r="AP242" s="107"/>
      <c r="AQ242" s="107"/>
      <c r="AR242" s="107"/>
      <c r="AS242" s="107"/>
      <c r="AT242" s="107"/>
      <c r="AU242" s="107"/>
      <c r="AV242" s="107"/>
      <c r="AW242" s="107"/>
      <c r="AX242" s="107"/>
      <c r="AY242" s="107"/>
      <c r="AZ242" s="107"/>
      <c r="BA242" s="107"/>
      <c r="BB242" s="107"/>
      <c r="BC242" s="107"/>
      <c r="BD242" s="107"/>
      <c r="BE242" s="107"/>
      <c r="BF242" s="107"/>
      <c r="BG242" s="107"/>
      <c r="BH242" s="107"/>
      <c r="BI242" s="107"/>
      <c r="BJ242" s="107"/>
      <c r="BK242" s="107"/>
      <c r="BL242" s="107"/>
      <c r="BM242" s="107"/>
      <c r="BN242" s="107"/>
      <c r="BO242" s="107"/>
      <c r="BP242" s="107"/>
      <c r="BQ242" s="107"/>
      <c r="BR242" s="107"/>
      <c r="BS242" s="107"/>
      <c r="BT242" s="107"/>
      <c r="BU242" s="107"/>
      <c r="BV242" s="107"/>
      <c r="BW242" s="107"/>
      <c r="BX242" s="107"/>
      <c r="BY242" s="107"/>
      <c r="BZ242" s="107"/>
      <c r="CA242" s="107"/>
      <c r="CB242" s="107"/>
      <c r="CC242" s="107"/>
      <c r="CD242" s="107"/>
      <c r="CE242" s="107"/>
      <c r="CF242" s="107"/>
    </row>
    <row r="243" spans="2:84">
      <c r="B243" s="98"/>
      <c r="C243" s="98"/>
      <c r="D243" s="97"/>
      <c r="E243" s="97"/>
      <c r="F243" s="97"/>
      <c r="G243" s="97"/>
      <c r="H243" s="97"/>
      <c r="I243" s="97"/>
      <c r="J243" s="97"/>
      <c r="K243" s="97"/>
      <c r="L243" s="97"/>
      <c r="M243" s="97"/>
      <c r="N243" s="99"/>
      <c r="O243" s="97"/>
      <c r="P243" s="99"/>
      <c r="Q243" s="97"/>
      <c r="R243" s="97"/>
      <c r="S243" s="97"/>
      <c r="T243" s="97"/>
      <c r="U243" s="97"/>
      <c r="V243" s="97"/>
      <c r="W243" s="97"/>
      <c r="X243" s="97"/>
      <c r="Y243" s="97"/>
      <c r="Z243" s="97"/>
      <c r="AA243" s="97"/>
      <c r="AB243" s="97"/>
      <c r="AC243" s="97"/>
      <c r="AD243" s="107"/>
      <c r="AE243" s="107"/>
      <c r="AF243" s="107"/>
      <c r="AG243" s="107"/>
      <c r="AH243" s="107"/>
      <c r="AI243" s="107"/>
      <c r="AJ243" s="107"/>
      <c r="AK243" s="107"/>
      <c r="AL243" s="107"/>
      <c r="AM243" s="107"/>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7"/>
      <c r="BQ243" s="107"/>
      <c r="BR243" s="107"/>
      <c r="BS243" s="107"/>
      <c r="BT243" s="107"/>
      <c r="BU243" s="107"/>
      <c r="BV243" s="107"/>
      <c r="BW243" s="107"/>
      <c r="BX243" s="107"/>
      <c r="BY243" s="107"/>
      <c r="BZ243" s="107"/>
      <c r="CA243" s="107"/>
      <c r="CB243" s="107"/>
      <c r="CC243" s="107"/>
      <c r="CD243" s="107"/>
      <c r="CE243" s="107"/>
      <c r="CF243" s="107"/>
    </row>
    <row r="244" spans="2:84">
      <c r="B244" s="98"/>
      <c r="C244" s="98"/>
      <c r="D244" s="97"/>
      <c r="E244" s="97"/>
      <c r="F244" s="97"/>
      <c r="G244" s="97"/>
      <c r="H244" s="97"/>
      <c r="I244" s="97"/>
      <c r="J244" s="97"/>
      <c r="K244" s="97"/>
      <c r="L244" s="97"/>
      <c r="M244" s="97"/>
      <c r="N244" s="99"/>
      <c r="O244" s="97"/>
      <c r="P244" s="99"/>
      <c r="Q244" s="97"/>
      <c r="R244" s="97"/>
      <c r="S244" s="97"/>
      <c r="T244" s="97"/>
      <c r="U244" s="97"/>
      <c r="V244" s="97"/>
      <c r="W244" s="97"/>
      <c r="X244" s="97"/>
      <c r="Y244" s="97"/>
      <c r="Z244" s="97"/>
      <c r="AA244" s="97"/>
      <c r="AB244" s="97"/>
      <c r="AC244" s="97"/>
      <c r="AD244" s="107"/>
      <c r="AE244" s="107"/>
      <c r="AF244" s="107"/>
      <c r="AG244" s="107"/>
      <c r="AH244" s="107"/>
      <c r="AI244" s="107"/>
      <c r="AJ244" s="107"/>
      <c r="AK244" s="107"/>
      <c r="AL244" s="107"/>
      <c r="AM244" s="107"/>
      <c r="AN244" s="107"/>
      <c r="AO244" s="107"/>
      <c r="AP244" s="107"/>
      <c r="AQ244" s="107"/>
      <c r="AR244" s="107"/>
      <c r="AS244" s="107"/>
      <c r="AT244" s="107"/>
      <c r="AU244" s="107"/>
      <c r="AV244" s="107"/>
      <c r="AW244" s="107"/>
      <c r="AX244" s="107"/>
      <c r="AY244" s="107"/>
      <c r="AZ244" s="107"/>
      <c r="BA244" s="107"/>
      <c r="BB244" s="107"/>
      <c r="BC244" s="107"/>
      <c r="BD244" s="107"/>
      <c r="BE244" s="107"/>
      <c r="BF244" s="107"/>
      <c r="BG244" s="107"/>
      <c r="BH244" s="107"/>
      <c r="BI244" s="107"/>
      <c r="BJ244" s="107"/>
      <c r="BK244" s="107"/>
      <c r="BL244" s="107"/>
      <c r="BM244" s="107"/>
      <c r="BN244" s="107"/>
      <c r="BO244" s="107"/>
      <c r="BP244" s="107"/>
      <c r="BQ244" s="107"/>
      <c r="BR244" s="107"/>
      <c r="BS244" s="107"/>
      <c r="BT244" s="107"/>
      <c r="BU244" s="107"/>
      <c r="BV244" s="107"/>
      <c r="BW244" s="107"/>
      <c r="BX244" s="107"/>
      <c r="BY244" s="107"/>
      <c r="BZ244" s="107"/>
      <c r="CA244" s="107"/>
      <c r="CB244" s="107"/>
      <c r="CC244" s="107"/>
      <c r="CD244" s="107"/>
      <c r="CE244" s="107"/>
      <c r="CF244" s="107"/>
    </row>
    <row r="245" spans="2:84">
      <c r="B245" s="98"/>
      <c r="C245" s="98"/>
      <c r="D245" s="97"/>
      <c r="E245" s="97"/>
      <c r="F245" s="97"/>
      <c r="G245" s="97"/>
      <c r="H245" s="97"/>
      <c r="I245" s="97"/>
      <c r="J245" s="97"/>
      <c r="K245" s="97"/>
      <c r="L245" s="97"/>
      <c r="M245" s="97"/>
      <c r="N245" s="99"/>
      <c r="O245" s="97"/>
      <c r="P245" s="99"/>
      <c r="Q245" s="97"/>
      <c r="R245" s="97"/>
      <c r="S245" s="97"/>
      <c r="T245" s="97"/>
      <c r="U245" s="97"/>
      <c r="V245" s="97"/>
      <c r="W245" s="97"/>
      <c r="X245" s="97"/>
      <c r="Y245" s="97"/>
      <c r="Z245" s="97"/>
      <c r="AA245" s="97"/>
      <c r="AB245" s="97"/>
      <c r="AC245" s="97"/>
      <c r="AD245" s="107"/>
      <c r="AE245" s="107"/>
      <c r="AF245" s="107"/>
      <c r="AG245" s="107"/>
      <c r="AH245" s="107"/>
      <c r="AI245" s="107"/>
      <c r="AJ245" s="107"/>
      <c r="AK245" s="107"/>
      <c r="AL245" s="107"/>
      <c r="AM245" s="107"/>
      <c r="AN245" s="107"/>
      <c r="AO245" s="107"/>
      <c r="AP245" s="107"/>
      <c r="AQ245" s="107"/>
      <c r="AR245" s="107"/>
      <c r="AS245" s="107"/>
      <c r="AT245" s="107"/>
      <c r="AU245" s="107"/>
      <c r="AV245" s="107"/>
      <c r="AW245" s="107"/>
      <c r="AX245" s="107"/>
      <c r="AY245" s="107"/>
      <c r="AZ245" s="107"/>
      <c r="BA245" s="107"/>
      <c r="BB245" s="107"/>
      <c r="BC245" s="107"/>
      <c r="BD245" s="107"/>
      <c r="BE245" s="107"/>
      <c r="BF245" s="107"/>
      <c r="BG245" s="107"/>
      <c r="BH245" s="107"/>
      <c r="BI245" s="107"/>
      <c r="BJ245" s="107"/>
      <c r="BK245" s="107"/>
      <c r="BL245" s="107"/>
      <c r="BM245" s="107"/>
      <c r="BN245" s="107"/>
      <c r="BO245" s="107"/>
      <c r="BP245" s="107"/>
      <c r="BQ245" s="107"/>
      <c r="BR245" s="107"/>
      <c r="BS245" s="107"/>
      <c r="BT245" s="107"/>
      <c r="BU245" s="107"/>
      <c r="BV245" s="107"/>
      <c r="BW245" s="107"/>
      <c r="BX245" s="107"/>
      <c r="BY245" s="107"/>
      <c r="BZ245" s="107"/>
      <c r="CA245" s="107"/>
      <c r="CB245" s="107"/>
      <c r="CC245" s="107"/>
      <c r="CD245" s="107"/>
      <c r="CE245" s="107"/>
      <c r="CF245" s="107"/>
    </row>
    <row r="246" spans="2:84">
      <c r="B246" s="98"/>
      <c r="C246" s="98"/>
      <c r="D246" s="97"/>
      <c r="E246" s="97"/>
      <c r="F246" s="97"/>
      <c r="G246" s="97"/>
      <c r="H246" s="97"/>
      <c r="I246" s="97"/>
      <c r="J246" s="97"/>
      <c r="K246" s="97"/>
      <c r="L246" s="97"/>
      <c r="M246" s="97"/>
      <c r="N246" s="99"/>
      <c r="O246" s="97"/>
      <c r="P246" s="99"/>
      <c r="Q246" s="97"/>
      <c r="R246" s="97"/>
      <c r="S246" s="97"/>
      <c r="T246" s="97"/>
      <c r="U246" s="97"/>
      <c r="V246" s="97"/>
      <c r="W246" s="97"/>
      <c r="X246" s="97"/>
      <c r="Y246" s="97"/>
      <c r="Z246" s="97"/>
      <c r="AA246" s="97"/>
      <c r="AB246" s="97"/>
      <c r="AC246" s="97"/>
      <c r="AD246" s="107"/>
      <c r="AE246" s="107"/>
      <c r="AF246" s="107"/>
      <c r="AG246" s="107"/>
      <c r="AH246" s="107"/>
      <c r="AI246" s="107"/>
      <c r="AJ246" s="107"/>
      <c r="AK246" s="107"/>
      <c r="AL246" s="107"/>
      <c r="AM246" s="107"/>
      <c r="AN246" s="107"/>
      <c r="AO246" s="107"/>
      <c r="AP246" s="107"/>
      <c r="AQ246" s="107"/>
      <c r="AR246" s="107"/>
      <c r="AS246" s="107"/>
      <c r="AT246" s="107"/>
      <c r="AU246" s="107"/>
      <c r="AV246" s="107"/>
      <c r="AW246" s="107"/>
      <c r="AX246" s="107"/>
      <c r="AY246" s="107"/>
      <c r="AZ246" s="107"/>
      <c r="BA246" s="107"/>
      <c r="BB246" s="107"/>
      <c r="BC246" s="107"/>
      <c r="BD246" s="107"/>
      <c r="BE246" s="107"/>
      <c r="BF246" s="107"/>
      <c r="BG246" s="107"/>
      <c r="BH246" s="107"/>
      <c r="BI246" s="107"/>
      <c r="BJ246" s="107"/>
      <c r="BK246" s="107"/>
      <c r="BL246" s="107"/>
      <c r="BM246" s="107"/>
      <c r="BN246" s="107"/>
      <c r="BO246" s="107"/>
      <c r="BP246" s="107"/>
      <c r="BQ246" s="107"/>
      <c r="BR246" s="107"/>
      <c r="BS246" s="107"/>
      <c r="BT246" s="107"/>
      <c r="BU246" s="107"/>
      <c r="BV246" s="107"/>
      <c r="BW246" s="107"/>
      <c r="BX246" s="107"/>
      <c r="BY246" s="107"/>
      <c r="BZ246" s="107"/>
      <c r="CA246" s="107"/>
      <c r="CB246" s="107"/>
      <c r="CC246" s="107"/>
      <c r="CD246" s="107"/>
      <c r="CE246" s="107"/>
      <c r="CF246" s="107"/>
    </row>
    <row r="247" spans="2:84">
      <c r="B247" s="98"/>
      <c r="C247" s="98"/>
      <c r="D247" s="97"/>
      <c r="E247" s="97"/>
      <c r="F247" s="97"/>
      <c r="G247" s="97"/>
      <c r="H247" s="97"/>
      <c r="I247" s="97"/>
      <c r="J247" s="97"/>
      <c r="K247" s="97"/>
      <c r="L247" s="97"/>
      <c r="M247" s="97"/>
      <c r="N247" s="99"/>
      <c r="O247" s="97"/>
      <c r="P247" s="99"/>
      <c r="Q247" s="97"/>
      <c r="R247" s="97"/>
      <c r="S247" s="97"/>
      <c r="T247" s="97"/>
      <c r="U247" s="97"/>
      <c r="V247" s="97"/>
      <c r="W247" s="97"/>
      <c r="X247" s="97"/>
      <c r="Y247" s="97"/>
      <c r="Z247" s="97"/>
      <c r="AA247" s="97"/>
      <c r="AB247" s="97"/>
      <c r="AC247" s="97"/>
      <c r="AD247" s="107"/>
      <c r="AE247" s="107"/>
      <c r="AF247" s="107"/>
      <c r="AG247" s="107"/>
      <c r="AH247" s="107"/>
      <c r="AI247" s="107"/>
      <c r="AJ247" s="107"/>
      <c r="AK247" s="107"/>
      <c r="AL247" s="107"/>
      <c r="AM247" s="107"/>
      <c r="AN247" s="107"/>
      <c r="AO247" s="107"/>
      <c r="AP247" s="107"/>
      <c r="AQ247" s="107"/>
      <c r="AR247" s="107"/>
      <c r="AS247" s="107"/>
      <c r="AT247" s="107"/>
      <c r="AU247" s="107"/>
      <c r="AV247" s="107"/>
      <c r="AW247" s="107"/>
      <c r="AX247" s="107"/>
      <c r="AY247" s="107"/>
      <c r="AZ247" s="107"/>
      <c r="BA247" s="107"/>
      <c r="BB247" s="107"/>
      <c r="BC247" s="107"/>
      <c r="BD247" s="107"/>
      <c r="BE247" s="107"/>
      <c r="BF247" s="107"/>
      <c r="BG247" s="107"/>
      <c r="BH247" s="107"/>
      <c r="BI247" s="107"/>
      <c r="BJ247" s="107"/>
      <c r="BK247" s="107"/>
      <c r="BL247" s="107"/>
      <c r="BM247" s="107"/>
      <c r="BN247" s="107"/>
      <c r="BO247" s="107"/>
      <c r="BP247" s="107"/>
      <c r="BQ247" s="107"/>
      <c r="BR247" s="107"/>
      <c r="BS247" s="107"/>
      <c r="BT247" s="107"/>
      <c r="BU247" s="107"/>
      <c r="BV247" s="107"/>
      <c r="BW247" s="107"/>
      <c r="BX247" s="107"/>
      <c r="BY247" s="107"/>
      <c r="BZ247" s="107"/>
      <c r="CA247" s="107"/>
      <c r="CB247" s="107"/>
      <c r="CC247" s="107"/>
      <c r="CD247" s="107"/>
      <c r="CE247" s="107"/>
      <c r="CF247" s="107"/>
    </row>
    <row r="248" spans="2:84">
      <c r="B248" s="98"/>
      <c r="C248" s="98"/>
      <c r="D248" s="97"/>
      <c r="E248" s="97"/>
      <c r="F248" s="97"/>
      <c r="G248" s="97"/>
      <c r="H248" s="97"/>
      <c r="I248" s="97"/>
      <c r="J248" s="97"/>
      <c r="K248" s="97"/>
      <c r="L248" s="97"/>
      <c r="M248" s="97"/>
      <c r="N248" s="99"/>
      <c r="O248" s="97"/>
      <c r="P248" s="99"/>
      <c r="Q248" s="97"/>
      <c r="R248" s="97"/>
      <c r="S248" s="97"/>
      <c r="T248" s="97"/>
      <c r="U248" s="97"/>
      <c r="V248" s="97"/>
      <c r="W248" s="97"/>
      <c r="X248" s="97"/>
      <c r="Y248" s="97"/>
      <c r="Z248" s="97"/>
      <c r="AA248" s="97"/>
      <c r="AB248" s="97"/>
      <c r="AC248" s="97"/>
      <c r="AD248" s="107"/>
      <c r="AE248" s="107"/>
      <c r="AF248" s="107"/>
      <c r="AG248" s="107"/>
      <c r="AH248" s="107"/>
      <c r="AI248" s="107"/>
      <c r="AJ248" s="107"/>
      <c r="AK248" s="107"/>
      <c r="AL248" s="107"/>
      <c r="AM248" s="107"/>
      <c r="AN248" s="107"/>
      <c r="AO248" s="107"/>
      <c r="AP248" s="107"/>
      <c r="AQ248" s="107"/>
      <c r="AR248" s="107"/>
      <c r="AS248" s="107"/>
      <c r="AT248" s="107"/>
      <c r="AU248" s="107"/>
      <c r="AV248" s="107"/>
      <c r="AW248" s="107"/>
      <c r="AX248" s="107"/>
      <c r="AY248" s="107"/>
      <c r="AZ248" s="107"/>
      <c r="BA248" s="107"/>
      <c r="BB248" s="107"/>
      <c r="BC248" s="107"/>
      <c r="BD248" s="107"/>
      <c r="BE248" s="107"/>
      <c r="BF248" s="107"/>
      <c r="BG248" s="107"/>
      <c r="BH248" s="107"/>
      <c r="BI248" s="107"/>
      <c r="BJ248" s="107"/>
      <c r="BK248" s="107"/>
      <c r="BL248" s="107"/>
      <c r="BM248" s="107"/>
      <c r="BN248" s="107"/>
      <c r="BO248" s="107"/>
      <c r="BP248" s="107"/>
      <c r="BQ248" s="107"/>
      <c r="BR248" s="107"/>
      <c r="BS248" s="107"/>
      <c r="BT248" s="107"/>
      <c r="BU248" s="107"/>
      <c r="BV248" s="107"/>
      <c r="BW248" s="107"/>
      <c r="BX248" s="107"/>
      <c r="BY248" s="107"/>
      <c r="BZ248" s="107"/>
      <c r="CA248" s="107"/>
      <c r="CB248" s="107"/>
      <c r="CC248" s="107"/>
      <c r="CD248" s="107"/>
      <c r="CE248" s="107"/>
      <c r="CF248" s="107"/>
    </row>
    <row r="249" spans="2:84">
      <c r="B249" s="98"/>
      <c r="C249" s="98"/>
      <c r="D249" s="97"/>
      <c r="E249" s="97"/>
      <c r="F249" s="97"/>
      <c r="G249" s="97"/>
      <c r="H249" s="97"/>
      <c r="I249" s="97"/>
      <c r="J249" s="97"/>
      <c r="K249" s="97"/>
      <c r="L249" s="97"/>
      <c r="M249" s="97"/>
      <c r="N249" s="99"/>
      <c r="O249" s="97"/>
      <c r="P249" s="99"/>
      <c r="Q249" s="97"/>
      <c r="R249" s="97"/>
      <c r="S249" s="97"/>
      <c r="T249" s="97"/>
      <c r="U249" s="97"/>
      <c r="V249" s="97"/>
      <c r="W249" s="97"/>
      <c r="X249" s="97"/>
      <c r="Y249" s="97"/>
      <c r="Z249" s="97"/>
      <c r="AA249" s="97"/>
      <c r="AB249" s="97"/>
      <c r="AC249" s="97"/>
      <c r="AD249" s="107"/>
      <c r="AE249" s="107"/>
      <c r="AF249" s="107"/>
      <c r="AG249" s="107"/>
      <c r="AH249" s="107"/>
      <c r="AI249" s="107"/>
      <c r="AJ249" s="107"/>
      <c r="AK249" s="107"/>
      <c r="AL249" s="107"/>
      <c r="AM249" s="107"/>
      <c r="AN249" s="107"/>
      <c r="AO249" s="107"/>
      <c r="AP249" s="107"/>
      <c r="AQ249" s="107"/>
      <c r="AR249" s="107"/>
      <c r="AS249" s="107"/>
      <c r="AT249" s="107"/>
      <c r="AU249" s="107"/>
      <c r="AV249" s="107"/>
      <c r="AW249" s="107"/>
      <c r="AX249" s="107"/>
      <c r="AY249" s="107"/>
      <c r="AZ249" s="107"/>
      <c r="BA249" s="107"/>
      <c r="BB249" s="107"/>
      <c r="BC249" s="107"/>
      <c r="BD249" s="107"/>
      <c r="BE249" s="107"/>
      <c r="BF249" s="107"/>
      <c r="BG249" s="107"/>
      <c r="BH249" s="107"/>
      <c r="BI249" s="107"/>
      <c r="BJ249" s="107"/>
      <c r="BK249" s="107"/>
      <c r="BL249" s="107"/>
      <c r="BM249" s="107"/>
      <c r="BN249" s="107"/>
      <c r="BO249" s="107"/>
      <c r="BP249" s="107"/>
      <c r="BQ249" s="107"/>
      <c r="BR249" s="107"/>
      <c r="BS249" s="107"/>
      <c r="BT249" s="107"/>
      <c r="BU249" s="107"/>
      <c r="BV249" s="107"/>
      <c r="BW249" s="107"/>
      <c r="BX249" s="107"/>
      <c r="BY249" s="107"/>
      <c r="BZ249" s="107"/>
      <c r="CA249" s="107"/>
      <c r="CB249" s="107"/>
      <c r="CC249" s="107"/>
      <c r="CD249" s="107"/>
      <c r="CE249" s="107"/>
      <c r="CF249" s="107"/>
    </row>
    <row r="250" spans="2:84">
      <c r="B250" s="98"/>
      <c r="C250" s="98"/>
      <c r="D250" s="97"/>
      <c r="E250" s="97"/>
      <c r="F250" s="97"/>
      <c r="G250" s="97"/>
      <c r="H250" s="97"/>
      <c r="I250" s="97"/>
      <c r="J250" s="97"/>
      <c r="K250" s="97"/>
      <c r="L250" s="97"/>
      <c r="M250" s="97"/>
      <c r="N250" s="99"/>
      <c r="O250" s="97"/>
      <c r="P250" s="99"/>
      <c r="Q250" s="97"/>
      <c r="R250" s="97"/>
      <c r="S250" s="97"/>
      <c r="T250" s="97"/>
      <c r="U250" s="97"/>
      <c r="V250" s="97"/>
      <c r="W250" s="97"/>
      <c r="X250" s="97"/>
      <c r="Y250" s="97"/>
      <c r="Z250" s="97"/>
      <c r="AA250" s="97"/>
      <c r="AB250" s="97"/>
      <c r="AC250" s="97"/>
      <c r="AD250" s="107"/>
      <c r="AE250" s="107"/>
      <c r="AF250" s="107"/>
      <c r="AG250" s="107"/>
      <c r="AH250" s="107"/>
      <c r="AI250" s="107"/>
      <c r="AJ250" s="107"/>
      <c r="AK250" s="107"/>
      <c r="AL250" s="107"/>
      <c r="AM250" s="107"/>
      <c r="AN250" s="107"/>
      <c r="AO250" s="107"/>
      <c r="AP250" s="107"/>
      <c r="AQ250" s="107"/>
      <c r="AR250" s="107"/>
      <c r="AS250" s="107"/>
      <c r="AT250" s="107"/>
      <c r="AU250" s="107"/>
      <c r="AV250" s="107"/>
      <c r="AW250" s="107"/>
      <c r="AX250" s="107"/>
      <c r="AY250" s="107"/>
      <c r="AZ250" s="107"/>
      <c r="BA250" s="107"/>
      <c r="BB250" s="107"/>
      <c r="BC250" s="107"/>
      <c r="BD250" s="107"/>
      <c r="BE250" s="107"/>
      <c r="BF250" s="107"/>
      <c r="BG250" s="107"/>
      <c r="BH250" s="107"/>
      <c r="BI250" s="107"/>
      <c r="BJ250" s="107"/>
      <c r="BK250" s="107"/>
      <c r="BL250" s="107"/>
      <c r="BM250" s="107"/>
      <c r="BN250" s="107"/>
      <c r="BO250" s="107"/>
      <c r="BP250" s="107"/>
      <c r="BQ250" s="107"/>
      <c r="BR250" s="107"/>
      <c r="BS250" s="107"/>
      <c r="BT250" s="107"/>
      <c r="BU250" s="107"/>
      <c r="BV250" s="107"/>
      <c r="BW250" s="107"/>
      <c r="BX250" s="107"/>
      <c r="BY250" s="107"/>
      <c r="BZ250" s="107"/>
      <c r="CA250" s="107"/>
      <c r="CB250" s="107"/>
      <c r="CC250" s="107"/>
      <c r="CD250" s="107"/>
      <c r="CE250" s="107"/>
      <c r="CF250" s="107"/>
    </row>
    <row r="251" spans="2:84">
      <c r="B251" s="98"/>
      <c r="C251" s="98"/>
      <c r="D251" s="97"/>
      <c r="E251" s="97"/>
      <c r="F251" s="97"/>
      <c r="G251" s="97"/>
      <c r="H251" s="97"/>
      <c r="I251" s="97"/>
      <c r="J251" s="97"/>
      <c r="K251" s="97"/>
      <c r="L251" s="97"/>
      <c r="M251" s="97"/>
      <c r="N251" s="99"/>
      <c r="O251" s="97"/>
      <c r="P251" s="99"/>
      <c r="Q251" s="97"/>
      <c r="R251" s="97"/>
      <c r="S251" s="97"/>
      <c r="T251" s="97"/>
      <c r="U251" s="97"/>
      <c r="V251" s="97"/>
      <c r="W251" s="97"/>
      <c r="X251" s="97"/>
      <c r="Y251" s="97"/>
      <c r="Z251" s="97"/>
      <c r="AA251" s="97"/>
      <c r="AB251" s="97"/>
      <c r="AC251" s="97"/>
      <c r="AD251" s="107"/>
      <c r="AE251" s="107"/>
      <c r="AF251" s="107"/>
      <c r="AG251" s="107"/>
      <c r="AH251" s="107"/>
      <c r="AI251" s="107"/>
      <c r="AJ251" s="107"/>
      <c r="AK251" s="107"/>
      <c r="AL251" s="107"/>
      <c r="AM251" s="107"/>
      <c r="AN251" s="107"/>
      <c r="AO251" s="107"/>
      <c r="AP251" s="107"/>
      <c r="AQ251" s="107"/>
      <c r="AR251" s="107"/>
      <c r="AS251" s="107"/>
      <c r="AT251" s="107"/>
      <c r="AU251" s="107"/>
      <c r="AV251" s="107"/>
      <c r="AW251" s="107"/>
      <c r="AX251" s="107"/>
      <c r="AY251" s="107"/>
      <c r="AZ251" s="107"/>
      <c r="BA251" s="107"/>
      <c r="BB251" s="107"/>
      <c r="BC251" s="107"/>
      <c r="BD251" s="107"/>
      <c r="BE251" s="107"/>
      <c r="BF251" s="107"/>
      <c r="BG251" s="107"/>
      <c r="BH251" s="107"/>
      <c r="BI251" s="107"/>
      <c r="BJ251" s="107"/>
      <c r="BK251" s="107"/>
      <c r="BL251" s="107"/>
      <c r="BM251" s="107"/>
      <c r="BN251" s="107"/>
      <c r="BO251" s="107"/>
      <c r="BP251" s="107"/>
      <c r="BQ251" s="107"/>
      <c r="BR251" s="107"/>
      <c r="BS251" s="107"/>
      <c r="BT251" s="107"/>
      <c r="BU251" s="107"/>
      <c r="BV251" s="107"/>
      <c r="BW251" s="107"/>
      <c r="BX251" s="107"/>
      <c r="BY251" s="107"/>
      <c r="BZ251" s="107"/>
      <c r="CA251" s="107"/>
      <c r="CB251" s="107"/>
      <c r="CC251" s="107"/>
      <c r="CD251" s="107"/>
      <c r="CE251" s="107"/>
      <c r="CF251" s="107"/>
    </row>
    <row r="252" spans="2:84">
      <c r="B252" s="98"/>
      <c r="C252" s="98"/>
      <c r="D252" s="97"/>
      <c r="E252" s="97"/>
      <c r="F252" s="97"/>
      <c r="G252" s="97"/>
      <c r="H252" s="97"/>
      <c r="I252" s="97"/>
      <c r="J252" s="97"/>
      <c r="K252" s="97"/>
      <c r="L252" s="97"/>
      <c r="M252" s="97"/>
      <c r="N252" s="99"/>
      <c r="O252" s="97"/>
      <c r="P252" s="99"/>
      <c r="Q252" s="97"/>
      <c r="R252" s="97"/>
      <c r="S252" s="97"/>
      <c r="T252" s="97"/>
      <c r="U252" s="97"/>
      <c r="V252" s="97"/>
      <c r="W252" s="97"/>
      <c r="X252" s="97"/>
      <c r="Y252" s="97"/>
      <c r="Z252" s="97"/>
      <c r="AA252" s="97"/>
      <c r="AB252" s="97"/>
      <c r="AC252" s="97"/>
      <c r="AD252" s="107"/>
      <c r="AE252" s="107"/>
      <c r="AF252" s="107"/>
      <c r="AG252" s="107"/>
      <c r="AH252" s="107"/>
      <c r="AI252" s="107"/>
      <c r="AJ252" s="107"/>
      <c r="AK252" s="107"/>
      <c r="AL252" s="107"/>
      <c r="AM252" s="107"/>
      <c r="AN252" s="107"/>
      <c r="AO252" s="107"/>
      <c r="AP252" s="107"/>
      <c r="AQ252" s="107"/>
      <c r="AR252" s="107"/>
      <c r="AS252" s="107"/>
      <c r="AT252" s="107"/>
      <c r="AU252" s="107"/>
      <c r="AV252" s="107"/>
      <c r="AW252" s="107"/>
      <c r="AX252" s="107"/>
      <c r="AY252" s="107"/>
      <c r="AZ252" s="107"/>
      <c r="BA252" s="107"/>
      <c r="BB252" s="107"/>
      <c r="BC252" s="107"/>
      <c r="BD252" s="107"/>
      <c r="BE252" s="107"/>
      <c r="BF252" s="107"/>
      <c r="BG252" s="107"/>
      <c r="BH252" s="107"/>
      <c r="BI252" s="107"/>
      <c r="BJ252" s="107"/>
      <c r="BK252" s="107"/>
      <c r="BL252" s="107"/>
      <c r="BM252" s="107"/>
      <c r="BN252" s="107"/>
      <c r="BO252" s="107"/>
      <c r="BP252" s="107"/>
      <c r="BQ252" s="107"/>
      <c r="BR252" s="107"/>
      <c r="BS252" s="107"/>
      <c r="BT252" s="107"/>
      <c r="BU252" s="107"/>
      <c r="BV252" s="107"/>
      <c r="BW252" s="107"/>
      <c r="BX252" s="107"/>
      <c r="BY252" s="107"/>
      <c r="BZ252" s="107"/>
      <c r="CA252" s="107"/>
      <c r="CB252" s="107"/>
      <c r="CC252" s="107"/>
      <c r="CD252" s="107"/>
      <c r="CE252" s="107"/>
      <c r="CF252" s="107"/>
    </row>
    <row r="253" spans="2:84">
      <c r="B253" s="98"/>
      <c r="C253" s="98"/>
      <c r="D253" s="97"/>
      <c r="E253" s="97"/>
      <c r="F253" s="97"/>
      <c r="G253" s="97"/>
      <c r="H253" s="97"/>
      <c r="I253" s="97"/>
      <c r="J253" s="97"/>
      <c r="K253" s="97"/>
      <c r="L253" s="97"/>
      <c r="M253" s="97"/>
      <c r="N253" s="99"/>
      <c r="O253" s="97"/>
      <c r="P253" s="99"/>
      <c r="Q253" s="97"/>
      <c r="R253" s="97"/>
      <c r="S253" s="97"/>
      <c r="T253" s="97"/>
      <c r="U253" s="97"/>
      <c r="V253" s="97"/>
      <c r="W253" s="97"/>
      <c r="X253" s="97"/>
      <c r="Y253" s="97"/>
      <c r="Z253" s="97"/>
      <c r="AA253" s="97"/>
      <c r="AB253" s="97"/>
      <c r="AC253" s="97"/>
      <c r="AD253" s="107"/>
      <c r="AE253" s="107"/>
      <c r="AF253" s="107"/>
      <c r="AG253" s="107"/>
      <c r="AH253" s="107"/>
      <c r="AI253" s="107"/>
      <c r="AJ253" s="107"/>
      <c r="AK253" s="107"/>
      <c r="AL253" s="107"/>
      <c r="AM253" s="107"/>
      <c r="AN253" s="107"/>
      <c r="AO253" s="107"/>
      <c r="AP253" s="107"/>
      <c r="AQ253" s="107"/>
      <c r="AR253" s="107"/>
      <c r="AS253" s="107"/>
      <c r="AT253" s="107"/>
      <c r="AU253" s="107"/>
      <c r="AV253" s="107"/>
      <c r="AW253" s="107"/>
      <c r="AX253" s="107"/>
      <c r="AY253" s="107"/>
      <c r="AZ253" s="107"/>
      <c r="BA253" s="107"/>
      <c r="BB253" s="107"/>
      <c r="BC253" s="107"/>
      <c r="BD253" s="107"/>
      <c r="BE253" s="107"/>
      <c r="BF253" s="107"/>
      <c r="BG253" s="107"/>
      <c r="BH253" s="107"/>
      <c r="BI253" s="107"/>
      <c r="BJ253" s="107"/>
      <c r="BK253" s="107"/>
      <c r="BL253" s="107"/>
      <c r="BM253" s="107"/>
      <c r="BN253" s="107"/>
      <c r="BO253" s="107"/>
      <c r="BP253" s="107"/>
      <c r="BQ253" s="107"/>
      <c r="BR253" s="107"/>
      <c r="BS253" s="107"/>
      <c r="BT253" s="107"/>
      <c r="BU253" s="107"/>
      <c r="BV253" s="107"/>
      <c r="BW253" s="107"/>
      <c r="BX253" s="107"/>
      <c r="BY253" s="107"/>
      <c r="BZ253" s="107"/>
      <c r="CA253" s="107"/>
      <c r="CB253" s="107"/>
      <c r="CC253" s="107"/>
      <c r="CD253" s="107"/>
      <c r="CE253" s="107"/>
      <c r="CF253" s="107"/>
    </row>
    <row r="254" spans="2:84">
      <c r="B254" s="98"/>
      <c r="C254" s="98"/>
      <c r="D254" s="97"/>
      <c r="E254" s="97"/>
      <c r="F254" s="97"/>
      <c r="G254" s="97"/>
      <c r="H254" s="97"/>
      <c r="I254" s="97"/>
      <c r="J254" s="97"/>
      <c r="K254" s="97"/>
      <c r="L254" s="97"/>
      <c r="M254" s="97"/>
      <c r="N254" s="99"/>
      <c r="O254" s="97"/>
      <c r="P254" s="99"/>
      <c r="Q254" s="97"/>
      <c r="R254" s="97"/>
      <c r="S254" s="97"/>
      <c r="T254" s="97"/>
      <c r="U254" s="97"/>
      <c r="V254" s="97"/>
      <c r="W254" s="97"/>
      <c r="X254" s="97"/>
      <c r="Y254" s="97"/>
      <c r="Z254" s="97"/>
      <c r="AA254" s="97"/>
      <c r="AB254" s="97"/>
      <c r="AC254" s="97"/>
      <c r="AD254" s="107"/>
      <c r="AE254" s="107"/>
      <c r="AF254" s="107"/>
      <c r="AG254" s="107"/>
      <c r="AH254" s="107"/>
      <c r="AI254" s="107"/>
      <c r="AJ254" s="107"/>
      <c r="AK254" s="107"/>
      <c r="AL254" s="107"/>
      <c r="AM254" s="107"/>
      <c r="AN254" s="107"/>
      <c r="AO254" s="107"/>
      <c r="AP254" s="107"/>
      <c r="AQ254" s="107"/>
      <c r="AR254" s="107"/>
      <c r="AS254" s="107"/>
      <c r="AT254" s="107"/>
      <c r="AU254" s="107"/>
      <c r="AV254" s="107"/>
      <c r="AW254" s="107"/>
      <c r="AX254" s="107"/>
      <c r="AY254" s="107"/>
      <c r="AZ254" s="107"/>
      <c r="BA254" s="107"/>
      <c r="BB254" s="107"/>
      <c r="BC254" s="107"/>
      <c r="BD254" s="107"/>
      <c r="BE254" s="107"/>
      <c r="BF254" s="107"/>
      <c r="BG254" s="107"/>
      <c r="BH254" s="107"/>
      <c r="BI254" s="107"/>
      <c r="BJ254" s="107"/>
      <c r="BK254" s="107"/>
      <c r="BL254" s="107"/>
      <c r="BM254" s="107"/>
      <c r="BN254" s="107"/>
      <c r="BO254" s="107"/>
      <c r="BP254" s="107"/>
      <c r="BQ254" s="107"/>
      <c r="BR254" s="107"/>
      <c r="BS254" s="107"/>
      <c r="BT254" s="107"/>
      <c r="BU254" s="107"/>
      <c r="BV254" s="107"/>
      <c r="BW254" s="107"/>
      <c r="BX254" s="107"/>
      <c r="BY254" s="107"/>
      <c r="BZ254" s="107"/>
      <c r="CA254" s="107"/>
      <c r="CB254" s="107"/>
      <c r="CC254" s="107"/>
      <c r="CD254" s="107"/>
      <c r="CE254" s="107"/>
      <c r="CF254" s="107"/>
    </row>
    <row r="255" spans="2:84">
      <c r="B255" s="98"/>
      <c r="C255" s="98"/>
      <c r="D255" s="97"/>
      <c r="E255" s="97"/>
      <c r="F255" s="97"/>
      <c r="G255" s="97"/>
      <c r="H255" s="97"/>
      <c r="I255" s="97"/>
      <c r="J255" s="97"/>
      <c r="K255" s="97"/>
      <c r="L255" s="97"/>
      <c r="M255" s="97"/>
      <c r="N255" s="99"/>
      <c r="O255" s="97"/>
      <c r="P255" s="99"/>
      <c r="Q255" s="97"/>
      <c r="R255" s="97"/>
      <c r="S255" s="97"/>
      <c r="T255" s="97"/>
      <c r="U255" s="97"/>
      <c r="V255" s="97"/>
      <c r="W255" s="97"/>
      <c r="X255" s="97"/>
      <c r="Y255" s="97"/>
      <c r="Z255" s="97"/>
      <c r="AA255" s="97"/>
      <c r="AB255" s="97"/>
      <c r="AC255" s="97"/>
      <c r="AD255" s="107"/>
      <c r="AE255" s="107"/>
      <c r="AF255" s="107"/>
      <c r="AG255" s="107"/>
      <c r="AH255" s="107"/>
      <c r="AI255" s="107"/>
      <c r="AJ255" s="107"/>
      <c r="AK255" s="107"/>
      <c r="AL255" s="107"/>
      <c r="AM255" s="107"/>
      <c r="AN255" s="107"/>
      <c r="AO255" s="107"/>
      <c r="AP255" s="107"/>
      <c r="AQ255" s="107"/>
      <c r="AR255" s="107"/>
      <c r="AS255" s="107"/>
      <c r="AT255" s="107"/>
      <c r="AU255" s="107"/>
      <c r="AV255" s="107"/>
      <c r="AW255" s="107"/>
      <c r="AX255" s="107"/>
      <c r="AY255" s="107"/>
      <c r="AZ255" s="107"/>
      <c r="BA255" s="107"/>
      <c r="BB255" s="107"/>
      <c r="BC255" s="107"/>
      <c r="BD255" s="107"/>
      <c r="BE255" s="107"/>
      <c r="BF255" s="107"/>
      <c r="BG255" s="107"/>
      <c r="BH255" s="107"/>
      <c r="BI255" s="107"/>
      <c r="BJ255" s="107"/>
      <c r="BK255" s="107"/>
      <c r="BL255" s="107"/>
      <c r="BM255" s="107"/>
      <c r="BN255" s="107"/>
      <c r="BO255" s="107"/>
      <c r="BP255" s="107"/>
      <c r="BQ255" s="107"/>
      <c r="BR255" s="107"/>
      <c r="BS255" s="107"/>
      <c r="BT255" s="107"/>
      <c r="BU255" s="107"/>
      <c r="BV255" s="107"/>
      <c r="BW255" s="107"/>
      <c r="BX255" s="107"/>
      <c r="BY255" s="107"/>
      <c r="BZ255" s="107"/>
      <c r="CA255" s="107"/>
      <c r="CB255" s="107"/>
      <c r="CC255" s="107"/>
      <c r="CD255" s="107"/>
      <c r="CE255" s="107"/>
      <c r="CF255" s="107"/>
    </row>
    <row r="256" spans="2:84">
      <c r="B256" s="98"/>
      <c r="C256" s="98"/>
      <c r="D256" s="97"/>
      <c r="E256" s="97"/>
      <c r="F256" s="97"/>
      <c r="G256" s="97"/>
      <c r="H256" s="97"/>
      <c r="I256" s="97"/>
      <c r="J256" s="97"/>
      <c r="K256" s="97"/>
      <c r="L256" s="97"/>
      <c r="M256" s="97"/>
      <c r="N256" s="99"/>
      <c r="O256" s="97"/>
      <c r="P256" s="99"/>
      <c r="Q256" s="97"/>
      <c r="R256" s="97"/>
      <c r="S256" s="97"/>
      <c r="T256" s="97"/>
      <c r="U256" s="97"/>
      <c r="V256" s="97"/>
      <c r="W256" s="97"/>
      <c r="X256" s="97"/>
      <c r="Y256" s="97"/>
      <c r="Z256" s="97"/>
      <c r="AA256" s="97"/>
      <c r="AB256" s="97"/>
      <c r="AC256" s="97"/>
      <c r="AD256" s="107"/>
      <c r="AE256" s="107"/>
      <c r="AF256" s="107"/>
      <c r="AG256" s="107"/>
      <c r="AH256" s="107"/>
      <c r="AI256" s="107"/>
      <c r="AJ256" s="107"/>
      <c r="AK256" s="107"/>
      <c r="AL256" s="107"/>
      <c r="AM256" s="107"/>
      <c r="AN256" s="107"/>
      <c r="AO256" s="107"/>
      <c r="AP256" s="107"/>
      <c r="AQ256" s="107"/>
      <c r="AR256" s="107"/>
      <c r="AS256" s="107"/>
      <c r="AT256" s="107"/>
      <c r="AU256" s="107"/>
      <c r="AV256" s="107"/>
      <c r="AW256" s="107"/>
      <c r="AX256" s="107"/>
      <c r="AY256" s="107"/>
      <c r="AZ256" s="107"/>
      <c r="BA256" s="107"/>
      <c r="BB256" s="107"/>
      <c r="BC256" s="107"/>
      <c r="BD256" s="107"/>
      <c r="BE256" s="107"/>
      <c r="BF256" s="107"/>
      <c r="BG256" s="107"/>
      <c r="BH256" s="107"/>
      <c r="BI256" s="107"/>
      <c r="BJ256" s="107"/>
      <c r="BK256" s="107"/>
      <c r="BL256" s="107"/>
      <c r="BM256" s="107"/>
      <c r="BN256" s="107"/>
      <c r="BO256" s="107"/>
      <c r="BP256" s="107"/>
      <c r="BQ256" s="107"/>
      <c r="BR256" s="107"/>
      <c r="BS256" s="107"/>
      <c r="BT256" s="107"/>
      <c r="BU256" s="107"/>
      <c r="BV256" s="107"/>
      <c r="BW256" s="107"/>
      <c r="BX256" s="107"/>
      <c r="BY256" s="107"/>
      <c r="BZ256" s="107"/>
      <c r="CA256" s="107"/>
      <c r="CB256" s="107"/>
      <c r="CC256" s="107"/>
      <c r="CD256" s="107"/>
      <c r="CE256" s="107"/>
      <c r="CF256" s="107"/>
    </row>
    <row r="257" spans="2:84">
      <c r="B257" s="98"/>
      <c r="C257" s="98"/>
      <c r="D257" s="97"/>
      <c r="E257" s="97"/>
      <c r="F257" s="97"/>
      <c r="G257" s="97"/>
      <c r="H257" s="97"/>
      <c r="I257" s="97"/>
      <c r="J257" s="97"/>
      <c r="K257" s="97"/>
      <c r="L257" s="97"/>
      <c r="M257" s="97"/>
      <c r="N257" s="99"/>
      <c r="O257" s="97"/>
      <c r="P257" s="99"/>
      <c r="Q257" s="97"/>
      <c r="R257" s="97"/>
      <c r="S257" s="97"/>
      <c r="T257" s="97"/>
      <c r="U257" s="97"/>
      <c r="V257" s="97"/>
      <c r="W257" s="97"/>
      <c r="X257" s="97"/>
      <c r="Y257" s="97"/>
      <c r="Z257" s="97"/>
      <c r="AA257" s="97"/>
      <c r="AB257" s="97"/>
      <c r="AC257" s="97"/>
      <c r="AD257" s="107"/>
      <c r="AE257" s="107"/>
      <c r="AF257" s="107"/>
      <c r="AG257" s="107"/>
      <c r="AH257" s="107"/>
      <c r="AI257" s="107"/>
      <c r="AJ257" s="107"/>
      <c r="AK257" s="107"/>
      <c r="AL257" s="107"/>
      <c r="AM257" s="107"/>
      <c r="AN257" s="107"/>
      <c r="AO257" s="107"/>
      <c r="AP257" s="107"/>
      <c r="AQ257" s="107"/>
      <c r="AR257" s="107"/>
      <c r="AS257" s="107"/>
      <c r="AT257" s="107"/>
      <c r="AU257" s="107"/>
      <c r="AV257" s="107"/>
      <c r="AW257" s="107"/>
      <c r="AX257" s="107"/>
      <c r="AY257" s="107"/>
      <c r="AZ257" s="107"/>
      <c r="BA257" s="107"/>
      <c r="BB257" s="107"/>
      <c r="BC257" s="107"/>
      <c r="BD257" s="107"/>
      <c r="BE257" s="107"/>
      <c r="BF257" s="107"/>
      <c r="BG257" s="107"/>
      <c r="BH257" s="107"/>
      <c r="BI257" s="107"/>
      <c r="BJ257" s="107"/>
      <c r="BK257" s="107"/>
      <c r="BL257" s="107"/>
      <c r="BM257" s="107"/>
      <c r="BN257" s="107"/>
      <c r="BO257" s="107"/>
      <c r="BP257" s="107"/>
      <c r="BQ257" s="107"/>
      <c r="BR257" s="107"/>
      <c r="BS257" s="107"/>
      <c r="BT257" s="107"/>
      <c r="BU257" s="107"/>
      <c r="BV257" s="107"/>
      <c r="BW257" s="107"/>
      <c r="BX257" s="107"/>
      <c r="BY257" s="107"/>
      <c r="BZ257" s="107"/>
      <c r="CA257" s="107"/>
      <c r="CB257" s="107"/>
      <c r="CC257" s="107"/>
      <c r="CD257" s="107"/>
      <c r="CE257" s="107"/>
      <c r="CF257" s="107"/>
    </row>
    <row r="258" spans="2:84">
      <c r="B258" s="98"/>
      <c r="C258" s="98"/>
      <c r="D258" s="97"/>
      <c r="E258" s="97"/>
      <c r="F258" s="97"/>
      <c r="G258" s="97"/>
      <c r="H258" s="97"/>
      <c r="I258" s="97"/>
      <c r="J258" s="97"/>
      <c r="K258" s="97"/>
      <c r="L258" s="97"/>
      <c r="M258" s="97"/>
      <c r="N258" s="99"/>
      <c r="O258" s="97"/>
      <c r="P258" s="99"/>
      <c r="Q258" s="97"/>
      <c r="R258" s="97"/>
      <c r="S258" s="97"/>
      <c r="T258" s="97"/>
      <c r="U258" s="97"/>
      <c r="V258" s="97"/>
      <c r="W258" s="97"/>
      <c r="X258" s="97"/>
      <c r="Y258" s="97"/>
      <c r="Z258" s="97"/>
      <c r="AA258" s="97"/>
      <c r="AB258" s="97"/>
      <c r="AC258" s="97"/>
      <c r="AD258" s="107"/>
      <c r="AE258" s="107"/>
      <c r="AF258" s="107"/>
      <c r="AG258" s="107"/>
      <c r="AH258" s="107"/>
      <c r="AI258" s="107"/>
      <c r="AJ258" s="107"/>
      <c r="AK258" s="107"/>
      <c r="AL258" s="107"/>
      <c r="AM258" s="107"/>
      <c r="AN258" s="107"/>
      <c r="AO258" s="107"/>
      <c r="AP258" s="107"/>
      <c r="AQ258" s="107"/>
      <c r="AR258" s="107"/>
      <c r="AS258" s="107"/>
      <c r="AT258" s="107"/>
      <c r="AU258" s="107"/>
      <c r="AV258" s="107"/>
      <c r="AW258" s="107"/>
      <c r="AX258" s="107"/>
      <c r="AY258" s="107"/>
      <c r="AZ258" s="107"/>
      <c r="BA258" s="107"/>
      <c r="BB258" s="107"/>
      <c r="BC258" s="107"/>
      <c r="BD258" s="107"/>
      <c r="BE258" s="107"/>
      <c r="BF258" s="107"/>
      <c r="BG258" s="107"/>
      <c r="BH258" s="107"/>
      <c r="BI258" s="107"/>
      <c r="BJ258" s="107"/>
      <c r="BK258" s="107"/>
      <c r="BL258" s="107"/>
      <c r="BM258" s="107"/>
      <c r="BN258" s="107"/>
      <c r="BO258" s="107"/>
      <c r="BP258" s="107"/>
      <c r="BQ258" s="107"/>
      <c r="BR258" s="107"/>
      <c r="BS258" s="107"/>
      <c r="BT258" s="107"/>
      <c r="BU258" s="107"/>
      <c r="BV258" s="107"/>
      <c r="BW258" s="107"/>
      <c r="BX258" s="107"/>
      <c r="BY258" s="107"/>
      <c r="BZ258" s="107"/>
      <c r="CA258" s="107"/>
      <c r="CB258" s="107"/>
      <c r="CC258" s="107"/>
      <c r="CD258" s="107"/>
      <c r="CE258" s="107"/>
      <c r="CF258" s="107"/>
    </row>
    <row r="259" spans="2:84">
      <c r="B259" s="98"/>
      <c r="C259" s="98"/>
      <c r="D259" s="97"/>
      <c r="E259" s="97"/>
      <c r="F259" s="97"/>
      <c r="G259" s="97"/>
      <c r="H259" s="97"/>
      <c r="I259" s="97"/>
      <c r="J259" s="97"/>
      <c r="K259" s="97"/>
      <c r="L259" s="97"/>
      <c r="M259" s="97"/>
      <c r="N259" s="99"/>
      <c r="O259" s="97"/>
      <c r="P259" s="99"/>
      <c r="Q259" s="97"/>
      <c r="R259" s="97"/>
      <c r="S259" s="97"/>
      <c r="T259" s="97"/>
      <c r="U259" s="97"/>
      <c r="V259" s="97"/>
      <c r="W259" s="97"/>
      <c r="X259" s="97"/>
      <c r="Y259" s="97"/>
      <c r="Z259" s="97"/>
      <c r="AA259" s="97"/>
      <c r="AB259" s="97"/>
      <c r="AC259" s="97"/>
      <c r="AD259" s="107"/>
      <c r="AE259" s="107"/>
      <c r="AF259" s="107"/>
      <c r="AG259" s="107"/>
      <c r="AH259" s="107"/>
      <c r="AI259" s="107"/>
      <c r="AJ259" s="107"/>
      <c r="AK259" s="107"/>
      <c r="AL259" s="107"/>
      <c r="AM259" s="107"/>
      <c r="AN259" s="107"/>
      <c r="AO259" s="107"/>
      <c r="AP259" s="107"/>
      <c r="AQ259" s="107"/>
      <c r="AR259" s="107"/>
      <c r="AS259" s="107"/>
      <c r="AT259" s="107"/>
      <c r="AU259" s="107"/>
      <c r="AV259" s="107"/>
      <c r="AW259" s="107"/>
      <c r="AX259" s="107"/>
      <c r="AY259" s="107"/>
      <c r="AZ259" s="107"/>
      <c r="BA259" s="107"/>
      <c r="BB259" s="107"/>
      <c r="BC259" s="107"/>
      <c r="BD259" s="107"/>
      <c r="BE259" s="107"/>
      <c r="BF259" s="107"/>
      <c r="BG259" s="107"/>
      <c r="BH259" s="107"/>
      <c r="BI259" s="107"/>
      <c r="BJ259" s="107"/>
      <c r="BK259" s="107"/>
      <c r="BL259" s="107"/>
      <c r="BM259" s="107"/>
      <c r="BN259" s="107"/>
      <c r="BO259" s="107"/>
      <c r="BP259" s="107"/>
      <c r="BQ259" s="107"/>
      <c r="BR259" s="107"/>
      <c r="BS259" s="107"/>
      <c r="BT259" s="107"/>
      <c r="BU259" s="107"/>
      <c r="BV259" s="107"/>
      <c r="BW259" s="107"/>
      <c r="BX259" s="107"/>
      <c r="BY259" s="107"/>
      <c r="BZ259" s="107"/>
      <c r="CA259" s="107"/>
      <c r="CB259" s="107"/>
      <c r="CC259" s="107"/>
      <c r="CD259" s="107"/>
      <c r="CE259" s="107"/>
      <c r="CF259" s="107"/>
    </row>
    <row r="260" spans="2:84">
      <c r="B260" s="98"/>
      <c r="C260" s="98"/>
      <c r="D260" s="97"/>
      <c r="E260" s="97"/>
      <c r="F260" s="97"/>
      <c r="G260" s="97"/>
      <c r="H260" s="97"/>
      <c r="I260" s="97"/>
      <c r="J260" s="97"/>
      <c r="K260" s="97"/>
      <c r="L260" s="97"/>
      <c r="M260" s="97"/>
      <c r="N260" s="99"/>
      <c r="O260" s="97"/>
      <c r="P260" s="99"/>
      <c r="Q260" s="97"/>
      <c r="R260" s="97"/>
      <c r="S260" s="97"/>
      <c r="T260" s="97"/>
      <c r="U260" s="97"/>
      <c r="V260" s="97"/>
      <c r="W260" s="97"/>
      <c r="X260" s="97"/>
      <c r="Y260" s="97"/>
      <c r="Z260" s="97"/>
      <c r="AA260" s="97"/>
      <c r="AB260" s="97"/>
      <c r="AC260" s="97"/>
      <c r="AD260" s="107"/>
      <c r="AE260" s="107"/>
      <c r="AF260" s="107"/>
      <c r="AG260" s="107"/>
      <c r="AH260" s="107"/>
      <c r="AI260" s="107"/>
      <c r="AJ260" s="107"/>
      <c r="AK260" s="107"/>
      <c r="AL260" s="107"/>
      <c r="AM260" s="107"/>
      <c r="AN260" s="107"/>
      <c r="AO260" s="107"/>
      <c r="AP260" s="107"/>
      <c r="AQ260" s="107"/>
      <c r="AR260" s="107"/>
      <c r="AS260" s="107"/>
      <c r="AT260" s="107"/>
      <c r="AU260" s="107"/>
      <c r="AV260" s="107"/>
      <c r="AW260" s="107"/>
      <c r="AX260" s="107"/>
      <c r="AY260" s="107"/>
      <c r="AZ260" s="107"/>
      <c r="BA260" s="107"/>
      <c r="BB260" s="107"/>
      <c r="BC260" s="107"/>
      <c r="BD260" s="107"/>
      <c r="BE260" s="107"/>
      <c r="BF260" s="107"/>
      <c r="BG260" s="107"/>
      <c r="BH260" s="107"/>
      <c r="BI260" s="107"/>
      <c r="BJ260" s="107"/>
      <c r="BK260" s="107"/>
      <c r="BL260" s="107"/>
      <c r="BM260" s="107"/>
      <c r="BN260" s="107"/>
      <c r="BO260" s="107"/>
      <c r="BP260" s="107"/>
      <c r="BQ260" s="107"/>
      <c r="BR260" s="107"/>
      <c r="BS260" s="107"/>
      <c r="BT260" s="107"/>
      <c r="BU260" s="107"/>
      <c r="BV260" s="107"/>
      <c r="BW260" s="107"/>
      <c r="BX260" s="107"/>
      <c r="BY260" s="107"/>
      <c r="BZ260" s="107"/>
      <c r="CA260" s="107"/>
      <c r="CB260" s="107"/>
      <c r="CC260" s="107"/>
      <c r="CD260" s="107"/>
      <c r="CE260" s="107"/>
      <c r="CF260" s="107"/>
    </row>
    <row r="261" spans="2:84">
      <c r="B261" s="98"/>
      <c r="C261" s="98"/>
      <c r="D261" s="97"/>
      <c r="E261" s="97"/>
      <c r="F261" s="97"/>
      <c r="G261" s="97"/>
      <c r="H261" s="97"/>
      <c r="I261" s="97"/>
      <c r="J261" s="97"/>
      <c r="K261" s="97"/>
      <c r="L261" s="97"/>
      <c r="M261" s="97"/>
      <c r="N261" s="99"/>
      <c r="O261" s="97"/>
      <c r="P261" s="99"/>
      <c r="Q261" s="97"/>
      <c r="R261" s="97"/>
      <c r="S261" s="97"/>
      <c r="T261" s="97"/>
      <c r="U261" s="97"/>
      <c r="V261" s="97"/>
      <c r="W261" s="97"/>
      <c r="X261" s="97"/>
      <c r="Y261" s="97"/>
      <c r="Z261" s="97"/>
      <c r="AA261" s="97"/>
      <c r="AB261" s="97"/>
      <c r="AC261" s="97"/>
      <c r="AD261" s="107"/>
      <c r="AE261" s="107"/>
      <c r="AF261" s="107"/>
      <c r="AG261" s="107"/>
      <c r="AH261" s="107"/>
      <c r="AI261" s="107"/>
      <c r="AJ261" s="107"/>
      <c r="AK261" s="107"/>
      <c r="AL261" s="107"/>
      <c r="AM261" s="107"/>
      <c r="AN261" s="107"/>
      <c r="AO261" s="107"/>
      <c r="AP261" s="107"/>
      <c r="AQ261" s="107"/>
      <c r="AR261" s="107"/>
      <c r="AS261" s="107"/>
      <c r="AT261" s="107"/>
      <c r="AU261" s="107"/>
      <c r="AV261" s="107"/>
      <c r="AW261" s="107"/>
      <c r="AX261" s="107"/>
      <c r="AY261" s="107"/>
      <c r="AZ261" s="107"/>
      <c r="BA261" s="107"/>
      <c r="BB261" s="107"/>
      <c r="BC261" s="107"/>
      <c r="BD261" s="107"/>
      <c r="BE261" s="107"/>
      <c r="BF261" s="107"/>
      <c r="BG261" s="107"/>
      <c r="BH261" s="107"/>
      <c r="BI261" s="107"/>
      <c r="BJ261" s="107"/>
      <c r="BK261" s="107"/>
      <c r="BL261" s="107"/>
      <c r="BM261" s="107"/>
      <c r="BN261" s="107"/>
      <c r="BO261" s="107"/>
      <c r="BP261" s="107"/>
      <c r="BQ261" s="107"/>
      <c r="BR261" s="107"/>
      <c r="BS261" s="107"/>
      <c r="BT261" s="107"/>
      <c r="BU261" s="107"/>
      <c r="BV261" s="107"/>
      <c r="BW261" s="107"/>
      <c r="BX261" s="107"/>
      <c r="BY261" s="107"/>
      <c r="BZ261" s="107"/>
      <c r="CA261" s="107"/>
      <c r="CB261" s="107"/>
      <c r="CC261" s="107"/>
      <c r="CD261" s="107"/>
      <c r="CE261" s="107"/>
      <c r="CF261" s="107"/>
    </row>
    <row r="262" spans="2:84">
      <c r="B262" s="98"/>
      <c r="C262" s="98"/>
      <c r="D262" s="97"/>
      <c r="E262" s="97"/>
      <c r="F262" s="97"/>
      <c r="G262" s="97"/>
      <c r="H262" s="97"/>
      <c r="I262" s="97"/>
      <c r="J262" s="97"/>
      <c r="K262" s="97"/>
      <c r="L262" s="97"/>
      <c r="M262" s="97"/>
      <c r="N262" s="99"/>
      <c r="O262" s="97"/>
      <c r="P262" s="99"/>
      <c r="Q262" s="97"/>
      <c r="R262" s="97"/>
      <c r="S262" s="97"/>
      <c r="T262" s="97"/>
      <c r="U262" s="97"/>
      <c r="V262" s="97"/>
      <c r="W262" s="97"/>
      <c r="X262" s="97"/>
      <c r="Y262" s="97"/>
      <c r="Z262" s="97"/>
      <c r="AA262" s="97"/>
      <c r="AB262" s="97"/>
      <c r="AC262" s="97"/>
      <c r="AD262" s="107"/>
      <c r="AE262" s="107"/>
      <c r="AF262" s="107"/>
      <c r="AG262" s="107"/>
      <c r="AH262" s="107"/>
      <c r="AI262" s="107"/>
      <c r="AJ262" s="107"/>
      <c r="AK262" s="107"/>
      <c r="AL262" s="107"/>
      <c r="AM262" s="107"/>
      <c r="AN262" s="107"/>
      <c r="AO262" s="107"/>
      <c r="AP262" s="107"/>
      <c r="AQ262" s="107"/>
      <c r="AR262" s="107"/>
      <c r="AS262" s="107"/>
      <c r="AT262" s="107"/>
      <c r="AU262" s="107"/>
      <c r="AV262" s="107"/>
      <c r="AW262" s="107"/>
      <c r="AX262" s="107"/>
      <c r="AY262" s="107"/>
      <c r="AZ262" s="107"/>
      <c r="BA262" s="107"/>
      <c r="BB262" s="107"/>
      <c r="BC262" s="107"/>
      <c r="BD262" s="107"/>
      <c r="BE262" s="107"/>
      <c r="BF262" s="107"/>
      <c r="BG262" s="107"/>
      <c r="BH262" s="107"/>
      <c r="BI262" s="107"/>
      <c r="BJ262" s="107"/>
      <c r="BK262" s="107"/>
      <c r="BL262" s="107"/>
      <c r="BM262" s="107"/>
      <c r="BN262" s="107"/>
      <c r="BO262" s="107"/>
      <c r="BP262" s="107"/>
      <c r="BQ262" s="107"/>
      <c r="BR262" s="107"/>
      <c r="BS262" s="107"/>
      <c r="BT262" s="107"/>
      <c r="BU262" s="107"/>
      <c r="BV262" s="107"/>
      <c r="BW262" s="107"/>
      <c r="BX262" s="107"/>
      <c r="BY262" s="107"/>
      <c r="BZ262" s="107"/>
      <c r="CA262" s="107"/>
      <c r="CB262" s="107"/>
      <c r="CC262" s="107"/>
      <c r="CD262" s="107"/>
      <c r="CE262" s="107"/>
      <c r="CF262" s="107"/>
    </row>
    <row r="263" spans="2:84">
      <c r="B263" s="98"/>
      <c r="C263" s="98"/>
      <c r="D263" s="97"/>
      <c r="E263" s="97"/>
      <c r="F263" s="97"/>
      <c r="G263" s="97"/>
      <c r="H263" s="97"/>
      <c r="I263" s="97"/>
      <c r="J263" s="97"/>
      <c r="K263" s="97"/>
      <c r="L263" s="97"/>
      <c r="M263" s="97"/>
      <c r="N263" s="99"/>
      <c r="O263" s="97"/>
      <c r="P263" s="99"/>
      <c r="Q263" s="97"/>
      <c r="R263" s="97"/>
      <c r="S263" s="97"/>
      <c r="T263" s="97"/>
      <c r="U263" s="97"/>
      <c r="V263" s="97"/>
      <c r="W263" s="97"/>
      <c r="X263" s="97"/>
      <c r="Y263" s="97"/>
      <c r="Z263" s="97"/>
      <c r="AA263" s="97"/>
      <c r="AB263" s="97"/>
      <c r="AC263" s="97"/>
      <c r="AD263" s="107"/>
      <c r="AE263" s="107"/>
      <c r="AF263" s="107"/>
      <c r="AG263" s="107"/>
      <c r="AH263" s="107"/>
      <c r="AI263" s="107"/>
      <c r="AJ263" s="107"/>
      <c r="AK263" s="107"/>
      <c r="AL263" s="107"/>
      <c r="AM263" s="107"/>
      <c r="AN263" s="107"/>
      <c r="AO263" s="107"/>
      <c r="AP263" s="107"/>
      <c r="AQ263" s="107"/>
      <c r="AR263" s="107"/>
      <c r="AS263" s="107"/>
      <c r="AT263" s="107"/>
      <c r="AU263" s="107"/>
      <c r="AV263" s="107"/>
      <c r="AW263" s="107"/>
      <c r="AX263" s="107"/>
      <c r="AY263" s="107"/>
      <c r="AZ263" s="107"/>
      <c r="BA263" s="107"/>
      <c r="BB263" s="107"/>
      <c r="BC263" s="107"/>
      <c r="BD263" s="107"/>
      <c r="BE263" s="107"/>
      <c r="BF263" s="107"/>
      <c r="BG263" s="107"/>
      <c r="BH263" s="107"/>
      <c r="BI263" s="107"/>
      <c r="BJ263" s="107"/>
      <c r="BK263" s="107"/>
      <c r="BL263" s="107"/>
      <c r="BM263" s="107"/>
      <c r="BN263" s="107"/>
      <c r="BO263" s="107"/>
      <c r="BP263" s="107"/>
      <c r="BQ263" s="107"/>
      <c r="BR263" s="107"/>
      <c r="BS263" s="107"/>
      <c r="BT263" s="107"/>
      <c r="BU263" s="107"/>
      <c r="BV263" s="107"/>
      <c r="BW263" s="107"/>
      <c r="BX263" s="107"/>
      <c r="BY263" s="107"/>
      <c r="BZ263" s="107"/>
      <c r="CA263" s="107"/>
      <c r="CB263" s="107"/>
      <c r="CC263" s="107"/>
      <c r="CD263" s="107"/>
      <c r="CE263" s="107"/>
      <c r="CF263" s="107"/>
    </row>
    <row r="264" spans="2:84">
      <c r="B264" s="98"/>
      <c r="C264" s="98"/>
      <c r="D264" s="97"/>
      <c r="E264" s="97"/>
      <c r="F264" s="97"/>
      <c r="G264" s="97"/>
      <c r="H264" s="97"/>
      <c r="I264" s="97"/>
      <c r="J264" s="97"/>
      <c r="K264" s="97"/>
      <c r="L264" s="97"/>
      <c r="M264" s="97"/>
      <c r="N264" s="99"/>
      <c r="O264" s="97"/>
      <c r="P264" s="99"/>
      <c r="Q264" s="97"/>
      <c r="R264" s="97"/>
      <c r="S264" s="97"/>
      <c r="T264" s="97"/>
      <c r="U264" s="97"/>
      <c r="V264" s="97"/>
      <c r="W264" s="97"/>
      <c r="X264" s="97"/>
      <c r="Y264" s="97"/>
      <c r="Z264" s="97"/>
      <c r="AA264" s="97"/>
      <c r="AB264" s="97"/>
      <c r="AC264" s="97"/>
      <c r="AD264" s="107"/>
      <c r="AE264" s="107"/>
      <c r="AF264" s="107"/>
      <c r="AG264" s="107"/>
      <c r="AH264" s="107"/>
      <c r="AI264" s="107"/>
      <c r="AJ264" s="107"/>
      <c r="AK264" s="107"/>
      <c r="AL264" s="107"/>
      <c r="AM264" s="107"/>
      <c r="AN264" s="107"/>
      <c r="AO264" s="107"/>
      <c r="AP264" s="107"/>
      <c r="AQ264" s="107"/>
      <c r="AR264" s="107"/>
      <c r="AS264" s="107"/>
      <c r="AT264" s="107"/>
      <c r="AU264" s="107"/>
      <c r="AV264" s="107"/>
      <c r="AW264" s="107"/>
      <c r="AX264" s="107"/>
      <c r="AY264" s="107"/>
      <c r="AZ264" s="107"/>
      <c r="BA264" s="107"/>
      <c r="BB264" s="107"/>
      <c r="BC264" s="107"/>
      <c r="BD264" s="107"/>
      <c r="BE264" s="107"/>
      <c r="BF264" s="107"/>
      <c r="BG264" s="107"/>
      <c r="BH264" s="107"/>
      <c r="BI264" s="107"/>
      <c r="BJ264" s="107"/>
      <c r="BK264" s="107"/>
      <c r="BL264" s="107"/>
      <c r="BM264" s="107"/>
      <c r="BN264" s="107"/>
      <c r="BO264" s="107"/>
      <c r="BP264" s="107"/>
      <c r="BQ264" s="107"/>
      <c r="BR264" s="107"/>
      <c r="BS264" s="107"/>
      <c r="BT264" s="107"/>
      <c r="BU264" s="107"/>
      <c r="BV264" s="107"/>
      <c r="BW264" s="107"/>
      <c r="BX264" s="107"/>
      <c r="BY264" s="107"/>
      <c r="BZ264" s="107"/>
      <c r="CA264" s="107"/>
      <c r="CB264" s="107"/>
      <c r="CC264" s="107"/>
      <c r="CD264" s="107"/>
      <c r="CE264" s="107"/>
      <c r="CF264" s="107"/>
    </row>
    <row r="265" spans="2:84">
      <c r="B265" s="98"/>
      <c r="C265" s="98"/>
      <c r="D265" s="97"/>
      <c r="E265" s="97"/>
      <c r="F265" s="97"/>
      <c r="G265" s="97"/>
      <c r="H265" s="97"/>
      <c r="I265" s="97"/>
      <c r="J265" s="97"/>
      <c r="K265" s="97"/>
      <c r="L265" s="97"/>
      <c r="M265" s="97"/>
      <c r="N265" s="99"/>
      <c r="O265" s="97"/>
      <c r="P265" s="99"/>
      <c r="Q265" s="97"/>
      <c r="R265" s="97"/>
      <c r="S265" s="97"/>
      <c r="T265" s="97"/>
      <c r="U265" s="97"/>
      <c r="V265" s="97"/>
      <c r="W265" s="97"/>
      <c r="X265" s="97"/>
      <c r="Y265" s="97"/>
      <c r="Z265" s="97"/>
      <c r="AA265" s="97"/>
      <c r="AB265" s="97"/>
      <c r="AC265" s="97"/>
      <c r="AD265" s="107"/>
      <c r="AE265" s="107"/>
      <c r="AF265" s="107"/>
      <c r="AG265" s="107"/>
      <c r="AH265" s="107"/>
      <c r="AI265" s="107"/>
      <c r="AJ265" s="107"/>
      <c r="AK265" s="107"/>
      <c r="AL265" s="107"/>
      <c r="AM265" s="107"/>
      <c r="AN265" s="107"/>
      <c r="AO265" s="107"/>
      <c r="AP265" s="107"/>
      <c r="AQ265" s="107"/>
      <c r="AR265" s="107"/>
      <c r="AS265" s="107"/>
      <c r="AT265" s="107"/>
      <c r="AU265" s="107"/>
      <c r="AV265" s="107"/>
      <c r="AW265" s="107"/>
      <c r="AX265" s="107"/>
      <c r="AY265" s="107"/>
      <c r="AZ265" s="107"/>
      <c r="BA265" s="107"/>
      <c r="BB265" s="107"/>
      <c r="BC265" s="107"/>
      <c r="BD265" s="107"/>
      <c r="BE265" s="107"/>
      <c r="BF265" s="107"/>
      <c r="BG265" s="107"/>
      <c r="BH265" s="107"/>
      <c r="BI265" s="107"/>
      <c r="BJ265" s="107"/>
      <c r="BK265" s="107"/>
      <c r="BL265" s="107"/>
      <c r="BM265" s="107"/>
      <c r="BN265" s="107"/>
      <c r="BO265" s="107"/>
      <c r="BP265" s="107"/>
      <c r="BQ265" s="107"/>
      <c r="BR265" s="107"/>
      <c r="BS265" s="107"/>
      <c r="BT265" s="107"/>
      <c r="BU265" s="107"/>
      <c r="BV265" s="107"/>
      <c r="BW265" s="107"/>
      <c r="BX265" s="107"/>
      <c r="BY265" s="107"/>
      <c r="BZ265" s="107"/>
      <c r="CA265" s="107"/>
      <c r="CB265" s="107"/>
      <c r="CC265" s="107"/>
      <c r="CD265" s="107"/>
      <c r="CE265" s="107"/>
      <c r="CF265" s="107"/>
    </row>
    <row r="266" spans="2:84">
      <c r="B266" s="98"/>
      <c r="C266" s="98"/>
      <c r="D266" s="97"/>
      <c r="E266" s="97"/>
      <c r="F266" s="97"/>
      <c r="G266" s="97"/>
      <c r="H266" s="97"/>
      <c r="I266" s="97"/>
      <c r="J266" s="97"/>
      <c r="K266" s="97"/>
      <c r="L266" s="97"/>
      <c r="M266" s="97"/>
      <c r="N266" s="99"/>
      <c r="O266" s="97"/>
      <c r="P266" s="99"/>
      <c r="Q266" s="97"/>
      <c r="R266" s="97"/>
      <c r="S266" s="97"/>
      <c r="T266" s="97"/>
      <c r="U266" s="97"/>
      <c r="V266" s="97"/>
      <c r="W266" s="97"/>
      <c r="X266" s="97"/>
      <c r="Y266" s="97"/>
      <c r="Z266" s="97"/>
      <c r="AA266" s="97"/>
      <c r="AB266" s="97"/>
      <c r="AC266" s="97"/>
      <c r="AD266" s="107"/>
      <c r="AE266" s="107"/>
      <c r="AF266" s="107"/>
      <c r="AG266" s="107"/>
      <c r="AH266" s="107"/>
      <c r="AI266" s="107"/>
      <c r="AJ266" s="107"/>
      <c r="AK266" s="107"/>
      <c r="AL266" s="107"/>
      <c r="AM266" s="107"/>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7"/>
      <c r="BQ266" s="107"/>
      <c r="BR266" s="107"/>
      <c r="BS266" s="107"/>
      <c r="BT266" s="107"/>
      <c r="BU266" s="107"/>
      <c r="BV266" s="107"/>
      <c r="BW266" s="107"/>
      <c r="BX266" s="107"/>
      <c r="BY266" s="107"/>
      <c r="BZ266" s="107"/>
      <c r="CA266" s="107"/>
      <c r="CB266" s="107"/>
      <c r="CC266" s="107"/>
      <c r="CD266" s="107"/>
      <c r="CE266" s="107"/>
      <c r="CF266" s="107"/>
    </row>
    <row r="267" spans="2:84">
      <c r="B267" s="98"/>
      <c r="C267" s="98"/>
      <c r="D267" s="97"/>
      <c r="E267" s="97"/>
      <c r="F267" s="97"/>
      <c r="G267" s="97"/>
      <c r="H267" s="97"/>
      <c r="I267" s="97"/>
      <c r="J267" s="97"/>
      <c r="K267" s="97"/>
      <c r="L267" s="97"/>
      <c r="M267" s="97"/>
      <c r="N267" s="99"/>
      <c r="O267" s="97"/>
      <c r="P267" s="99"/>
      <c r="Q267" s="97"/>
      <c r="R267" s="97"/>
      <c r="S267" s="97"/>
      <c r="T267" s="97"/>
      <c r="U267" s="97"/>
      <c r="V267" s="97"/>
      <c r="W267" s="97"/>
      <c r="X267" s="97"/>
      <c r="Y267" s="97"/>
      <c r="Z267" s="97"/>
      <c r="AA267" s="97"/>
      <c r="AB267" s="97"/>
      <c r="AC267" s="97"/>
      <c r="AD267" s="107"/>
      <c r="AE267" s="107"/>
      <c r="AF267" s="107"/>
      <c r="AG267" s="107"/>
      <c r="AH267" s="107"/>
      <c r="AI267" s="107"/>
      <c r="AJ267" s="107"/>
      <c r="AK267" s="107"/>
      <c r="AL267" s="107"/>
      <c r="AM267" s="107"/>
      <c r="AN267" s="107"/>
      <c r="AO267" s="107"/>
      <c r="AP267" s="107"/>
      <c r="AQ267" s="107"/>
      <c r="AR267" s="107"/>
      <c r="AS267" s="107"/>
      <c r="AT267" s="107"/>
      <c r="AU267" s="107"/>
      <c r="AV267" s="107"/>
      <c r="AW267" s="107"/>
      <c r="AX267" s="107"/>
      <c r="AY267" s="107"/>
      <c r="AZ267" s="107"/>
      <c r="BA267" s="107"/>
      <c r="BB267" s="107"/>
      <c r="BC267" s="107"/>
      <c r="BD267" s="107"/>
      <c r="BE267" s="107"/>
      <c r="BF267" s="107"/>
      <c r="BG267" s="107"/>
      <c r="BH267" s="107"/>
      <c r="BI267" s="107"/>
      <c r="BJ267" s="107"/>
      <c r="BK267" s="107"/>
      <c r="BL267" s="107"/>
      <c r="BM267" s="107"/>
      <c r="BN267" s="107"/>
      <c r="BO267" s="107"/>
      <c r="BP267" s="107"/>
      <c r="BQ267" s="107"/>
      <c r="BR267" s="107"/>
      <c r="BS267" s="107"/>
      <c r="BT267" s="107"/>
      <c r="BU267" s="107"/>
      <c r="BV267" s="107"/>
      <c r="BW267" s="107"/>
      <c r="BX267" s="107"/>
      <c r="BY267" s="107"/>
      <c r="BZ267" s="107"/>
      <c r="CA267" s="107"/>
      <c r="CB267" s="107"/>
      <c r="CC267" s="107"/>
      <c r="CD267" s="107"/>
      <c r="CE267" s="107"/>
      <c r="CF267" s="107"/>
    </row>
    <row r="268" spans="2:84">
      <c r="B268" s="98"/>
      <c r="C268" s="98"/>
      <c r="D268" s="97"/>
      <c r="E268" s="97"/>
      <c r="F268" s="97"/>
      <c r="G268" s="97"/>
      <c r="H268" s="97"/>
      <c r="I268" s="97"/>
      <c r="J268" s="97"/>
      <c r="K268" s="97"/>
      <c r="L268" s="97"/>
      <c r="M268" s="97"/>
      <c r="N268" s="99"/>
      <c r="O268" s="97"/>
      <c r="P268" s="99"/>
      <c r="Q268" s="97"/>
      <c r="R268" s="97"/>
      <c r="S268" s="97"/>
      <c r="T268" s="97"/>
      <c r="U268" s="97"/>
      <c r="V268" s="97"/>
      <c r="W268" s="97"/>
      <c r="X268" s="97"/>
      <c r="Y268" s="97"/>
      <c r="Z268" s="97"/>
      <c r="AA268" s="97"/>
      <c r="AB268" s="97"/>
      <c r="AC268" s="97"/>
      <c r="AD268" s="107"/>
      <c r="AE268" s="107"/>
      <c r="AF268" s="107"/>
      <c r="AG268" s="107"/>
      <c r="AH268" s="107"/>
      <c r="AI268" s="107"/>
      <c r="AJ268" s="107"/>
      <c r="AK268" s="107"/>
      <c r="AL268" s="107"/>
      <c r="AM268" s="107"/>
      <c r="AN268" s="107"/>
      <c r="AO268" s="107"/>
      <c r="AP268" s="107"/>
      <c r="AQ268" s="107"/>
      <c r="AR268" s="107"/>
      <c r="AS268" s="107"/>
      <c r="AT268" s="107"/>
      <c r="AU268" s="107"/>
      <c r="AV268" s="107"/>
      <c r="AW268" s="107"/>
      <c r="AX268" s="107"/>
      <c r="AY268" s="107"/>
      <c r="AZ268" s="107"/>
      <c r="BA268" s="107"/>
      <c r="BB268" s="107"/>
      <c r="BC268" s="107"/>
      <c r="BD268" s="107"/>
      <c r="BE268" s="107"/>
      <c r="BF268" s="107"/>
      <c r="BG268" s="107"/>
      <c r="BH268" s="107"/>
      <c r="BI268" s="107"/>
      <c r="BJ268" s="107"/>
      <c r="BK268" s="107"/>
      <c r="BL268" s="107"/>
      <c r="BM268" s="107"/>
      <c r="BN268" s="107"/>
      <c r="BO268" s="107"/>
      <c r="BP268" s="107"/>
      <c r="BQ268" s="107"/>
      <c r="BR268" s="107"/>
      <c r="BS268" s="107"/>
      <c r="BT268" s="107"/>
      <c r="BU268" s="107"/>
      <c r="BV268" s="107"/>
      <c r="BW268" s="107"/>
      <c r="BX268" s="107"/>
      <c r="BY268" s="107"/>
      <c r="BZ268" s="107"/>
      <c r="CA268" s="107"/>
      <c r="CB268" s="107"/>
      <c r="CC268" s="107"/>
      <c r="CD268" s="107"/>
      <c r="CE268" s="107"/>
      <c r="CF268" s="107"/>
    </row>
    <row r="269" spans="2:84">
      <c r="B269" s="98"/>
      <c r="C269" s="98"/>
      <c r="D269" s="97"/>
      <c r="E269" s="97"/>
      <c r="F269" s="97"/>
      <c r="G269" s="97"/>
      <c r="H269" s="97"/>
      <c r="I269" s="97"/>
      <c r="J269" s="97"/>
      <c r="K269" s="97"/>
      <c r="L269" s="97"/>
      <c r="M269" s="97"/>
      <c r="N269" s="99"/>
      <c r="O269" s="97"/>
      <c r="P269" s="99"/>
      <c r="Q269" s="97"/>
      <c r="R269" s="97"/>
      <c r="S269" s="97"/>
      <c r="T269" s="97"/>
      <c r="U269" s="97"/>
      <c r="V269" s="97"/>
      <c r="W269" s="97"/>
      <c r="X269" s="97"/>
      <c r="Y269" s="97"/>
      <c r="Z269" s="97"/>
      <c r="AA269" s="97"/>
      <c r="AB269" s="97"/>
      <c r="AC269" s="97"/>
      <c r="AD269" s="107"/>
      <c r="AE269" s="107"/>
      <c r="AF269" s="107"/>
      <c r="AG269" s="107"/>
      <c r="AH269" s="107"/>
      <c r="AI269" s="107"/>
      <c r="AJ269" s="107"/>
      <c r="AK269" s="107"/>
      <c r="AL269" s="107"/>
      <c r="AM269" s="107"/>
      <c r="AN269" s="107"/>
      <c r="AO269" s="107"/>
      <c r="AP269" s="107"/>
      <c r="AQ269" s="107"/>
      <c r="AR269" s="107"/>
      <c r="AS269" s="107"/>
      <c r="AT269" s="107"/>
      <c r="AU269" s="107"/>
      <c r="AV269" s="107"/>
      <c r="AW269" s="107"/>
      <c r="AX269" s="107"/>
      <c r="AY269" s="107"/>
      <c r="AZ269" s="107"/>
      <c r="BA269" s="107"/>
      <c r="BB269" s="107"/>
      <c r="BC269" s="107"/>
      <c r="BD269" s="107"/>
      <c r="BE269" s="107"/>
      <c r="BF269" s="107"/>
      <c r="BG269" s="107"/>
      <c r="BH269" s="107"/>
      <c r="BI269" s="107"/>
      <c r="BJ269" s="107"/>
      <c r="BK269" s="107"/>
      <c r="BL269" s="107"/>
      <c r="BM269" s="107"/>
      <c r="BN269" s="107"/>
      <c r="BO269" s="107"/>
      <c r="BP269" s="107"/>
      <c r="BQ269" s="107"/>
      <c r="BR269" s="107"/>
      <c r="BS269" s="107"/>
      <c r="BT269" s="107"/>
      <c r="BU269" s="107"/>
      <c r="BV269" s="107"/>
      <c r="BW269" s="107"/>
      <c r="BX269" s="107"/>
      <c r="BY269" s="107"/>
      <c r="BZ269" s="107"/>
      <c r="CA269" s="107"/>
      <c r="CB269" s="107"/>
      <c r="CC269" s="107"/>
      <c r="CD269" s="107"/>
      <c r="CE269" s="107"/>
      <c r="CF269" s="107"/>
    </row>
    <row r="270" spans="2:84">
      <c r="B270" s="98"/>
      <c r="C270" s="98"/>
      <c r="D270" s="97"/>
      <c r="E270" s="97"/>
      <c r="F270" s="97"/>
      <c r="G270" s="97"/>
      <c r="H270" s="97"/>
      <c r="I270" s="97"/>
      <c r="J270" s="97"/>
      <c r="K270" s="97"/>
      <c r="L270" s="97"/>
      <c r="M270" s="97"/>
      <c r="N270" s="99"/>
      <c r="O270" s="97"/>
      <c r="P270" s="99"/>
      <c r="Q270" s="97"/>
      <c r="R270" s="97"/>
      <c r="S270" s="97"/>
      <c r="T270" s="97"/>
      <c r="U270" s="97"/>
      <c r="V270" s="97"/>
      <c r="W270" s="97"/>
      <c r="X270" s="97"/>
      <c r="Y270" s="97"/>
      <c r="Z270" s="97"/>
      <c r="AA270" s="97"/>
      <c r="AB270" s="97"/>
      <c r="AC270" s="97"/>
      <c r="AD270" s="107"/>
      <c r="AE270" s="107"/>
      <c r="AF270" s="107"/>
      <c r="AG270" s="107"/>
      <c r="AH270" s="107"/>
      <c r="AI270" s="107"/>
      <c r="AJ270" s="107"/>
      <c r="AK270" s="107"/>
      <c r="AL270" s="107"/>
      <c r="AM270" s="107"/>
      <c r="AN270" s="107"/>
      <c r="AO270" s="107"/>
      <c r="AP270" s="107"/>
      <c r="AQ270" s="107"/>
      <c r="AR270" s="107"/>
      <c r="AS270" s="107"/>
      <c r="AT270" s="107"/>
      <c r="AU270" s="107"/>
      <c r="AV270" s="107"/>
      <c r="AW270" s="107"/>
      <c r="AX270" s="107"/>
      <c r="AY270" s="107"/>
      <c r="AZ270" s="107"/>
      <c r="BA270" s="107"/>
      <c r="BB270" s="107"/>
      <c r="BC270" s="107"/>
      <c r="BD270" s="107"/>
      <c r="BE270" s="107"/>
      <c r="BF270" s="107"/>
      <c r="BG270" s="107"/>
      <c r="BH270" s="107"/>
      <c r="BI270" s="107"/>
      <c r="BJ270" s="107"/>
      <c r="BK270" s="107"/>
      <c r="BL270" s="107"/>
      <c r="BM270" s="107"/>
      <c r="BN270" s="107"/>
      <c r="BO270" s="107"/>
      <c r="BP270" s="107"/>
      <c r="BQ270" s="107"/>
      <c r="BR270" s="107"/>
      <c r="BS270" s="107"/>
      <c r="BT270" s="107"/>
      <c r="BU270" s="107"/>
      <c r="BV270" s="107"/>
      <c r="BW270" s="107"/>
      <c r="BX270" s="107"/>
      <c r="BY270" s="107"/>
      <c r="BZ270" s="107"/>
      <c r="CA270" s="107"/>
      <c r="CB270" s="107"/>
      <c r="CC270" s="107"/>
      <c r="CD270" s="107"/>
      <c r="CE270" s="107"/>
      <c r="CF270" s="107"/>
    </row>
    <row r="271" spans="2:84">
      <c r="B271" s="98"/>
      <c r="C271" s="98"/>
      <c r="D271" s="97"/>
      <c r="E271" s="97"/>
      <c r="F271" s="97"/>
      <c r="G271" s="97"/>
      <c r="H271" s="97"/>
      <c r="I271" s="97"/>
      <c r="J271" s="97"/>
      <c r="K271" s="97"/>
      <c r="L271" s="97"/>
      <c r="M271" s="97"/>
      <c r="N271" s="99"/>
      <c r="O271" s="97"/>
      <c r="P271" s="99"/>
      <c r="Q271" s="97"/>
      <c r="R271" s="97"/>
      <c r="S271" s="97"/>
      <c r="T271" s="97"/>
      <c r="U271" s="97"/>
      <c r="V271" s="97"/>
      <c r="W271" s="97"/>
      <c r="X271" s="97"/>
      <c r="Y271" s="97"/>
      <c r="Z271" s="97"/>
      <c r="AA271" s="97"/>
      <c r="AB271" s="97"/>
      <c r="AC271" s="97"/>
      <c r="AD271" s="107"/>
      <c r="AE271" s="107"/>
      <c r="AF271" s="107"/>
      <c r="AG271" s="107"/>
      <c r="AH271" s="107"/>
      <c r="AI271" s="107"/>
      <c r="AJ271" s="107"/>
      <c r="AK271" s="107"/>
      <c r="AL271" s="107"/>
      <c r="AM271" s="107"/>
      <c r="AN271" s="107"/>
      <c r="AO271" s="107"/>
      <c r="AP271" s="107"/>
      <c r="AQ271" s="107"/>
      <c r="AR271" s="107"/>
      <c r="AS271" s="107"/>
      <c r="AT271" s="107"/>
      <c r="AU271" s="107"/>
      <c r="AV271" s="107"/>
      <c r="AW271" s="107"/>
      <c r="AX271" s="107"/>
      <c r="AY271" s="107"/>
      <c r="AZ271" s="107"/>
      <c r="BA271" s="107"/>
      <c r="BB271" s="107"/>
      <c r="BC271" s="107"/>
      <c r="BD271" s="107"/>
      <c r="BE271" s="107"/>
      <c r="BF271" s="107"/>
      <c r="BG271" s="107"/>
      <c r="BH271" s="107"/>
      <c r="BI271" s="107"/>
      <c r="BJ271" s="107"/>
      <c r="BK271" s="107"/>
      <c r="BL271" s="107"/>
      <c r="BM271" s="107"/>
      <c r="BN271" s="107"/>
      <c r="BO271" s="107"/>
      <c r="BP271" s="107"/>
      <c r="BQ271" s="107"/>
      <c r="BR271" s="107"/>
      <c r="BS271" s="107"/>
      <c r="BT271" s="107"/>
      <c r="BU271" s="107"/>
      <c r="BV271" s="107"/>
      <c r="BW271" s="107"/>
      <c r="BX271" s="107"/>
      <c r="BY271" s="107"/>
      <c r="BZ271" s="107"/>
      <c r="CA271" s="107"/>
      <c r="CB271" s="107"/>
      <c r="CC271" s="107"/>
      <c r="CD271" s="107"/>
      <c r="CE271" s="107"/>
      <c r="CF271" s="107"/>
    </row>
    <row r="272" spans="2:84">
      <c r="B272" s="98"/>
      <c r="C272" s="98"/>
      <c r="D272" s="97"/>
      <c r="E272" s="97"/>
      <c r="F272" s="97"/>
      <c r="G272" s="97"/>
      <c r="H272" s="97"/>
      <c r="I272" s="97"/>
      <c r="J272" s="97"/>
      <c r="K272" s="97"/>
      <c r="L272" s="97"/>
      <c r="M272" s="97"/>
      <c r="N272" s="99"/>
      <c r="O272" s="97"/>
      <c r="P272" s="99"/>
      <c r="Q272" s="97"/>
      <c r="R272" s="97"/>
      <c r="S272" s="97"/>
      <c r="T272" s="97"/>
      <c r="U272" s="97"/>
      <c r="V272" s="97"/>
      <c r="W272" s="97"/>
      <c r="X272" s="97"/>
      <c r="Y272" s="97"/>
      <c r="Z272" s="97"/>
      <c r="AA272" s="97"/>
      <c r="AB272" s="97"/>
      <c r="AC272" s="97"/>
      <c r="AD272" s="107"/>
      <c r="AE272" s="107"/>
      <c r="AF272" s="107"/>
      <c r="AG272" s="107"/>
      <c r="AH272" s="107"/>
      <c r="AI272" s="107"/>
      <c r="AJ272" s="107"/>
      <c r="AK272" s="107"/>
      <c r="AL272" s="107"/>
      <c r="AM272" s="107"/>
      <c r="AN272" s="107"/>
      <c r="AO272" s="107"/>
      <c r="AP272" s="107"/>
      <c r="AQ272" s="107"/>
      <c r="AR272" s="107"/>
      <c r="AS272" s="107"/>
      <c r="AT272" s="107"/>
      <c r="AU272" s="107"/>
      <c r="AV272" s="107"/>
      <c r="AW272" s="107"/>
      <c r="AX272" s="107"/>
      <c r="AY272" s="107"/>
      <c r="AZ272" s="107"/>
      <c r="BA272" s="107"/>
      <c r="BB272" s="107"/>
      <c r="BC272" s="107"/>
      <c r="BD272" s="107"/>
      <c r="BE272" s="107"/>
      <c r="BF272" s="107"/>
      <c r="BG272" s="107"/>
      <c r="BH272" s="107"/>
      <c r="BI272" s="107"/>
      <c r="BJ272" s="107"/>
      <c r="BK272" s="107"/>
      <c r="BL272" s="107"/>
      <c r="BM272" s="107"/>
      <c r="BN272" s="107"/>
      <c r="BO272" s="107"/>
      <c r="BP272" s="107"/>
      <c r="BQ272" s="107"/>
      <c r="BR272" s="107"/>
      <c r="BS272" s="107"/>
      <c r="BT272" s="107"/>
      <c r="BU272" s="107"/>
      <c r="BV272" s="107"/>
      <c r="BW272" s="107"/>
      <c r="BX272" s="107"/>
      <c r="BY272" s="107"/>
      <c r="BZ272" s="107"/>
      <c r="CA272" s="107"/>
      <c r="CB272" s="107"/>
      <c r="CC272" s="107"/>
      <c r="CD272" s="107"/>
      <c r="CE272" s="107"/>
      <c r="CF272" s="107"/>
    </row>
    <row r="273" spans="2:84">
      <c r="B273" s="98"/>
      <c r="C273" s="98"/>
      <c r="D273" s="97"/>
      <c r="E273" s="97"/>
      <c r="F273" s="97"/>
      <c r="G273" s="97"/>
      <c r="H273" s="97"/>
      <c r="I273" s="97"/>
      <c r="J273" s="97"/>
      <c r="K273" s="97"/>
      <c r="L273" s="97"/>
      <c r="M273" s="97"/>
      <c r="N273" s="99"/>
      <c r="O273" s="97"/>
      <c r="P273" s="99"/>
      <c r="Q273" s="97"/>
      <c r="R273" s="97"/>
      <c r="S273" s="97"/>
      <c r="T273" s="97"/>
      <c r="U273" s="97"/>
      <c r="V273" s="97"/>
      <c r="W273" s="97"/>
      <c r="X273" s="97"/>
      <c r="Y273" s="97"/>
      <c r="Z273" s="97"/>
      <c r="AA273" s="97"/>
      <c r="AB273" s="97"/>
      <c r="AC273" s="97"/>
      <c r="AD273" s="107"/>
      <c r="AE273" s="107"/>
      <c r="AF273" s="107"/>
      <c r="AG273" s="107"/>
      <c r="AH273" s="107"/>
      <c r="AI273" s="107"/>
      <c r="AJ273" s="107"/>
      <c r="AK273" s="107"/>
      <c r="AL273" s="107"/>
      <c r="AM273" s="107"/>
      <c r="AN273" s="107"/>
      <c r="AO273" s="107"/>
      <c r="AP273" s="107"/>
      <c r="AQ273" s="107"/>
      <c r="AR273" s="107"/>
      <c r="AS273" s="107"/>
      <c r="AT273" s="107"/>
      <c r="AU273" s="107"/>
      <c r="AV273" s="107"/>
      <c r="AW273" s="107"/>
      <c r="AX273" s="107"/>
      <c r="AY273" s="107"/>
      <c r="AZ273" s="107"/>
      <c r="BA273" s="107"/>
      <c r="BB273" s="107"/>
      <c r="BC273" s="107"/>
      <c r="BD273" s="107"/>
      <c r="BE273" s="107"/>
      <c r="BF273" s="107"/>
      <c r="BG273" s="107"/>
      <c r="BH273" s="107"/>
      <c r="BI273" s="107"/>
      <c r="BJ273" s="107"/>
      <c r="BK273" s="107"/>
      <c r="BL273" s="107"/>
      <c r="BM273" s="107"/>
      <c r="BN273" s="107"/>
      <c r="BO273" s="107"/>
      <c r="BP273" s="107"/>
      <c r="BQ273" s="107"/>
      <c r="BR273" s="107"/>
      <c r="BS273" s="107"/>
      <c r="BT273" s="107"/>
      <c r="BU273" s="107"/>
      <c r="BV273" s="107"/>
      <c r="BW273" s="107"/>
      <c r="BX273" s="107"/>
      <c r="BY273" s="107"/>
      <c r="BZ273" s="107"/>
      <c r="CA273" s="107"/>
      <c r="CB273" s="107"/>
      <c r="CC273" s="107"/>
      <c r="CD273" s="107"/>
      <c r="CE273" s="107"/>
      <c r="CF273" s="107"/>
    </row>
    <row r="274" spans="2:84">
      <c r="B274" s="98"/>
      <c r="C274" s="98"/>
      <c r="D274" s="97"/>
      <c r="E274" s="97"/>
      <c r="F274" s="97"/>
      <c r="G274" s="97"/>
      <c r="H274" s="97"/>
      <c r="I274" s="97"/>
      <c r="J274" s="97"/>
      <c r="K274" s="97"/>
      <c r="L274" s="97"/>
      <c r="M274" s="97"/>
      <c r="N274" s="99"/>
      <c r="O274" s="97"/>
      <c r="P274" s="99"/>
      <c r="Q274" s="97"/>
      <c r="R274" s="97"/>
      <c r="S274" s="97"/>
      <c r="T274" s="97"/>
      <c r="U274" s="97"/>
      <c r="V274" s="97"/>
      <c r="W274" s="97"/>
      <c r="X274" s="97"/>
      <c r="Y274" s="97"/>
      <c r="Z274" s="97"/>
      <c r="AA274" s="97"/>
      <c r="AB274" s="97"/>
      <c r="AC274" s="97"/>
      <c r="AD274" s="107"/>
      <c r="AE274" s="107"/>
      <c r="AF274" s="107"/>
      <c r="AG274" s="107"/>
      <c r="AH274" s="107"/>
      <c r="AI274" s="107"/>
      <c r="AJ274" s="107"/>
      <c r="AK274" s="107"/>
      <c r="AL274" s="107"/>
      <c r="AM274" s="107"/>
      <c r="AN274" s="107"/>
      <c r="AO274" s="107"/>
      <c r="AP274" s="107"/>
      <c r="AQ274" s="107"/>
      <c r="AR274" s="107"/>
      <c r="AS274" s="107"/>
      <c r="AT274" s="107"/>
      <c r="AU274" s="107"/>
      <c r="AV274" s="107"/>
      <c r="AW274" s="107"/>
      <c r="AX274" s="107"/>
      <c r="AY274" s="107"/>
      <c r="AZ274" s="107"/>
      <c r="BA274" s="107"/>
      <c r="BB274" s="107"/>
      <c r="BC274" s="107"/>
      <c r="BD274" s="107"/>
      <c r="BE274" s="107"/>
      <c r="BF274" s="107"/>
      <c r="BG274" s="107"/>
      <c r="BH274" s="107"/>
      <c r="BI274" s="107"/>
      <c r="BJ274" s="107"/>
      <c r="BK274" s="107"/>
      <c r="BL274" s="107"/>
      <c r="BM274" s="107"/>
      <c r="BN274" s="107"/>
      <c r="BO274" s="107"/>
      <c r="BP274" s="107"/>
      <c r="BQ274" s="107"/>
      <c r="BR274" s="107"/>
      <c r="BS274" s="107"/>
      <c r="BT274" s="107"/>
      <c r="BU274" s="107"/>
      <c r="BV274" s="107"/>
      <c r="BW274" s="107"/>
      <c r="BX274" s="107"/>
      <c r="BY274" s="107"/>
      <c r="BZ274" s="107"/>
      <c r="CA274" s="107"/>
      <c r="CB274" s="107"/>
      <c r="CC274" s="107"/>
      <c r="CD274" s="107"/>
      <c r="CE274" s="107"/>
      <c r="CF274" s="107"/>
    </row>
    <row r="275" spans="2:84">
      <c r="B275" s="98"/>
      <c r="C275" s="98"/>
      <c r="D275" s="97"/>
      <c r="E275" s="97"/>
      <c r="F275" s="97"/>
      <c r="G275" s="97"/>
      <c r="H275" s="97"/>
      <c r="I275" s="97"/>
      <c r="J275" s="97"/>
      <c r="K275" s="97"/>
      <c r="L275" s="97"/>
      <c r="M275" s="97"/>
      <c r="N275" s="99"/>
      <c r="O275" s="97"/>
      <c r="P275" s="99"/>
      <c r="Q275" s="97"/>
      <c r="R275" s="97"/>
      <c r="S275" s="97"/>
      <c r="T275" s="97"/>
      <c r="U275" s="97"/>
      <c r="V275" s="97"/>
      <c r="W275" s="97"/>
      <c r="X275" s="97"/>
      <c r="Y275" s="97"/>
      <c r="Z275" s="97"/>
      <c r="AA275" s="97"/>
      <c r="AB275" s="97"/>
      <c r="AC275" s="97"/>
      <c r="AD275" s="107"/>
      <c r="AE275" s="107"/>
      <c r="AF275" s="107"/>
      <c r="AG275" s="107"/>
      <c r="AH275" s="107"/>
      <c r="AI275" s="107"/>
      <c r="AJ275" s="107"/>
      <c r="AK275" s="107"/>
      <c r="AL275" s="107"/>
      <c r="AM275" s="107"/>
      <c r="AN275" s="107"/>
      <c r="AO275" s="107"/>
      <c r="AP275" s="107"/>
      <c r="AQ275" s="107"/>
      <c r="AR275" s="107"/>
      <c r="AS275" s="107"/>
      <c r="AT275" s="107"/>
      <c r="AU275" s="107"/>
      <c r="AV275" s="107"/>
      <c r="AW275" s="107"/>
      <c r="AX275" s="107"/>
      <c r="AY275" s="107"/>
      <c r="AZ275" s="107"/>
      <c r="BA275" s="107"/>
      <c r="BB275" s="107"/>
      <c r="BC275" s="107"/>
      <c r="BD275" s="107"/>
      <c r="BE275" s="107"/>
      <c r="BF275" s="107"/>
      <c r="BG275" s="107"/>
      <c r="BH275" s="107"/>
      <c r="BI275" s="107"/>
      <c r="BJ275" s="107"/>
      <c r="BK275" s="107"/>
      <c r="BL275" s="107"/>
      <c r="BM275" s="107"/>
      <c r="BN275" s="107"/>
      <c r="BO275" s="107"/>
      <c r="BP275" s="107"/>
      <c r="BQ275" s="107"/>
      <c r="BR275" s="107"/>
      <c r="BS275" s="107"/>
      <c r="BT275" s="107"/>
      <c r="BU275" s="107"/>
      <c r="BV275" s="107"/>
      <c r="BW275" s="107"/>
      <c r="BX275" s="107"/>
      <c r="BY275" s="107"/>
      <c r="BZ275" s="107"/>
      <c r="CA275" s="107"/>
      <c r="CB275" s="107"/>
      <c r="CC275" s="107"/>
      <c r="CD275" s="107"/>
      <c r="CE275" s="107"/>
      <c r="CF275" s="107"/>
    </row>
    <row r="276" spans="2:84">
      <c r="B276" s="98"/>
      <c r="C276" s="98"/>
      <c r="D276" s="97"/>
      <c r="E276" s="97"/>
      <c r="F276" s="97"/>
      <c r="G276" s="97"/>
      <c r="H276" s="97"/>
      <c r="I276" s="97"/>
      <c r="J276" s="97"/>
      <c r="K276" s="97"/>
      <c r="L276" s="97"/>
      <c r="M276" s="97"/>
      <c r="N276" s="99"/>
      <c r="O276" s="97"/>
      <c r="P276" s="99"/>
      <c r="Q276" s="97"/>
      <c r="R276" s="97"/>
      <c r="S276" s="97"/>
      <c r="T276" s="97"/>
      <c r="U276" s="97"/>
      <c r="V276" s="97"/>
      <c r="W276" s="97"/>
      <c r="X276" s="97"/>
      <c r="Y276" s="97"/>
      <c r="Z276" s="97"/>
      <c r="AA276" s="97"/>
      <c r="AB276" s="97"/>
      <c r="AC276" s="97"/>
      <c r="AD276" s="107"/>
      <c r="AE276" s="107"/>
      <c r="AF276" s="107"/>
      <c r="AG276" s="107"/>
      <c r="AH276" s="107"/>
      <c r="AI276" s="107"/>
      <c r="AJ276" s="107"/>
      <c r="AK276" s="107"/>
      <c r="AL276" s="107"/>
      <c r="AM276" s="107"/>
      <c r="AN276" s="107"/>
      <c r="AO276" s="107"/>
      <c r="AP276" s="107"/>
      <c r="AQ276" s="107"/>
      <c r="AR276" s="107"/>
      <c r="AS276" s="107"/>
      <c r="AT276" s="107"/>
      <c r="AU276" s="107"/>
      <c r="AV276" s="107"/>
      <c r="AW276" s="107"/>
      <c r="AX276" s="107"/>
      <c r="AY276" s="107"/>
      <c r="AZ276" s="107"/>
      <c r="BA276" s="107"/>
      <c r="BB276" s="107"/>
      <c r="BC276" s="107"/>
      <c r="BD276" s="107"/>
      <c r="BE276" s="107"/>
      <c r="BF276" s="107"/>
      <c r="BG276" s="107"/>
      <c r="BH276" s="107"/>
      <c r="BI276" s="107"/>
      <c r="BJ276" s="107"/>
      <c r="BK276" s="107"/>
      <c r="BL276" s="107"/>
      <c r="BM276" s="107"/>
      <c r="BN276" s="107"/>
      <c r="BO276" s="107"/>
      <c r="BP276" s="107"/>
      <c r="BQ276" s="107"/>
      <c r="BR276" s="107"/>
      <c r="BS276" s="107"/>
      <c r="BT276" s="107"/>
      <c r="BU276" s="107"/>
      <c r="BV276" s="107"/>
      <c r="BW276" s="107"/>
      <c r="BX276" s="107"/>
      <c r="BY276" s="107"/>
      <c r="BZ276" s="107"/>
      <c r="CA276" s="107"/>
      <c r="CB276" s="107"/>
      <c r="CC276" s="107"/>
      <c r="CD276" s="107"/>
      <c r="CE276" s="107"/>
      <c r="CF276" s="107"/>
    </row>
    <row r="277" spans="2:84">
      <c r="B277" s="98"/>
      <c r="C277" s="98"/>
      <c r="D277" s="97"/>
      <c r="E277" s="97"/>
      <c r="F277" s="97"/>
      <c r="G277" s="97"/>
      <c r="H277" s="97"/>
      <c r="I277" s="97"/>
      <c r="J277" s="97"/>
      <c r="K277" s="97"/>
      <c r="L277" s="97"/>
      <c r="M277" s="97"/>
      <c r="N277" s="99"/>
      <c r="O277" s="97"/>
      <c r="P277" s="99"/>
      <c r="Q277" s="97"/>
      <c r="R277" s="97"/>
      <c r="S277" s="97"/>
      <c r="T277" s="97"/>
      <c r="U277" s="97"/>
      <c r="V277" s="97"/>
      <c r="W277" s="97"/>
      <c r="X277" s="97"/>
      <c r="Y277" s="97"/>
      <c r="Z277" s="97"/>
      <c r="AA277" s="97"/>
      <c r="AB277" s="97"/>
      <c r="AC277" s="97"/>
      <c r="AD277" s="107"/>
      <c r="AE277" s="107"/>
      <c r="AF277" s="107"/>
      <c r="AG277" s="107"/>
      <c r="AH277" s="107"/>
      <c r="AI277" s="107"/>
      <c r="AJ277" s="107"/>
      <c r="AK277" s="107"/>
      <c r="AL277" s="107"/>
      <c r="AM277" s="107"/>
      <c r="AN277" s="107"/>
      <c r="AO277" s="107"/>
      <c r="AP277" s="107"/>
      <c r="AQ277" s="107"/>
      <c r="AR277" s="107"/>
      <c r="AS277" s="107"/>
      <c r="AT277" s="107"/>
      <c r="AU277" s="107"/>
      <c r="AV277" s="107"/>
      <c r="AW277" s="107"/>
      <c r="AX277" s="107"/>
      <c r="AY277" s="107"/>
      <c r="AZ277" s="107"/>
      <c r="BA277" s="107"/>
      <c r="BB277" s="107"/>
      <c r="BC277" s="107"/>
      <c r="BD277" s="107"/>
      <c r="BE277" s="107"/>
      <c r="BF277" s="107"/>
      <c r="BG277" s="107"/>
      <c r="BH277" s="107"/>
      <c r="BI277" s="107"/>
      <c r="BJ277" s="107"/>
      <c r="BK277" s="107"/>
      <c r="BL277" s="107"/>
      <c r="BM277" s="107"/>
      <c r="BN277" s="107"/>
      <c r="BO277" s="107"/>
      <c r="BP277" s="107"/>
      <c r="BQ277" s="107"/>
      <c r="BR277" s="107"/>
      <c r="BS277" s="107"/>
      <c r="BT277" s="107"/>
      <c r="BU277" s="107"/>
      <c r="BV277" s="107"/>
      <c r="BW277" s="107"/>
      <c r="BX277" s="107"/>
      <c r="BY277" s="107"/>
      <c r="BZ277" s="107"/>
      <c r="CA277" s="107"/>
      <c r="CB277" s="107"/>
      <c r="CC277" s="107"/>
      <c r="CD277" s="107"/>
      <c r="CE277" s="107"/>
      <c r="CF277" s="107"/>
    </row>
    <row r="278" spans="2:84">
      <c r="B278" s="98"/>
      <c r="C278" s="98"/>
      <c r="D278" s="97"/>
      <c r="E278" s="97"/>
      <c r="F278" s="97"/>
      <c r="G278" s="97"/>
      <c r="H278" s="97"/>
      <c r="I278" s="97"/>
      <c r="J278" s="97"/>
      <c r="K278" s="97"/>
      <c r="L278" s="97"/>
      <c r="M278" s="97"/>
      <c r="N278" s="99"/>
      <c r="O278" s="97"/>
      <c r="P278" s="99"/>
      <c r="Q278" s="97"/>
      <c r="R278" s="97"/>
      <c r="S278" s="97"/>
      <c r="T278" s="97"/>
      <c r="U278" s="97"/>
      <c r="V278" s="97"/>
      <c r="W278" s="97"/>
      <c r="X278" s="97"/>
      <c r="Y278" s="97"/>
      <c r="Z278" s="97"/>
      <c r="AA278" s="97"/>
      <c r="AB278" s="97"/>
      <c r="AC278" s="97"/>
      <c r="AD278" s="107"/>
      <c r="AE278" s="107"/>
      <c r="AF278" s="107"/>
      <c r="AG278" s="107"/>
      <c r="AH278" s="107"/>
      <c r="AI278" s="107"/>
      <c r="AJ278" s="107"/>
      <c r="AK278" s="107"/>
      <c r="AL278" s="107"/>
      <c r="AM278" s="107"/>
      <c r="AN278" s="107"/>
      <c r="AO278" s="107"/>
      <c r="AP278" s="107"/>
      <c r="AQ278" s="107"/>
      <c r="AR278" s="107"/>
      <c r="AS278" s="107"/>
      <c r="AT278" s="107"/>
      <c r="AU278" s="107"/>
      <c r="AV278" s="107"/>
      <c r="AW278" s="107"/>
      <c r="AX278" s="107"/>
      <c r="AY278" s="107"/>
      <c r="AZ278" s="107"/>
      <c r="BA278" s="107"/>
      <c r="BB278" s="107"/>
      <c r="BC278" s="107"/>
      <c r="BD278" s="107"/>
      <c r="BE278" s="107"/>
      <c r="BF278" s="107"/>
      <c r="BG278" s="107"/>
      <c r="BH278" s="107"/>
      <c r="BI278" s="107"/>
      <c r="BJ278" s="107"/>
      <c r="BK278" s="107"/>
      <c r="BL278" s="107"/>
      <c r="BM278" s="107"/>
      <c r="BN278" s="107"/>
      <c r="BO278" s="107"/>
      <c r="BP278" s="107"/>
      <c r="BQ278" s="107"/>
      <c r="BR278" s="107"/>
      <c r="BS278" s="107"/>
      <c r="BT278" s="107"/>
      <c r="BU278" s="107"/>
      <c r="BV278" s="107"/>
      <c r="BW278" s="107"/>
      <c r="BX278" s="107"/>
      <c r="BY278" s="107"/>
      <c r="BZ278" s="107"/>
      <c r="CA278" s="107"/>
      <c r="CB278" s="107"/>
      <c r="CC278" s="107"/>
      <c r="CD278" s="107"/>
      <c r="CE278" s="107"/>
      <c r="CF278" s="107"/>
    </row>
    <row r="279" spans="2:84">
      <c r="B279" s="98"/>
      <c r="C279" s="98"/>
      <c r="D279" s="97"/>
      <c r="E279" s="97"/>
      <c r="F279" s="97"/>
      <c r="G279" s="97"/>
      <c r="H279" s="97"/>
      <c r="I279" s="97"/>
      <c r="J279" s="97"/>
      <c r="K279" s="97"/>
      <c r="L279" s="97"/>
      <c r="M279" s="97"/>
      <c r="N279" s="99"/>
      <c r="O279" s="97"/>
      <c r="P279" s="99"/>
      <c r="Q279" s="97"/>
      <c r="R279" s="97"/>
      <c r="S279" s="97"/>
      <c r="T279" s="97"/>
      <c r="U279" s="97"/>
      <c r="V279" s="97"/>
      <c r="W279" s="97"/>
      <c r="X279" s="97"/>
      <c r="Y279" s="97"/>
      <c r="Z279" s="97"/>
      <c r="AA279" s="97"/>
      <c r="AB279" s="97"/>
      <c r="AC279" s="97"/>
      <c r="AD279" s="107"/>
      <c r="AE279" s="107"/>
      <c r="AF279" s="107"/>
      <c r="AG279" s="107"/>
      <c r="AH279" s="107"/>
      <c r="AI279" s="107"/>
      <c r="AJ279" s="107"/>
      <c r="AK279" s="107"/>
      <c r="AL279" s="107"/>
      <c r="AM279" s="107"/>
      <c r="AN279" s="107"/>
      <c r="AO279" s="107"/>
      <c r="AP279" s="107"/>
      <c r="AQ279" s="107"/>
      <c r="AR279" s="107"/>
      <c r="AS279" s="107"/>
      <c r="AT279" s="107"/>
      <c r="AU279" s="107"/>
      <c r="AV279" s="107"/>
      <c r="AW279" s="107"/>
      <c r="AX279" s="107"/>
      <c r="AY279" s="107"/>
      <c r="AZ279" s="107"/>
      <c r="BA279" s="107"/>
      <c r="BB279" s="107"/>
      <c r="BC279" s="107"/>
      <c r="BD279" s="107"/>
      <c r="BE279" s="107"/>
      <c r="BF279" s="107"/>
      <c r="BG279" s="107"/>
      <c r="BH279" s="107"/>
      <c r="BI279" s="107"/>
      <c r="BJ279" s="107"/>
      <c r="BK279" s="107"/>
      <c r="BL279" s="107"/>
      <c r="BM279" s="107"/>
      <c r="BN279" s="107"/>
      <c r="BO279" s="107"/>
      <c r="BP279" s="107"/>
      <c r="BQ279" s="107"/>
      <c r="BR279" s="107"/>
      <c r="BS279" s="107"/>
      <c r="BT279" s="107"/>
      <c r="BU279" s="107"/>
      <c r="BV279" s="107"/>
      <c r="BW279" s="107"/>
      <c r="BX279" s="107"/>
      <c r="BY279" s="107"/>
      <c r="BZ279" s="107"/>
      <c r="CA279" s="107"/>
      <c r="CB279" s="107"/>
      <c r="CC279" s="107"/>
      <c r="CD279" s="107"/>
      <c r="CE279" s="107"/>
      <c r="CF279" s="107"/>
    </row>
    <row r="280" spans="2:84">
      <c r="B280" s="98"/>
      <c r="C280" s="98"/>
      <c r="D280" s="97"/>
      <c r="E280" s="97"/>
      <c r="F280" s="97"/>
      <c r="G280" s="97"/>
      <c r="H280" s="97"/>
      <c r="I280" s="97"/>
      <c r="J280" s="97"/>
      <c r="K280" s="97"/>
      <c r="L280" s="97"/>
      <c r="M280" s="97"/>
      <c r="N280" s="99"/>
      <c r="O280" s="97"/>
      <c r="P280" s="99"/>
      <c r="Q280" s="97"/>
      <c r="R280" s="97"/>
      <c r="S280" s="97"/>
      <c r="T280" s="97"/>
      <c r="U280" s="97"/>
      <c r="V280" s="97"/>
      <c r="W280" s="97"/>
      <c r="X280" s="97"/>
      <c r="Y280" s="97"/>
      <c r="Z280" s="97"/>
      <c r="AA280" s="97"/>
      <c r="AB280" s="97"/>
      <c r="AC280" s="97"/>
      <c r="AD280" s="107"/>
      <c r="AE280" s="107"/>
      <c r="AF280" s="107"/>
      <c r="AG280" s="107"/>
      <c r="AH280" s="107"/>
      <c r="AI280" s="107"/>
      <c r="AJ280" s="107"/>
      <c r="AK280" s="107"/>
      <c r="AL280" s="107"/>
      <c r="AM280" s="107"/>
      <c r="AN280" s="107"/>
      <c r="AO280" s="107"/>
      <c r="AP280" s="107"/>
      <c r="AQ280" s="107"/>
      <c r="AR280" s="107"/>
      <c r="AS280" s="107"/>
      <c r="AT280" s="107"/>
      <c r="AU280" s="107"/>
      <c r="AV280" s="107"/>
      <c r="AW280" s="107"/>
      <c r="AX280" s="107"/>
      <c r="AY280" s="107"/>
      <c r="AZ280" s="107"/>
      <c r="BA280" s="107"/>
      <c r="BB280" s="107"/>
      <c r="BC280" s="107"/>
      <c r="BD280" s="107"/>
      <c r="BE280" s="107"/>
      <c r="BF280" s="107"/>
      <c r="BG280" s="107"/>
      <c r="BH280" s="107"/>
      <c r="BI280" s="107"/>
      <c r="BJ280" s="107"/>
      <c r="BK280" s="107"/>
      <c r="BL280" s="107"/>
      <c r="BM280" s="107"/>
      <c r="BN280" s="107"/>
      <c r="BO280" s="107"/>
      <c r="BP280" s="107"/>
      <c r="BQ280" s="107"/>
      <c r="BR280" s="107"/>
      <c r="BS280" s="107"/>
      <c r="BT280" s="107"/>
      <c r="BU280" s="107"/>
      <c r="BV280" s="107"/>
      <c r="BW280" s="107"/>
      <c r="BX280" s="107"/>
      <c r="BY280" s="107"/>
      <c r="BZ280" s="107"/>
      <c r="CA280" s="107"/>
      <c r="CB280" s="107"/>
      <c r="CC280" s="107"/>
      <c r="CD280" s="107"/>
      <c r="CE280" s="107"/>
      <c r="CF280" s="107"/>
    </row>
    <row r="281" spans="2:84">
      <c r="B281" s="98"/>
      <c r="C281" s="98"/>
      <c r="D281" s="97"/>
      <c r="E281" s="97"/>
      <c r="F281" s="97"/>
      <c r="G281" s="97"/>
      <c r="H281" s="97"/>
      <c r="I281" s="97"/>
      <c r="J281" s="97"/>
      <c r="K281" s="97"/>
      <c r="L281" s="97"/>
      <c r="M281" s="97"/>
      <c r="N281" s="99"/>
      <c r="O281" s="97"/>
      <c r="P281" s="99"/>
      <c r="Q281" s="97"/>
      <c r="R281" s="97"/>
      <c r="S281" s="97"/>
      <c r="T281" s="97"/>
      <c r="U281" s="97"/>
      <c r="V281" s="97"/>
      <c r="W281" s="97"/>
      <c r="X281" s="97"/>
      <c r="Y281" s="97"/>
      <c r="Z281" s="97"/>
      <c r="AA281" s="97"/>
      <c r="AB281" s="97"/>
      <c r="AC281" s="97"/>
      <c r="AD281" s="107"/>
      <c r="AE281" s="107"/>
      <c r="AF281" s="107"/>
      <c r="AG281" s="107"/>
      <c r="AH281" s="107"/>
      <c r="AI281" s="107"/>
      <c r="AJ281" s="107"/>
      <c r="AK281" s="107"/>
      <c r="AL281" s="107"/>
      <c r="AM281" s="107"/>
      <c r="AN281" s="107"/>
      <c r="AO281" s="107"/>
      <c r="AP281" s="107"/>
      <c r="AQ281" s="107"/>
      <c r="AR281" s="107"/>
      <c r="AS281" s="107"/>
      <c r="AT281" s="107"/>
      <c r="AU281" s="107"/>
      <c r="AV281" s="107"/>
      <c r="AW281" s="107"/>
      <c r="AX281" s="107"/>
      <c r="AY281" s="107"/>
      <c r="AZ281" s="107"/>
      <c r="BA281" s="107"/>
      <c r="BB281" s="107"/>
      <c r="BC281" s="107"/>
      <c r="BD281" s="107"/>
      <c r="BE281" s="107"/>
      <c r="BF281" s="107"/>
      <c r="BG281" s="107"/>
      <c r="BH281" s="107"/>
      <c r="BI281" s="107"/>
      <c r="BJ281" s="107"/>
      <c r="BK281" s="107"/>
      <c r="BL281" s="107"/>
      <c r="BM281" s="107"/>
      <c r="BN281" s="107"/>
      <c r="BO281" s="107"/>
      <c r="BP281" s="107"/>
      <c r="BQ281" s="107"/>
      <c r="BR281" s="107"/>
      <c r="BS281" s="107"/>
      <c r="BT281" s="107"/>
      <c r="BU281" s="107"/>
      <c r="BV281" s="107"/>
      <c r="BW281" s="107"/>
      <c r="BX281" s="107"/>
      <c r="BY281" s="107"/>
      <c r="BZ281" s="107"/>
      <c r="CA281" s="107"/>
      <c r="CB281" s="107"/>
      <c r="CC281" s="107"/>
      <c r="CD281" s="107"/>
      <c r="CE281" s="107"/>
      <c r="CF281" s="107"/>
    </row>
    <row r="282" spans="2:84">
      <c r="B282" s="98"/>
      <c r="C282" s="98"/>
      <c r="D282" s="97"/>
      <c r="E282" s="97"/>
      <c r="F282" s="97"/>
      <c r="G282" s="97"/>
      <c r="H282" s="97"/>
      <c r="I282" s="97"/>
      <c r="J282" s="97"/>
      <c r="K282" s="97"/>
      <c r="L282" s="97"/>
      <c r="M282" s="97"/>
      <c r="N282" s="99"/>
      <c r="O282" s="97"/>
      <c r="P282" s="99"/>
      <c r="Q282" s="97"/>
      <c r="R282" s="97"/>
      <c r="S282" s="97"/>
      <c r="T282" s="97"/>
      <c r="U282" s="97"/>
      <c r="V282" s="97"/>
      <c r="W282" s="97"/>
      <c r="X282" s="97"/>
      <c r="Y282" s="97"/>
      <c r="Z282" s="97"/>
      <c r="AA282" s="97"/>
      <c r="AB282" s="97"/>
      <c r="AC282" s="97"/>
      <c r="AD282" s="107"/>
      <c r="AE282" s="107"/>
      <c r="AF282" s="107"/>
      <c r="AG282" s="107"/>
      <c r="AH282" s="107"/>
      <c r="AI282" s="107"/>
      <c r="AJ282" s="107"/>
      <c r="AK282" s="107"/>
      <c r="AL282" s="107"/>
      <c r="AM282" s="107"/>
      <c r="AN282" s="107"/>
      <c r="AO282" s="107"/>
      <c r="AP282" s="107"/>
      <c r="AQ282" s="107"/>
      <c r="AR282" s="107"/>
      <c r="AS282" s="107"/>
      <c r="AT282" s="107"/>
      <c r="AU282" s="107"/>
      <c r="AV282" s="107"/>
      <c r="AW282" s="107"/>
      <c r="AX282" s="107"/>
      <c r="AY282" s="107"/>
      <c r="AZ282" s="107"/>
      <c r="BA282" s="107"/>
      <c r="BB282" s="107"/>
      <c r="BC282" s="107"/>
      <c r="BD282" s="107"/>
      <c r="BE282" s="107"/>
      <c r="BF282" s="107"/>
      <c r="BG282" s="107"/>
      <c r="BH282" s="107"/>
      <c r="BI282" s="107"/>
      <c r="BJ282" s="107"/>
      <c r="BK282" s="107"/>
      <c r="BL282" s="107"/>
      <c r="BM282" s="107"/>
      <c r="BN282" s="107"/>
      <c r="BO282" s="107"/>
      <c r="BP282" s="107"/>
      <c r="BQ282" s="107"/>
      <c r="BR282" s="107"/>
      <c r="BS282" s="107"/>
      <c r="BT282" s="107"/>
      <c r="BU282" s="107"/>
      <c r="BV282" s="107"/>
      <c r="BW282" s="107"/>
      <c r="BX282" s="107"/>
      <c r="BY282" s="107"/>
      <c r="BZ282" s="107"/>
      <c r="CA282" s="107"/>
      <c r="CB282" s="107"/>
      <c r="CC282" s="107"/>
      <c r="CD282" s="107"/>
      <c r="CE282" s="107"/>
      <c r="CF282" s="107"/>
    </row>
    <row r="283" spans="2:84">
      <c r="B283" s="98"/>
      <c r="C283" s="98"/>
      <c r="D283" s="97"/>
      <c r="E283" s="97"/>
      <c r="F283" s="97"/>
      <c r="G283" s="97"/>
      <c r="H283" s="97"/>
      <c r="I283" s="97"/>
      <c r="J283" s="97"/>
      <c r="K283" s="97"/>
      <c r="L283" s="97"/>
      <c r="M283" s="97"/>
      <c r="N283" s="99"/>
      <c r="O283" s="97"/>
      <c r="P283" s="99"/>
      <c r="Q283" s="97"/>
      <c r="R283" s="97"/>
      <c r="S283" s="97"/>
      <c r="T283" s="97"/>
      <c r="U283" s="97"/>
      <c r="V283" s="97"/>
      <c r="W283" s="97"/>
      <c r="X283" s="97"/>
      <c r="Y283" s="97"/>
      <c r="Z283" s="97"/>
      <c r="AA283" s="97"/>
      <c r="AB283" s="97"/>
      <c r="AC283" s="97"/>
      <c r="AD283" s="107"/>
      <c r="AE283" s="107"/>
      <c r="AF283" s="107"/>
      <c r="AG283" s="107"/>
      <c r="AH283" s="107"/>
      <c r="AI283" s="107"/>
      <c r="AJ283" s="107"/>
      <c r="AK283" s="107"/>
      <c r="AL283" s="107"/>
      <c r="AM283" s="107"/>
      <c r="AN283" s="107"/>
      <c r="AO283" s="107"/>
      <c r="AP283" s="107"/>
      <c r="AQ283" s="107"/>
      <c r="AR283" s="107"/>
      <c r="AS283" s="107"/>
      <c r="AT283" s="107"/>
      <c r="AU283" s="107"/>
      <c r="AV283" s="107"/>
      <c r="AW283" s="107"/>
      <c r="AX283" s="107"/>
      <c r="AY283" s="107"/>
      <c r="AZ283" s="107"/>
      <c r="BA283" s="107"/>
      <c r="BB283" s="107"/>
      <c r="BC283" s="107"/>
      <c r="BD283" s="107"/>
      <c r="BE283" s="107"/>
      <c r="BF283" s="107"/>
      <c r="BG283" s="107"/>
      <c r="BH283" s="107"/>
      <c r="BI283" s="107"/>
      <c r="BJ283" s="107"/>
      <c r="BK283" s="107"/>
      <c r="BL283" s="107"/>
      <c r="BM283" s="107"/>
      <c r="BN283" s="107"/>
      <c r="BO283" s="107"/>
      <c r="BP283" s="107"/>
      <c r="BQ283" s="107"/>
      <c r="BR283" s="107"/>
      <c r="BS283" s="107"/>
      <c r="BT283" s="107"/>
      <c r="BU283" s="107"/>
      <c r="BV283" s="107"/>
      <c r="BW283" s="107"/>
      <c r="BX283" s="107"/>
      <c r="BY283" s="107"/>
      <c r="BZ283" s="107"/>
      <c r="CA283" s="107"/>
      <c r="CB283" s="107"/>
      <c r="CC283" s="107"/>
      <c r="CD283" s="107"/>
      <c r="CE283" s="107"/>
      <c r="CF283" s="107"/>
    </row>
    <row r="284" spans="2:84">
      <c r="B284" s="98"/>
      <c r="C284" s="98"/>
      <c r="D284" s="97"/>
      <c r="E284" s="97"/>
      <c r="F284" s="97"/>
      <c r="G284" s="97"/>
      <c r="H284" s="97"/>
      <c r="I284" s="97"/>
      <c r="J284" s="97"/>
      <c r="K284" s="97"/>
      <c r="L284" s="97"/>
      <c r="M284" s="97"/>
      <c r="N284" s="99"/>
      <c r="O284" s="97"/>
      <c r="P284" s="99"/>
      <c r="Q284" s="97"/>
      <c r="R284" s="97"/>
      <c r="S284" s="97"/>
      <c r="T284" s="97"/>
      <c r="U284" s="97"/>
      <c r="V284" s="97"/>
      <c r="W284" s="97"/>
      <c r="X284" s="97"/>
      <c r="Y284" s="97"/>
      <c r="Z284" s="97"/>
      <c r="AA284" s="97"/>
      <c r="AB284" s="97"/>
      <c r="AC284" s="97"/>
      <c r="AD284" s="107"/>
      <c r="AE284" s="107"/>
      <c r="AF284" s="107"/>
      <c r="AG284" s="107"/>
      <c r="AH284" s="107"/>
      <c r="AI284" s="107"/>
      <c r="AJ284" s="107"/>
      <c r="AK284" s="107"/>
      <c r="AL284" s="107"/>
      <c r="AM284" s="107"/>
      <c r="AN284" s="107"/>
      <c r="AO284" s="107"/>
      <c r="AP284" s="107"/>
      <c r="AQ284" s="107"/>
      <c r="AR284" s="107"/>
      <c r="AS284" s="107"/>
      <c r="AT284" s="107"/>
      <c r="AU284" s="107"/>
      <c r="AV284" s="107"/>
      <c r="AW284" s="107"/>
      <c r="AX284" s="107"/>
      <c r="AY284" s="107"/>
      <c r="AZ284" s="107"/>
      <c r="BA284" s="107"/>
      <c r="BB284" s="107"/>
      <c r="BC284" s="107"/>
      <c r="BD284" s="107"/>
      <c r="BE284" s="107"/>
      <c r="BF284" s="107"/>
      <c r="BG284" s="107"/>
      <c r="BH284" s="107"/>
      <c r="BI284" s="107"/>
      <c r="BJ284" s="107"/>
      <c r="BK284" s="107"/>
      <c r="BL284" s="107"/>
      <c r="BM284" s="107"/>
      <c r="BN284" s="107"/>
      <c r="BO284" s="107"/>
      <c r="BP284" s="107"/>
      <c r="BQ284" s="107"/>
      <c r="BR284" s="107"/>
      <c r="BS284" s="107"/>
      <c r="BT284" s="107"/>
      <c r="BU284" s="107"/>
      <c r="BV284" s="107"/>
      <c r="BW284" s="107"/>
      <c r="BX284" s="107"/>
      <c r="BY284" s="107"/>
      <c r="BZ284" s="107"/>
      <c r="CA284" s="107"/>
      <c r="CB284" s="107"/>
      <c r="CC284" s="107"/>
      <c r="CD284" s="107"/>
      <c r="CE284" s="107"/>
      <c r="CF284" s="107"/>
    </row>
    <row r="285" spans="2:84">
      <c r="B285" s="98"/>
      <c r="C285" s="98"/>
      <c r="D285" s="97"/>
      <c r="E285" s="97"/>
      <c r="F285" s="97"/>
      <c r="G285" s="97"/>
      <c r="H285" s="97"/>
      <c r="I285" s="97"/>
      <c r="J285" s="97"/>
      <c r="K285" s="97"/>
      <c r="L285" s="97"/>
      <c r="M285" s="97"/>
      <c r="N285" s="99"/>
      <c r="O285" s="97"/>
      <c r="P285" s="99"/>
      <c r="Q285" s="97"/>
      <c r="R285" s="97"/>
      <c r="S285" s="97"/>
      <c r="T285" s="97"/>
      <c r="U285" s="97"/>
      <c r="V285" s="97"/>
      <c r="W285" s="97"/>
      <c r="X285" s="97"/>
      <c r="Y285" s="97"/>
      <c r="Z285" s="97"/>
      <c r="AA285" s="97"/>
      <c r="AB285" s="97"/>
      <c r="AC285" s="97"/>
      <c r="AD285" s="107"/>
      <c r="AE285" s="107"/>
      <c r="AF285" s="107"/>
      <c r="AG285" s="107"/>
      <c r="AH285" s="107"/>
      <c r="AI285" s="107"/>
      <c r="AJ285" s="107"/>
      <c r="AK285" s="107"/>
      <c r="AL285" s="107"/>
      <c r="AM285" s="107"/>
      <c r="AN285" s="107"/>
      <c r="AO285" s="107"/>
      <c r="AP285" s="107"/>
      <c r="AQ285" s="107"/>
      <c r="AR285" s="107"/>
      <c r="AS285" s="107"/>
      <c r="AT285" s="107"/>
      <c r="AU285" s="107"/>
      <c r="AV285" s="107"/>
      <c r="AW285" s="107"/>
      <c r="AX285" s="107"/>
      <c r="AY285" s="107"/>
      <c r="AZ285" s="107"/>
      <c r="BA285" s="107"/>
      <c r="BB285" s="107"/>
      <c r="BC285" s="107"/>
      <c r="BD285" s="107"/>
      <c r="BE285" s="107"/>
      <c r="BF285" s="107"/>
      <c r="BG285" s="107"/>
      <c r="BH285" s="107"/>
      <c r="BI285" s="107"/>
      <c r="BJ285" s="107"/>
      <c r="BK285" s="107"/>
      <c r="BL285" s="107"/>
      <c r="BM285" s="107"/>
      <c r="BN285" s="107"/>
      <c r="BO285" s="107"/>
      <c r="BP285" s="107"/>
      <c r="BQ285" s="107"/>
      <c r="BR285" s="107"/>
      <c r="BS285" s="107"/>
      <c r="BT285" s="107"/>
      <c r="BU285" s="107"/>
      <c r="BV285" s="107"/>
      <c r="BW285" s="107"/>
      <c r="BX285" s="107"/>
      <c r="BY285" s="107"/>
      <c r="BZ285" s="107"/>
      <c r="CA285" s="107"/>
      <c r="CB285" s="107"/>
      <c r="CC285" s="107"/>
      <c r="CD285" s="107"/>
      <c r="CE285" s="107"/>
      <c r="CF285" s="107"/>
    </row>
    <row r="286" spans="2:84">
      <c r="B286" s="98"/>
      <c r="C286" s="98"/>
      <c r="D286" s="97"/>
      <c r="E286" s="97"/>
      <c r="F286" s="97"/>
      <c r="G286" s="97"/>
      <c r="H286" s="97"/>
      <c r="I286" s="97"/>
      <c r="J286" s="97"/>
      <c r="K286" s="97"/>
      <c r="L286" s="97"/>
      <c r="M286" s="97"/>
      <c r="N286" s="99"/>
      <c r="O286" s="97"/>
      <c r="P286" s="99"/>
      <c r="Q286" s="97"/>
      <c r="R286" s="97"/>
      <c r="S286" s="97"/>
      <c r="T286" s="97"/>
      <c r="U286" s="97"/>
      <c r="V286" s="97"/>
      <c r="W286" s="97"/>
      <c r="X286" s="97"/>
      <c r="Y286" s="97"/>
      <c r="Z286" s="97"/>
      <c r="AA286" s="97"/>
      <c r="AB286" s="97"/>
      <c r="AC286" s="97"/>
      <c r="AD286" s="107"/>
      <c r="AE286" s="107"/>
      <c r="AF286" s="107"/>
      <c r="AG286" s="107"/>
      <c r="AH286" s="107"/>
      <c r="AI286" s="107"/>
      <c r="AJ286" s="107"/>
      <c r="AK286" s="107"/>
      <c r="AL286" s="107"/>
      <c r="AM286" s="107"/>
      <c r="AN286" s="107"/>
      <c r="AO286" s="107"/>
      <c r="AP286" s="107"/>
      <c r="AQ286" s="107"/>
      <c r="AR286" s="107"/>
      <c r="AS286" s="107"/>
      <c r="AT286" s="107"/>
      <c r="AU286" s="107"/>
      <c r="AV286" s="107"/>
      <c r="AW286" s="107"/>
      <c r="AX286" s="107"/>
      <c r="AY286" s="107"/>
      <c r="AZ286" s="107"/>
      <c r="BA286" s="107"/>
      <c r="BB286" s="107"/>
      <c r="BC286" s="107"/>
      <c r="BD286" s="107"/>
      <c r="BE286" s="107"/>
      <c r="BF286" s="107"/>
      <c r="BG286" s="107"/>
      <c r="BH286" s="107"/>
      <c r="BI286" s="107"/>
      <c r="BJ286" s="107"/>
      <c r="BK286" s="107"/>
      <c r="BL286" s="107"/>
      <c r="BM286" s="107"/>
      <c r="BN286" s="107"/>
      <c r="BO286" s="107"/>
      <c r="BP286" s="107"/>
      <c r="BQ286" s="107"/>
      <c r="BR286" s="107"/>
      <c r="BS286" s="107"/>
      <c r="BT286" s="107"/>
      <c r="BU286" s="107"/>
      <c r="BV286" s="107"/>
      <c r="BW286" s="107"/>
      <c r="BX286" s="107"/>
      <c r="BY286" s="107"/>
      <c r="BZ286" s="107"/>
      <c r="CA286" s="107"/>
      <c r="CB286" s="107"/>
      <c r="CC286" s="107"/>
      <c r="CD286" s="107"/>
      <c r="CE286" s="107"/>
      <c r="CF286" s="107"/>
    </row>
    <row r="287" spans="2:84">
      <c r="B287" s="98"/>
      <c r="C287" s="98"/>
      <c r="D287" s="97"/>
      <c r="E287" s="97"/>
      <c r="F287" s="97"/>
      <c r="G287" s="97"/>
      <c r="H287" s="97"/>
      <c r="I287" s="97"/>
      <c r="J287" s="97"/>
      <c r="K287" s="97"/>
      <c r="L287" s="97"/>
      <c r="M287" s="97"/>
      <c r="N287" s="99"/>
      <c r="O287" s="97"/>
      <c r="P287" s="99"/>
      <c r="Q287" s="97"/>
      <c r="R287" s="97"/>
      <c r="S287" s="97"/>
      <c r="T287" s="97"/>
      <c r="U287" s="97"/>
      <c r="V287" s="97"/>
      <c r="W287" s="97"/>
      <c r="X287" s="97"/>
      <c r="Y287" s="97"/>
      <c r="Z287" s="97"/>
      <c r="AA287" s="97"/>
      <c r="AB287" s="97"/>
      <c r="AC287" s="97"/>
      <c r="AD287" s="107"/>
      <c r="AE287" s="107"/>
      <c r="AF287" s="107"/>
      <c r="AG287" s="107"/>
      <c r="AH287" s="107"/>
      <c r="AI287" s="107"/>
      <c r="AJ287" s="107"/>
      <c r="AK287" s="107"/>
      <c r="AL287" s="107"/>
      <c r="AM287" s="107"/>
      <c r="AN287" s="107"/>
      <c r="AO287" s="107"/>
      <c r="AP287" s="107"/>
      <c r="AQ287" s="107"/>
      <c r="AR287" s="107"/>
      <c r="AS287" s="107"/>
      <c r="AT287" s="107"/>
      <c r="AU287" s="107"/>
      <c r="AV287" s="107"/>
      <c r="AW287" s="107"/>
      <c r="AX287" s="107"/>
      <c r="AY287" s="107"/>
      <c r="AZ287" s="107"/>
      <c r="BA287" s="107"/>
      <c r="BB287" s="107"/>
      <c r="BC287" s="107"/>
      <c r="BD287" s="107"/>
      <c r="BE287" s="107"/>
      <c r="BF287" s="107"/>
      <c r="BG287" s="107"/>
      <c r="BH287" s="107"/>
      <c r="BI287" s="107"/>
      <c r="BJ287" s="107"/>
      <c r="BK287" s="107"/>
      <c r="BL287" s="107"/>
      <c r="BM287" s="107"/>
      <c r="BN287" s="107"/>
      <c r="BO287" s="107"/>
      <c r="BP287" s="107"/>
      <c r="BQ287" s="107"/>
      <c r="BR287" s="107"/>
      <c r="BS287" s="107"/>
      <c r="BT287" s="107"/>
      <c r="BU287" s="107"/>
      <c r="BV287" s="107"/>
      <c r="BW287" s="107"/>
      <c r="BX287" s="107"/>
      <c r="BY287" s="107"/>
      <c r="BZ287" s="107"/>
      <c r="CA287" s="107"/>
      <c r="CB287" s="107"/>
      <c r="CC287" s="107"/>
      <c r="CD287" s="107"/>
      <c r="CE287" s="107"/>
      <c r="CF287" s="107"/>
    </row>
    <row r="288" spans="2:84">
      <c r="B288" s="98"/>
      <c r="C288" s="98"/>
      <c r="D288" s="97"/>
      <c r="E288" s="97"/>
      <c r="F288" s="97"/>
      <c r="G288" s="97"/>
      <c r="H288" s="97"/>
      <c r="I288" s="97"/>
      <c r="J288" s="97"/>
      <c r="K288" s="97"/>
      <c r="L288" s="97"/>
      <c r="M288" s="97"/>
      <c r="N288" s="99"/>
      <c r="O288" s="97"/>
      <c r="P288" s="99"/>
      <c r="Q288" s="97"/>
      <c r="R288" s="97"/>
      <c r="S288" s="97"/>
      <c r="T288" s="97"/>
      <c r="U288" s="97"/>
      <c r="V288" s="97"/>
      <c r="W288" s="97"/>
      <c r="X288" s="97"/>
      <c r="Y288" s="97"/>
      <c r="Z288" s="97"/>
      <c r="AA288" s="97"/>
      <c r="AB288" s="97"/>
      <c r="AC288" s="97"/>
      <c r="AD288" s="107"/>
      <c r="AE288" s="107"/>
      <c r="AF288" s="107"/>
      <c r="AG288" s="107"/>
      <c r="AH288" s="107"/>
      <c r="AI288" s="107"/>
      <c r="AJ288" s="107"/>
      <c r="AK288" s="107"/>
      <c r="AL288" s="107"/>
      <c r="AM288" s="107"/>
      <c r="AN288" s="107"/>
      <c r="AO288" s="107"/>
      <c r="AP288" s="107"/>
      <c r="AQ288" s="107"/>
      <c r="AR288" s="107"/>
      <c r="AS288" s="107"/>
      <c r="AT288" s="107"/>
      <c r="AU288" s="107"/>
      <c r="AV288" s="107"/>
      <c r="AW288" s="107"/>
      <c r="AX288" s="107"/>
      <c r="AY288" s="107"/>
      <c r="AZ288" s="107"/>
      <c r="BA288" s="107"/>
      <c r="BB288" s="107"/>
      <c r="BC288" s="107"/>
      <c r="BD288" s="107"/>
      <c r="BE288" s="107"/>
      <c r="BF288" s="107"/>
      <c r="BG288" s="107"/>
      <c r="BH288" s="107"/>
      <c r="BI288" s="107"/>
      <c r="BJ288" s="107"/>
      <c r="BK288" s="107"/>
      <c r="BL288" s="107"/>
      <c r="BM288" s="107"/>
      <c r="BN288" s="107"/>
      <c r="BO288" s="107"/>
      <c r="BP288" s="107"/>
      <c r="BQ288" s="107"/>
      <c r="BR288" s="107"/>
      <c r="BS288" s="107"/>
      <c r="BT288" s="107"/>
      <c r="BU288" s="107"/>
      <c r="BV288" s="107"/>
      <c r="BW288" s="107"/>
      <c r="BX288" s="107"/>
      <c r="BY288" s="107"/>
      <c r="BZ288" s="107"/>
      <c r="CA288" s="107"/>
      <c r="CB288" s="107"/>
      <c r="CC288" s="107"/>
      <c r="CD288" s="107"/>
      <c r="CE288" s="107"/>
      <c r="CF288" s="107"/>
    </row>
    <row r="289" spans="2:84">
      <c r="B289" s="98"/>
      <c r="C289" s="98"/>
      <c r="D289" s="97"/>
      <c r="E289" s="97"/>
      <c r="F289" s="97"/>
      <c r="G289" s="97"/>
      <c r="H289" s="97"/>
      <c r="I289" s="97"/>
      <c r="J289" s="97"/>
      <c r="K289" s="97"/>
      <c r="L289" s="97"/>
      <c r="M289" s="97"/>
      <c r="N289" s="99"/>
      <c r="O289" s="97"/>
      <c r="P289" s="99"/>
      <c r="Q289" s="97"/>
      <c r="R289" s="97"/>
      <c r="S289" s="97"/>
      <c r="T289" s="97"/>
      <c r="U289" s="97"/>
      <c r="V289" s="97"/>
      <c r="W289" s="97"/>
      <c r="X289" s="97"/>
      <c r="Y289" s="97"/>
      <c r="Z289" s="97"/>
      <c r="AA289" s="97"/>
      <c r="AB289" s="97"/>
      <c r="AC289" s="97"/>
      <c r="AD289" s="107"/>
      <c r="AE289" s="107"/>
      <c r="AF289" s="107"/>
      <c r="AG289" s="107"/>
      <c r="AH289" s="107"/>
      <c r="AI289" s="107"/>
      <c r="AJ289" s="107"/>
      <c r="AK289" s="107"/>
      <c r="AL289" s="107"/>
      <c r="AM289" s="107"/>
      <c r="AN289" s="107"/>
      <c r="AO289" s="107"/>
      <c r="AP289" s="107"/>
      <c r="AQ289" s="107"/>
      <c r="AR289" s="107"/>
      <c r="AS289" s="107"/>
      <c r="AT289" s="107"/>
      <c r="AU289" s="107"/>
      <c r="AV289" s="107"/>
      <c r="AW289" s="107"/>
      <c r="AX289" s="107"/>
      <c r="AY289" s="107"/>
      <c r="AZ289" s="107"/>
      <c r="BA289" s="107"/>
      <c r="BB289" s="107"/>
      <c r="BC289" s="107"/>
      <c r="BD289" s="107"/>
      <c r="BE289" s="107"/>
      <c r="BF289" s="107"/>
      <c r="BG289" s="107"/>
      <c r="BH289" s="107"/>
      <c r="BI289" s="107"/>
      <c r="BJ289" s="107"/>
      <c r="BK289" s="107"/>
      <c r="BL289" s="107"/>
      <c r="BM289" s="107"/>
      <c r="BN289" s="107"/>
      <c r="BO289" s="107"/>
      <c r="BP289" s="107"/>
      <c r="BQ289" s="107"/>
      <c r="BR289" s="107"/>
      <c r="BS289" s="107"/>
      <c r="BT289" s="107"/>
      <c r="BU289" s="107"/>
      <c r="BV289" s="107"/>
      <c r="BW289" s="107"/>
      <c r="BX289" s="107"/>
      <c r="BY289" s="107"/>
      <c r="BZ289" s="107"/>
      <c r="CA289" s="107"/>
      <c r="CB289" s="107"/>
      <c r="CC289" s="107"/>
      <c r="CD289" s="107"/>
      <c r="CE289" s="107"/>
      <c r="CF289" s="107"/>
    </row>
    <row r="290" spans="2:84">
      <c r="B290" s="98"/>
      <c r="C290" s="98"/>
      <c r="D290" s="97"/>
      <c r="E290" s="97"/>
      <c r="F290" s="97"/>
      <c r="G290" s="97"/>
      <c r="H290" s="97"/>
      <c r="I290" s="97"/>
      <c r="J290" s="97"/>
      <c r="K290" s="97"/>
      <c r="L290" s="97"/>
      <c r="M290" s="97"/>
      <c r="N290" s="99"/>
      <c r="O290" s="97"/>
      <c r="P290" s="99"/>
      <c r="Q290" s="97"/>
      <c r="R290" s="97"/>
      <c r="S290" s="97"/>
      <c r="T290" s="97"/>
      <c r="U290" s="97"/>
      <c r="V290" s="97"/>
      <c r="W290" s="97"/>
      <c r="X290" s="97"/>
      <c r="Y290" s="97"/>
      <c r="Z290" s="97"/>
      <c r="AA290" s="97"/>
      <c r="AB290" s="97"/>
      <c r="AC290" s="97"/>
      <c r="AD290" s="107"/>
      <c r="AE290" s="107"/>
      <c r="AF290" s="107"/>
      <c r="AG290" s="107"/>
      <c r="AH290" s="107"/>
      <c r="AI290" s="107"/>
      <c r="AJ290" s="107"/>
      <c r="AK290" s="107"/>
      <c r="AL290" s="107"/>
      <c r="AM290" s="107"/>
      <c r="AN290" s="107"/>
      <c r="AO290" s="107"/>
      <c r="AP290" s="107"/>
      <c r="AQ290" s="107"/>
      <c r="AR290" s="107"/>
      <c r="AS290" s="107"/>
      <c r="AT290" s="107"/>
      <c r="AU290" s="107"/>
      <c r="AV290" s="107"/>
      <c r="AW290" s="107"/>
      <c r="AX290" s="107"/>
      <c r="AY290" s="107"/>
      <c r="AZ290" s="107"/>
      <c r="BA290" s="107"/>
      <c r="BB290" s="107"/>
      <c r="BC290" s="107"/>
      <c r="BD290" s="107"/>
      <c r="BE290" s="107"/>
      <c r="BF290" s="107"/>
      <c r="BG290" s="107"/>
      <c r="BH290" s="107"/>
      <c r="BI290" s="107"/>
      <c r="BJ290" s="107"/>
      <c r="BK290" s="107"/>
      <c r="BL290" s="107"/>
      <c r="BM290" s="107"/>
      <c r="BN290" s="107"/>
      <c r="BO290" s="107"/>
      <c r="BP290" s="107"/>
      <c r="BQ290" s="107"/>
      <c r="BR290" s="107"/>
      <c r="BS290" s="107"/>
      <c r="BT290" s="107"/>
      <c r="BU290" s="107"/>
      <c r="BV290" s="107"/>
      <c r="BW290" s="107"/>
      <c r="BX290" s="107"/>
      <c r="BY290" s="107"/>
      <c r="BZ290" s="107"/>
      <c r="CA290" s="107"/>
      <c r="CB290" s="107"/>
      <c r="CC290" s="107"/>
      <c r="CD290" s="107"/>
      <c r="CE290" s="107"/>
      <c r="CF290" s="107"/>
    </row>
    <row r="291" spans="2:84">
      <c r="B291" s="98"/>
      <c r="C291" s="98"/>
      <c r="D291" s="97"/>
      <c r="E291" s="97"/>
      <c r="F291" s="97"/>
      <c r="G291" s="97"/>
      <c r="H291" s="97"/>
      <c r="I291" s="97"/>
      <c r="J291" s="97"/>
      <c r="K291" s="97"/>
      <c r="L291" s="97"/>
      <c r="M291" s="97"/>
      <c r="N291" s="99"/>
      <c r="O291" s="97"/>
      <c r="P291" s="99"/>
      <c r="Q291" s="97"/>
      <c r="R291" s="97"/>
      <c r="S291" s="97"/>
      <c r="T291" s="97"/>
      <c r="U291" s="97"/>
      <c r="V291" s="97"/>
      <c r="W291" s="97"/>
      <c r="X291" s="97"/>
      <c r="Y291" s="97"/>
      <c r="Z291" s="97"/>
      <c r="AA291" s="97"/>
      <c r="AB291" s="97"/>
      <c r="AC291" s="97"/>
      <c r="AD291" s="107"/>
      <c r="AE291" s="107"/>
      <c r="AF291" s="107"/>
      <c r="AG291" s="107"/>
      <c r="AH291" s="107"/>
      <c r="AI291" s="107"/>
      <c r="AJ291" s="107"/>
      <c r="AK291" s="107"/>
      <c r="AL291" s="107"/>
      <c r="AM291" s="107"/>
      <c r="AN291" s="107"/>
      <c r="AO291" s="107"/>
      <c r="AP291" s="107"/>
      <c r="AQ291" s="107"/>
      <c r="AR291" s="107"/>
      <c r="AS291" s="107"/>
      <c r="AT291" s="107"/>
      <c r="AU291" s="107"/>
      <c r="AV291" s="107"/>
      <c r="AW291" s="107"/>
      <c r="AX291" s="107"/>
      <c r="AY291" s="107"/>
      <c r="AZ291" s="107"/>
      <c r="BA291" s="107"/>
      <c r="BB291" s="107"/>
      <c r="BC291" s="107"/>
      <c r="BD291" s="107"/>
      <c r="BE291" s="107"/>
      <c r="BF291" s="107"/>
      <c r="BG291" s="107"/>
      <c r="BH291" s="107"/>
      <c r="BI291" s="107"/>
      <c r="BJ291" s="107"/>
      <c r="BK291" s="107"/>
      <c r="BL291" s="107"/>
      <c r="BM291" s="107"/>
      <c r="BN291" s="107"/>
      <c r="BO291" s="107"/>
      <c r="BP291" s="107"/>
      <c r="BQ291" s="107"/>
      <c r="BR291" s="107"/>
      <c r="BS291" s="107"/>
      <c r="BT291" s="107"/>
      <c r="BU291" s="107"/>
      <c r="BV291" s="107"/>
      <c r="BW291" s="107"/>
      <c r="BX291" s="107"/>
      <c r="BY291" s="107"/>
      <c r="BZ291" s="107"/>
      <c r="CA291" s="107"/>
      <c r="CB291" s="107"/>
      <c r="CC291" s="107"/>
      <c r="CD291" s="107"/>
      <c r="CE291" s="107"/>
      <c r="CF291" s="107"/>
    </row>
    <row r="292" spans="2:84">
      <c r="B292" s="98"/>
      <c r="C292" s="98"/>
      <c r="D292" s="97"/>
      <c r="E292" s="97"/>
      <c r="F292" s="97"/>
      <c r="G292" s="97"/>
      <c r="H292" s="97"/>
      <c r="I292" s="97"/>
      <c r="J292" s="97"/>
      <c r="K292" s="97"/>
      <c r="L292" s="97"/>
      <c r="M292" s="97"/>
      <c r="N292" s="99"/>
      <c r="O292" s="97"/>
      <c r="P292" s="99"/>
      <c r="Q292" s="97"/>
      <c r="R292" s="97"/>
      <c r="S292" s="97"/>
      <c r="T292" s="97"/>
      <c r="U292" s="97"/>
      <c r="V292" s="97"/>
      <c r="W292" s="97"/>
      <c r="X292" s="97"/>
      <c r="Y292" s="97"/>
      <c r="Z292" s="97"/>
      <c r="AA292" s="97"/>
      <c r="AB292" s="97"/>
      <c r="AC292" s="97"/>
      <c r="AD292" s="107"/>
      <c r="AE292" s="107"/>
      <c r="AF292" s="107"/>
      <c r="AG292" s="107"/>
      <c r="AH292" s="107"/>
      <c r="AI292" s="107"/>
      <c r="AJ292" s="107"/>
      <c r="AK292" s="107"/>
      <c r="AL292" s="107"/>
      <c r="AM292" s="107"/>
      <c r="AN292" s="107"/>
      <c r="AO292" s="107"/>
      <c r="AP292" s="107"/>
      <c r="AQ292" s="107"/>
      <c r="AR292" s="107"/>
      <c r="AS292" s="107"/>
      <c r="AT292" s="107"/>
      <c r="AU292" s="107"/>
      <c r="AV292" s="107"/>
      <c r="AW292" s="107"/>
      <c r="AX292" s="107"/>
      <c r="AY292" s="107"/>
      <c r="AZ292" s="107"/>
      <c r="BA292" s="107"/>
      <c r="BB292" s="107"/>
      <c r="BC292" s="107"/>
      <c r="BD292" s="107"/>
      <c r="BE292" s="107"/>
      <c r="BF292" s="107"/>
      <c r="BG292" s="107"/>
      <c r="BH292" s="107"/>
      <c r="BI292" s="107"/>
      <c r="BJ292" s="107"/>
      <c r="BK292" s="107"/>
      <c r="BL292" s="107"/>
      <c r="BM292" s="107"/>
      <c r="BN292" s="107"/>
      <c r="BO292" s="107"/>
      <c r="BP292" s="107"/>
      <c r="BQ292" s="107"/>
      <c r="BR292" s="107"/>
      <c r="BS292" s="107"/>
      <c r="BT292" s="107"/>
      <c r="BU292" s="107"/>
      <c r="BV292" s="107"/>
      <c r="BW292" s="107"/>
      <c r="BX292" s="107"/>
      <c r="BY292" s="107"/>
      <c r="BZ292" s="107"/>
      <c r="CA292" s="107"/>
      <c r="CB292" s="107"/>
      <c r="CC292" s="107"/>
      <c r="CD292" s="107"/>
      <c r="CE292" s="107"/>
      <c r="CF292" s="107"/>
    </row>
    <row r="293" spans="2:84">
      <c r="B293" s="98"/>
      <c r="C293" s="98"/>
      <c r="D293" s="97"/>
      <c r="E293" s="97"/>
      <c r="F293" s="97"/>
      <c r="G293" s="97"/>
      <c r="H293" s="97"/>
      <c r="I293" s="97"/>
      <c r="J293" s="97"/>
      <c r="K293" s="97"/>
      <c r="L293" s="97"/>
      <c r="M293" s="97"/>
      <c r="N293" s="99"/>
      <c r="O293" s="97"/>
      <c r="P293" s="99"/>
      <c r="Q293" s="97"/>
      <c r="R293" s="97"/>
      <c r="S293" s="97"/>
      <c r="T293" s="97"/>
      <c r="U293" s="97"/>
      <c r="V293" s="97"/>
      <c r="W293" s="97"/>
      <c r="X293" s="97"/>
      <c r="Y293" s="97"/>
      <c r="Z293" s="97"/>
      <c r="AA293" s="97"/>
      <c r="AB293" s="97"/>
      <c r="AC293" s="97"/>
      <c r="AD293" s="107"/>
      <c r="AE293" s="107"/>
      <c r="AF293" s="107"/>
      <c r="AG293" s="107"/>
      <c r="AH293" s="107"/>
      <c r="AI293" s="107"/>
      <c r="AJ293" s="107"/>
      <c r="AK293" s="107"/>
      <c r="AL293" s="107"/>
      <c r="AM293" s="107"/>
      <c r="AN293" s="107"/>
      <c r="AO293" s="107"/>
      <c r="AP293" s="107"/>
      <c r="AQ293" s="107"/>
      <c r="AR293" s="107"/>
      <c r="AS293" s="107"/>
      <c r="AT293" s="107"/>
      <c r="AU293" s="107"/>
      <c r="AV293" s="107"/>
      <c r="AW293" s="107"/>
      <c r="AX293" s="107"/>
      <c r="AY293" s="107"/>
      <c r="AZ293" s="107"/>
      <c r="BA293" s="107"/>
      <c r="BB293" s="107"/>
      <c r="BC293" s="107"/>
      <c r="BD293" s="107"/>
      <c r="BE293" s="107"/>
      <c r="BF293" s="107"/>
      <c r="BG293" s="107"/>
      <c r="BH293" s="107"/>
      <c r="BI293" s="107"/>
      <c r="BJ293" s="107"/>
      <c r="BK293" s="107"/>
      <c r="BL293" s="107"/>
      <c r="BM293" s="107"/>
      <c r="BN293" s="107"/>
      <c r="BO293" s="107"/>
      <c r="BP293" s="107"/>
      <c r="BQ293" s="107"/>
      <c r="BR293" s="107"/>
      <c r="BS293" s="107"/>
      <c r="BT293" s="107"/>
      <c r="BU293" s="107"/>
      <c r="BV293" s="107"/>
      <c r="BW293" s="107"/>
      <c r="BX293" s="107"/>
      <c r="BY293" s="107"/>
      <c r="BZ293" s="107"/>
      <c r="CA293" s="107"/>
      <c r="CB293" s="107"/>
      <c r="CC293" s="107"/>
      <c r="CD293" s="107"/>
      <c r="CE293" s="107"/>
      <c r="CF293" s="107"/>
    </row>
    <row r="294" spans="2:84">
      <c r="B294" s="98"/>
      <c r="C294" s="98"/>
      <c r="D294" s="97"/>
      <c r="E294" s="97"/>
      <c r="F294" s="97"/>
      <c r="G294" s="97"/>
      <c r="H294" s="97"/>
      <c r="I294" s="97"/>
      <c r="J294" s="97"/>
      <c r="K294" s="97"/>
      <c r="L294" s="97"/>
      <c r="M294" s="97"/>
      <c r="N294" s="99"/>
      <c r="O294" s="97"/>
      <c r="P294" s="99"/>
      <c r="Q294" s="97"/>
      <c r="R294" s="97"/>
      <c r="S294" s="97"/>
      <c r="T294" s="97"/>
      <c r="U294" s="97"/>
      <c r="V294" s="97"/>
      <c r="W294" s="97"/>
      <c r="X294" s="97"/>
      <c r="Y294" s="97"/>
      <c r="Z294" s="97"/>
      <c r="AA294" s="97"/>
      <c r="AB294" s="97"/>
      <c r="AC294" s="97"/>
      <c r="AD294" s="107"/>
      <c r="AE294" s="107"/>
      <c r="AF294" s="107"/>
      <c r="AG294" s="107"/>
      <c r="AH294" s="107"/>
      <c r="AI294" s="107"/>
      <c r="AJ294" s="107"/>
      <c r="AK294" s="107"/>
      <c r="AL294" s="107"/>
      <c r="AM294" s="107"/>
      <c r="AN294" s="107"/>
      <c r="AO294" s="107"/>
      <c r="AP294" s="107"/>
      <c r="AQ294" s="107"/>
      <c r="AR294" s="107"/>
      <c r="AS294" s="107"/>
      <c r="AT294" s="107"/>
      <c r="AU294" s="107"/>
      <c r="AV294" s="107"/>
      <c r="AW294" s="107"/>
      <c r="AX294" s="107"/>
      <c r="AY294" s="107"/>
      <c r="AZ294" s="107"/>
      <c r="BA294" s="107"/>
      <c r="BB294" s="107"/>
      <c r="BC294" s="107"/>
      <c r="BD294" s="107"/>
      <c r="BE294" s="107"/>
      <c r="BF294" s="107"/>
      <c r="BG294" s="107"/>
      <c r="BH294" s="107"/>
      <c r="BI294" s="107"/>
      <c r="BJ294" s="107"/>
      <c r="BK294" s="107"/>
      <c r="BL294" s="107"/>
      <c r="BM294" s="107"/>
      <c r="BN294" s="107"/>
      <c r="BO294" s="107"/>
      <c r="BP294" s="107"/>
      <c r="BQ294" s="107"/>
      <c r="BR294" s="107"/>
      <c r="BS294" s="107"/>
      <c r="BT294" s="107"/>
      <c r="BU294" s="107"/>
      <c r="BV294" s="107"/>
      <c r="BW294" s="107"/>
      <c r="BX294" s="107"/>
      <c r="BY294" s="107"/>
      <c r="BZ294" s="107"/>
      <c r="CA294" s="107"/>
      <c r="CB294" s="107"/>
      <c r="CC294" s="107"/>
      <c r="CD294" s="107"/>
      <c r="CE294" s="107"/>
      <c r="CF294" s="107"/>
    </row>
    <row r="295" spans="2:84">
      <c r="B295" s="98"/>
      <c r="C295" s="98"/>
      <c r="D295" s="97"/>
      <c r="E295" s="97"/>
      <c r="F295" s="97"/>
      <c r="G295" s="97"/>
      <c r="H295" s="97"/>
      <c r="I295" s="97"/>
      <c r="J295" s="97"/>
      <c r="K295" s="97"/>
      <c r="L295" s="97"/>
      <c r="M295" s="97"/>
      <c r="N295" s="99"/>
      <c r="O295" s="97"/>
      <c r="P295" s="99"/>
      <c r="Q295" s="97"/>
      <c r="R295" s="97"/>
      <c r="S295" s="97"/>
      <c r="T295" s="97"/>
      <c r="U295" s="97"/>
      <c r="V295" s="97"/>
      <c r="W295" s="97"/>
      <c r="X295" s="97"/>
      <c r="Y295" s="97"/>
      <c r="Z295" s="97"/>
      <c r="AA295" s="97"/>
      <c r="AB295" s="97"/>
      <c r="AC295" s="97"/>
      <c r="AD295" s="107"/>
      <c r="AE295" s="107"/>
      <c r="AF295" s="107"/>
      <c r="AG295" s="107"/>
      <c r="AH295" s="107"/>
      <c r="AI295" s="107"/>
      <c r="AJ295" s="107"/>
      <c r="AK295" s="107"/>
      <c r="AL295" s="107"/>
      <c r="AM295" s="107"/>
      <c r="AN295" s="107"/>
      <c r="AO295" s="107"/>
      <c r="AP295" s="107"/>
      <c r="AQ295" s="107"/>
      <c r="AR295" s="107"/>
      <c r="AS295" s="107"/>
      <c r="AT295" s="107"/>
      <c r="AU295" s="107"/>
      <c r="AV295" s="107"/>
      <c r="AW295" s="107"/>
      <c r="AX295" s="107"/>
      <c r="AY295" s="107"/>
      <c r="AZ295" s="107"/>
      <c r="BA295" s="107"/>
      <c r="BB295" s="107"/>
      <c r="BC295" s="107"/>
      <c r="BD295" s="107"/>
      <c r="BE295" s="107"/>
      <c r="BF295" s="107"/>
      <c r="BG295" s="107"/>
      <c r="BH295" s="107"/>
      <c r="BI295" s="107"/>
      <c r="BJ295" s="107"/>
      <c r="BK295" s="107"/>
      <c r="BL295" s="107"/>
      <c r="BM295" s="107"/>
      <c r="BN295" s="107"/>
      <c r="BO295" s="107"/>
      <c r="BP295" s="107"/>
      <c r="BQ295" s="107"/>
      <c r="BR295" s="107"/>
      <c r="BS295" s="107"/>
      <c r="BT295" s="107"/>
      <c r="BU295" s="107"/>
      <c r="BV295" s="107"/>
      <c r="BW295" s="107"/>
      <c r="BX295" s="107"/>
      <c r="BY295" s="107"/>
      <c r="BZ295" s="107"/>
      <c r="CA295" s="107"/>
      <c r="CB295" s="107"/>
      <c r="CC295" s="107"/>
      <c r="CD295" s="107"/>
      <c r="CE295" s="107"/>
      <c r="CF295" s="107"/>
    </row>
    <row r="296" spans="2:84">
      <c r="B296" s="98"/>
      <c r="C296" s="98"/>
      <c r="D296" s="97"/>
      <c r="E296" s="97"/>
      <c r="F296" s="97"/>
      <c r="G296" s="97"/>
      <c r="H296" s="97"/>
      <c r="I296" s="97"/>
      <c r="J296" s="97"/>
      <c r="K296" s="97"/>
      <c r="L296" s="97"/>
      <c r="M296" s="97"/>
      <c r="N296" s="99"/>
      <c r="O296" s="97"/>
      <c r="P296" s="99"/>
      <c r="Q296" s="97"/>
      <c r="R296" s="97"/>
      <c r="S296" s="97"/>
      <c r="T296" s="97"/>
      <c r="U296" s="97"/>
      <c r="V296" s="97"/>
      <c r="W296" s="97"/>
      <c r="X296" s="97"/>
      <c r="Y296" s="97"/>
      <c r="Z296" s="97"/>
      <c r="AA296" s="97"/>
      <c r="AB296" s="97"/>
      <c r="AC296" s="97"/>
      <c r="AD296" s="107"/>
      <c r="AE296" s="107"/>
      <c r="AF296" s="107"/>
      <c r="AG296" s="107"/>
      <c r="AH296" s="107"/>
      <c r="AI296" s="107"/>
      <c r="AJ296" s="107"/>
      <c r="AK296" s="107"/>
      <c r="AL296" s="107"/>
      <c r="AM296" s="107"/>
      <c r="AN296" s="107"/>
      <c r="AO296" s="107"/>
      <c r="AP296" s="107"/>
      <c r="AQ296" s="107"/>
      <c r="AR296" s="107"/>
      <c r="AS296" s="107"/>
      <c r="AT296" s="107"/>
      <c r="AU296" s="107"/>
      <c r="AV296" s="107"/>
      <c r="AW296" s="107"/>
      <c r="AX296" s="107"/>
      <c r="AY296" s="107"/>
      <c r="AZ296" s="107"/>
      <c r="BA296" s="107"/>
      <c r="BB296" s="107"/>
      <c r="BC296" s="107"/>
      <c r="BD296" s="107"/>
      <c r="BE296" s="107"/>
      <c r="BF296" s="107"/>
      <c r="BG296" s="107"/>
      <c r="BH296" s="107"/>
      <c r="BI296" s="107"/>
      <c r="BJ296" s="107"/>
      <c r="BK296" s="107"/>
      <c r="BL296" s="107"/>
      <c r="BM296" s="107"/>
      <c r="BN296" s="107"/>
      <c r="BO296" s="107"/>
      <c r="BP296" s="107"/>
      <c r="BQ296" s="107"/>
      <c r="BR296" s="107"/>
      <c r="BS296" s="107"/>
      <c r="BT296" s="107"/>
      <c r="BU296" s="107"/>
      <c r="BV296" s="107"/>
      <c r="BW296" s="107"/>
      <c r="BX296" s="107"/>
      <c r="BY296" s="107"/>
      <c r="BZ296" s="107"/>
      <c r="CA296" s="107"/>
      <c r="CB296" s="107"/>
      <c r="CC296" s="107"/>
      <c r="CD296" s="107"/>
      <c r="CE296" s="107"/>
      <c r="CF296" s="107"/>
    </row>
    <row r="297" spans="2:84">
      <c r="B297" s="98"/>
      <c r="C297" s="98"/>
      <c r="D297" s="97"/>
      <c r="E297" s="97"/>
      <c r="F297" s="97"/>
      <c r="G297" s="97"/>
      <c r="H297" s="97"/>
      <c r="I297" s="97"/>
      <c r="J297" s="97"/>
      <c r="K297" s="97"/>
      <c r="L297" s="97"/>
      <c r="M297" s="97"/>
      <c r="N297" s="99"/>
      <c r="O297" s="97"/>
      <c r="P297" s="99"/>
      <c r="Q297" s="97"/>
      <c r="R297" s="97"/>
      <c r="S297" s="97"/>
      <c r="T297" s="97"/>
      <c r="U297" s="97"/>
      <c r="V297" s="97"/>
      <c r="W297" s="97"/>
      <c r="X297" s="97"/>
      <c r="Y297" s="97"/>
      <c r="Z297" s="97"/>
      <c r="AA297" s="97"/>
      <c r="AB297" s="97"/>
      <c r="AC297" s="97"/>
      <c r="AD297" s="107"/>
      <c r="AE297" s="107"/>
      <c r="AF297" s="107"/>
      <c r="AG297" s="107"/>
      <c r="AH297" s="107"/>
      <c r="AI297" s="107"/>
      <c r="AJ297" s="107"/>
      <c r="AK297" s="107"/>
      <c r="AL297" s="107"/>
      <c r="AM297" s="107"/>
      <c r="AN297" s="107"/>
      <c r="AO297" s="107"/>
      <c r="AP297" s="107"/>
      <c r="AQ297" s="107"/>
      <c r="AR297" s="107"/>
      <c r="AS297" s="107"/>
      <c r="AT297" s="107"/>
      <c r="AU297" s="107"/>
      <c r="AV297" s="107"/>
      <c r="AW297" s="107"/>
      <c r="AX297" s="107"/>
      <c r="AY297" s="107"/>
      <c r="AZ297" s="107"/>
      <c r="BA297" s="107"/>
      <c r="BB297" s="107"/>
      <c r="BC297" s="107"/>
      <c r="BD297" s="107"/>
      <c r="BE297" s="107"/>
      <c r="BF297" s="107"/>
      <c r="BG297" s="107"/>
      <c r="BH297" s="107"/>
      <c r="BI297" s="107"/>
      <c r="BJ297" s="107"/>
      <c r="BK297" s="107"/>
      <c r="BL297" s="107"/>
      <c r="BM297" s="107"/>
      <c r="BN297" s="107"/>
      <c r="BO297" s="107"/>
      <c r="BP297" s="107"/>
      <c r="BQ297" s="107"/>
      <c r="BR297" s="107"/>
      <c r="BS297" s="107"/>
      <c r="BT297" s="107"/>
      <c r="BU297" s="107"/>
      <c r="BV297" s="107"/>
      <c r="BW297" s="107"/>
      <c r="BX297" s="107"/>
      <c r="BY297" s="107"/>
      <c r="BZ297" s="107"/>
      <c r="CA297" s="107"/>
      <c r="CB297" s="107"/>
      <c r="CC297" s="107"/>
      <c r="CD297" s="107"/>
      <c r="CE297" s="107"/>
      <c r="CF297" s="107"/>
    </row>
    <row r="298" spans="2:84">
      <c r="B298" s="98"/>
      <c r="C298" s="98"/>
      <c r="D298" s="97"/>
      <c r="E298" s="97"/>
      <c r="F298" s="97"/>
      <c r="G298" s="97"/>
      <c r="H298" s="97"/>
      <c r="I298" s="97"/>
      <c r="J298" s="97"/>
      <c r="K298" s="97"/>
      <c r="L298" s="97"/>
      <c r="M298" s="97"/>
      <c r="N298" s="99"/>
      <c r="O298" s="97"/>
      <c r="P298" s="99"/>
      <c r="Q298" s="97"/>
      <c r="R298" s="97"/>
      <c r="S298" s="97"/>
      <c r="T298" s="97"/>
      <c r="U298" s="97"/>
      <c r="V298" s="97"/>
      <c r="W298" s="97"/>
      <c r="X298" s="97"/>
      <c r="Y298" s="97"/>
      <c r="Z298" s="97"/>
      <c r="AA298" s="97"/>
      <c r="AB298" s="97"/>
      <c r="AC298" s="97"/>
      <c r="AD298" s="107"/>
      <c r="AE298" s="107"/>
      <c r="AF298" s="107"/>
      <c r="AG298" s="107"/>
      <c r="AH298" s="107"/>
      <c r="AI298" s="107"/>
      <c r="AJ298" s="107"/>
      <c r="AK298" s="107"/>
      <c r="AL298" s="107"/>
      <c r="AM298" s="107"/>
      <c r="AN298" s="107"/>
      <c r="AO298" s="107"/>
      <c r="AP298" s="107"/>
      <c r="AQ298" s="107"/>
      <c r="AR298" s="107"/>
      <c r="AS298" s="107"/>
      <c r="AT298" s="107"/>
      <c r="AU298" s="107"/>
      <c r="AV298" s="107"/>
      <c r="AW298" s="107"/>
      <c r="AX298" s="107"/>
      <c r="AY298" s="107"/>
      <c r="AZ298" s="107"/>
      <c r="BA298" s="107"/>
      <c r="BB298" s="107"/>
      <c r="BC298" s="107"/>
      <c r="BD298" s="107"/>
      <c r="BE298" s="107"/>
      <c r="BF298" s="107"/>
      <c r="BG298" s="107"/>
      <c r="BH298" s="107"/>
      <c r="BI298" s="107"/>
      <c r="BJ298" s="107"/>
      <c r="BK298" s="107"/>
      <c r="BL298" s="107"/>
      <c r="BM298" s="107"/>
      <c r="BN298" s="107"/>
      <c r="BO298" s="107"/>
      <c r="BP298" s="107"/>
      <c r="BQ298" s="107"/>
      <c r="BR298" s="107"/>
      <c r="BS298" s="107"/>
      <c r="BT298" s="107"/>
      <c r="BU298" s="107"/>
      <c r="BV298" s="107"/>
      <c r="BW298" s="107"/>
      <c r="BX298" s="107"/>
      <c r="BY298" s="107"/>
      <c r="BZ298" s="107"/>
      <c r="CA298" s="107"/>
      <c r="CB298" s="107"/>
      <c r="CC298" s="107"/>
      <c r="CD298" s="107"/>
      <c r="CE298" s="107"/>
      <c r="CF298" s="107"/>
    </row>
    <row r="299" spans="2:84">
      <c r="B299" s="98"/>
      <c r="C299" s="98"/>
      <c r="D299" s="97"/>
      <c r="E299" s="97"/>
      <c r="F299" s="97"/>
      <c r="G299" s="97"/>
      <c r="H299" s="97"/>
      <c r="I299" s="97"/>
      <c r="J299" s="97"/>
      <c r="K299" s="97"/>
      <c r="L299" s="97"/>
      <c r="M299" s="97"/>
      <c r="N299" s="99"/>
      <c r="O299" s="97"/>
      <c r="P299" s="99"/>
      <c r="Q299" s="97"/>
      <c r="R299" s="97"/>
      <c r="S299" s="97"/>
      <c r="T299" s="97"/>
      <c r="U299" s="97"/>
      <c r="V299" s="97"/>
      <c r="W299" s="97"/>
      <c r="X299" s="97"/>
      <c r="Y299" s="97"/>
      <c r="Z299" s="97"/>
      <c r="AA299" s="97"/>
      <c r="AB299" s="97"/>
      <c r="AC299" s="97"/>
      <c r="AD299" s="107"/>
      <c r="AE299" s="107"/>
      <c r="AF299" s="107"/>
      <c r="AG299" s="107"/>
      <c r="AH299" s="107"/>
      <c r="AI299" s="107"/>
      <c r="AJ299" s="107"/>
      <c r="AK299" s="107"/>
      <c r="AL299" s="107"/>
      <c r="AM299" s="107"/>
      <c r="AN299" s="107"/>
      <c r="AO299" s="107"/>
      <c r="AP299" s="107"/>
      <c r="AQ299" s="107"/>
      <c r="AR299" s="107"/>
      <c r="AS299" s="107"/>
      <c r="AT299" s="107"/>
      <c r="AU299" s="107"/>
      <c r="AV299" s="107"/>
      <c r="AW299" s="107"/>
      <c r="AX299" s="107"/>
      <c r="AY299" s="107"/>
      <c r="AZ299" s="107"/>
      <c r="BA299" s="107"/>
      <c r="BB299" s="107"/>
      <c r="BC299" s="107"/>
      <c r="BD299" s="107"/>
      <c r="BE299" s="107"/>
      <c r="BF299" s="107"/>
      <c r="BG299" s="107"/>
      <c r="BH299" s="107"/>
      <c r="BI299" s="107"/>
      <c r="BJ299" s="107"/>
      <c r="BK299" s="107"/>
      <c r="BL299" s="107"/>
      <c r="BM299" s="107"/>
      <c r="BN299" s="107"/>
      <c r="BO299" s="107"/>
      <c r="BP299" s="107"/>
      <c r="BQ299" s="107"/>
      <c r="BR299" s="107"/>
      <c r="BS299" s="107"/>
      <c r="BT299" s="107"/>
      <c r="BU299" s="107"/>
      <c r="BV299" s="107"/>
      <c r="BW299" s="107"/>
      <c r="BX299" s="107"/>
      <c r="BY299" s="107"/>
      <c r="BZ299" s="107"/>
      <c r="CA299" s="107"/>
      <c r="CB299" s="107"/>
      <c r="CC299" s="107"/>
      <c r="CD299" s="107"/>
      <c r="CE299" s="107"/>
      <c r="CF299" s="107"/>
    </row>
    <row r="300" spans="2:84">
      <c r="B300" s="98"/>
      <c r="C300" s="98"/>
      <c r="D300" s="97"/>
      <c r="E300" s="97"/>
      <c r="F300" s="97"/>
      <c r="G300" s="97"/>
      <c r="H300" s="97"/>
      <c r="I300" s="97"/>
      <c r="J300" s="97"/>
      <c r="K300" s="97"/>
      <c r="L300" s="97"/>
      <c r="M300" s="97"/>
      <c r="N300" s="99"/>
      <c r="O300" s="97"/>
      <c r="P300" s="99"/>
      <c r="Q300" s="97"/>
      <c r="R300" s="97"/>
      <c r="S300" s="97"/>
      <c r="T300" s="97"/>
      <c r="U300" s="97"/>
      <c r="V300" s="97"/>
      <c r="W300" s="97"/>
      <c r="X300" s="97"/>
      <c r="Y300" s="97"/>
      <c r="Z300" s="97"/>
      <c r="AA300" s="97"/>
      <c r="AB300" s="97"/>
      <c r="AC300" s="97"/>
      <c r="AD300" s="107"/>
      <c r="AE300" s="107"/>
      <c r="AF300" s="107"/>
      <c r="AG300" s="107"/>
      <c r="AH300" s="107"/>
      <c r="AI300" s="107"/>
      <c r="AJ300" s="107"/>
      <c r="AK300" s="107"/>
      <c r="AL300" s="107"/>
      <c r="AM300" s="107"/>
      <c r="AN300" s="107"/>
      <c r="AO300" s="107"/>
      <c r="AP300" s="107"/>
      <c r="AQ300" s="107"/>
      <c r="AR300" s="107"/>
      <c r="AS300" s="107"/>
      <c r="AT300" s="107"/>
      <c r="AU300" s="107"/>
      <c r="AV300" s="107"/>
      <c r="AW300" s="107"/>
      <c r="AX300" s="107"/>
      <c r="AY300" s="107"/>
      <c r="AZ300" s="107"/>
      <c r="BA300" s="107"/>
      <c r="BB300" s="107"/>
      <c r="BC300" s="107"/>
      <c r="BD300" s="107"/>
      <c r="BE300" s="107"/>
      <c r="BF300" s="107"/>
      <c r="BG300" s="107"/>
      <c r="BH300" s="107"/>
      <c r="BI300" s="107"/>
      <c r="BJ300" s="107"/>
      <c r="BK300" s="107"/>
      <c r="BL300" s="107"/>
      <c r="BM300" s="107"/>
      <c r="BN300" s="107"/>
      <c r="BO300" s="107"/>
      <c r="BP300" s="107"/>
      <c r="BQ300" s="107"/>
      <c r="BR300" s="107"/>
      <c r="BS300" s="107"/>
      <c r="BT300" s="107"/>
      <c r="BU300" s="107"/>
      <c r="BV300" s="107"/>
      <c r="BW300" s="107"/>
      <c r="BX300" s="107"/>
      <c r="BY300" s="107"/>
      <c r="BZ300" s="107"/>
      <c r="CA300" s="107"/>
      <c r="CB300" s="107"/>
      <c r="CC300" s="107"/>
      <c r="CD300" s="107"/>
      <c r="CE300" s="107"/>
      <c r="CF300" s="107"/>
    </row>
    <row r="301" spans="2:84">
      <c r="B301" s="98"/>
      <c r="C301" s="98"/>
      <c r="D301" s="97"/>
      <c r="E301" s="97"/>
      <c r="F301" s="97"/>
      <c r="G301" s="97"/>
      <c r="H301" s="97"/>
      <c r="I301" s="97"/>
      <c r="J301" s="97"/>
      <c r="K301" s="97"/>
      <c r="L301" s="97"/>
      <c r="M301" s="97"/>
      <c r="N301" s="99"/>
      <c r="O301" s="97"/>
      <c r="P301" s="99"/>
      <c r="Q301" s="97"/>
      <c r="R301" s="97"/>
      <c r="S301" s="97"/>
      <c r="T301" s="97"/>
      <c r="U301" s="97"/>
      <c r="V301" s="97"/>
      <c r="W301" s="97"/>
      <c r="X301" s="97"/>
      <c r="Y301" s="97"/>
      <c r="Z301" s="97"/>
      <c r="AA301" s="97"/>
      <c r="AB301" s="97"/>
      <c r="AC301" s="97"/>
      <c r="AD301" s="107"/>
      <c r="AE301" s="107"/>
      <c r="AF301" s="107"/>
      <c r="AG301" s="107"/>
      <c r="AH301" s="107"/>
      <c r="AI301" s="107"/>
      <c r="AJ301" s="107"/>
      <c r="AK301" s="107"/>
      <c r="AL301" s="107"/>
      <c r="AM301" s="107"/>
      <c r="AN301" s="107"/>
      <c r="AO301" s="107"/>
      <c r="AP301" s="107"/>
      <c r="AQ301" s="107"/>
      <c r="AR301" s="107"/>
      <c r="AS301" s="107"/>
      <c r="AT301" s="107"/>
      <c r="AU301" s="107"/>
      <c r="AV301" s="107"/>
      <c r="AW301" s="107"/>
      <c r="AX301" s="107"/>
      <c r="AY301" s="107"/>
      <c r="AZ301" s="107"/>
      <c r="BA301" s="107"/>
      <c r="BB301" s="107"/>
      <c r="BC301" s="107"/>
      <c r="BD301" s="107"/>
      <c r="BE301" s="107"/>
      <c r="BF301" s="107"/>
      <c r="BG301" s="107"/>
      <c r="BH301" s="107"/>
      <c r="BI301" s="107"/>
      <c r="BJ301" s="107"/>
      <c r="BK301" s="107"/>
      <c r="BL301" s="107"/>
      <c r="BM301" s="107"/>
      <c r="BN301" s="107"/>
      <c r="BO301" s="107"/>
      <c r="BP301" s="107"/>
      <c r="BQ301" s="107"/>
      <c r="BR301" s="107"/>
      <c r="BS301" s="107"/>
      <c r="BT301" s="107"/>
      <c r="BU301" s="107"/>
      <c r="BV301" s="107"/>
      <c r="BW301" s="107"/>
      <c r="BX301" s="107"/>
      <c r="BY301" s="107"/>
      <c r="BZ301" s="107"/>
      <c r="CA301" s="107"/>
      <c r="CB301" s="107"/>
      <c r="CC301" s="107"/>
      <c r="CD301" s="107"/>
      <c r="CE301" s="107"/>
      <c r="CF301" s="107"/>
    </row>
    <row r="302" spans="2:84">
      <c r="B302" s="98"/>
      <c r="C302" s="98"/>
      <c r="D302" s="97"/>
      <c r="E302" s="97"/>
      <c r="F302" s="97"/>
      <c r="G302" s="97"/>
      <c r="H302" s="97"/>
      <c r="I302" s="97"/>
      <c r="J302" s="97"/>
      <c r="K302" s="97"/>
      <c r="L302" s="97"/>
      <c r="M302" s="97"/>
      <c r="N302" s="99"/>
      <c r="O302" s="97"/>
      <c r="P302" s="99"/>
      <c r="Q302" s="97"/>
      <c r="R302" s="97"/>
      <c r="S302" s="97"/>
      <c r="T302" s="97"/>
      <c r="U302" s="97"/>
      <c r="V302" s="97"/>
      <c r="W302" s="97"/>
      <c r="X302" s="97"/>
      <c r="Y302" s="97"/>
      <c r="Z302" s="97"/>
      <c r="AA302" s="97"/>
      <c r="AB302" s="97"/>
      <c r="AC302" s="97"/>
      <c r="AD302" s="107"/>
      <c r="AE302" s="107"/>
      <c r="AF302" s="107"/>
      <c r="AG302" s="107"/>
      <c r="AH302" s="107"/>
      <c r="AI302" s="107"/>
      <c r="AJ302" s="107"/>
      <c r="AK302" s="107"/>
      <c r="AL302" s="107"/>
      <c r="AM302" s="107"/>
      <c r="AN302" s="107"/>
      <c r="AO302" s="107"/>
      <c r="AP302" s="107"/>
      <c r="AQ302" s="107"/>
      <c r="AR302" s="107"/>
      <c r="AS302" s="107"/>
      <c r="AT302" s="107"/>
      <c r="AU302" s="107"/>
      <c r="AV302" s="107"/>
      <c r="AW302" s="107"/>
      <c r="AX302" s="107"/>
      <c r="AY302" s="107"/>
      <c r="AZ302" s="107"/>
      <c r="BA302" s="107"/>
      <c r="BB302" s="107"/>
      <c r="BC302" s="107"/>
      <c r="BD302" s="107"/>
      <c r="BE302" s="107"/>
      <c r="BF302" s="107"/>
      <c r="BG302" s="107"/>
      <c r="BH302" s="107"/>
      <c r="BI302" s="107"/>
      <c r="BJ302" s="107"/>
      <c r="BK302" s="107"/>
      <c r="BL302" s="107"/>
      <c r="BM302" s="107"/>
      <c r="BN302" s="107"/>
      <c r="BO302" s="107"/>
      <c r="BP302" s="107"/>
      <c r="BQ302" s="107"/>
      <c r="BR302" s="107"/>
      <c r="BS302" s="107"/>
      <c r="BT302" s="107"/>
      <c r="BU302" s="107"/>
      <c r="BV302" s="107"/>
      <c r="BW302" s="107"/>
      <c r="BX302" s="107"/>
      <c r="BY302" s="107"/>
      <c r="BZ302" s="107"/>
      <c r="CA302" s="107"/>
      <c r="CB302" s="107"/>
      <c r="CC302" s="107"/>
      <c r="CD302" s="107"/>
      <c r="CE302" s="107"/>
      <c r="CF302" s="107"/>
    </row>
    <row r="303" spans="2:84">
      <c r="B303" s="98"/>
      <c r="C303" s="98"/>
      <c r="D303" s="97"/>
      <c r="E303" s="97"/>
      <c r="F303" s="97"/>
      <c r="G303" s="97"/>
      <c r="H303" s="97"/>
      <c r="I303" s="97"/>
      <c r="J303" s="97"/>
      <c r="K303" s="97"/>
      <c r="L303" s="97"/>
      <c r="M303" s="97"/>
      <c r="N303" s="99"/>
      <c r="O303" s="97"/>
      <c r="P303" s="99"/>
      <c r="Q303" s="97"/>
      <c r="R303" s="97"/>
      <c r="S303" s="97"/>
      <c r="T303" s="97"/>
      <c r="U303" s="97"/>
      <c r="V303" s="97"/>
      <c r="W303" s="97"/>
      <c r="X303" s="97"/>
      <c r="Y303" s="97"/>
      <c r="Z303" s="97"/>
      <c r="AA303" s="97"/>
      <c r="AB303" s="97"/>
      <c r="AC303" s="97"/>
      <c r="AD303" s="107"/>
      <c r="AE303" s="107"/>
      <c r="AF303" s="107"/>
      <c r="AG303" s="107"/>
      <c r="AH303" s="107"/>
      <c r="AI303" s="107"/>
      <c r="AJ303" s="107"/>
      <c r="AK303" s="107"/>
      <c r="AL303" s="107"/>
      <c r="AM303" s="107"/>
      <c r="AN303" s="107"/>
      <c r="AO303" s="107"/>
      <c r="AP303" s="107"/>
      <c r="AQ303" s="107"/>
      <c r="AR303" s="107"/>
      <c r="AS303" s="107"/>
      <c r="AT303" s="107"/>
      <c r="AU303" s="107"/>
      <c r="AV303" s="107"/>
      <c r="AW303" s="107"/>
      <c r="AX303" s="107"/>
      <c r="AY303" s="107"/>
      <c r="AZ303" s="107"/>
      <c r="BA303" s="107"/>
      <c r="BB303" s="107"/>
      <c r="BC303" s="107"/>
      <c r="BD303" s="107"/>
      <c r="BE303" s="107"/>
      <c r="BF303" s="107"/>
      <c r="BG303" s="107"/>
      <c r="BH303" s="107"/>
      <c r="BI303" s="107"/>
      <c r="BJ303" s="107"/>
      <c r="BK303" s="107"/>
      <c r="BL303" s="107"/>
      <c r="BM303" s="107"/>
      <c r="BN303" s="107"/>
      <c r="BO303" s="107"/>
      <c r="BP303" s="107"/>
      <c r="BQ303" s="107"/>
      <c r="BR303" s="107"/>
      <c r="BS303" s="107"/>
      <c r="BT303" s="107"/>
      <c r="BU303" s="107"/>
      <c r="BV303" s="107"/>
      <c r="BW303" s="107"/>
      <c r="BX303" s="107"/>
      <c r="BY303" s="107"/>
      <c r="BZ303" s="107"/>
      <c r="CA303" s="107"/>
      <c r="CB303" s="107"/>
      <c r="CC303" s="107"/>
      <c r="CD303" s="107"/>
      <c r="CE303" s="107"/>
      <c r="CF303" s="107"/>
    </row>
    <row r="304" spans="2:84">
      <c r="B304" s="98"/>
      <c r="C304" s="98"/>
      <c r="D304" s="97"/>
      <c r="E304" s="97"/>
      <c r="F304" s="97"/>
      <c r="G304" s="97"/>
      <c r="H304" s="97"/>
      <c r="I304" s="97"/>
      <c r="J304" s="97"/>
      <c r="K304" s="97"/>
      <c r="L304" s="97"/>
      <c r="M304" s="97"/>
      <c r="N304" s="99"/>
      <c r="O304" s="97"/>
      <c r="P304" s="99"/>
      <c r="Q304" s="97"/>
      <c r="R304" s="97"/>
      <c r="S304" s="97"/>
      <c r="T304" s="97"/>
      <c r="U304" s="97"/>
      <c r="V304" s="97"/>
      <c r="W304" s="97"/>
      <c r="X304" s="97"/>
      <c r="Y304" s="97"/>
      <c r="Z304" s="97"/>
      <c r="AA304" s="97"/>
      <c r="AB304" s="97"/>
      <c r="AC304" s="97"/>
      <c r="AD304" s="107"/>
      <c r="AE304" s="107"/>
      <c r="AF304" s="107"/>
      <c r="AG304" s="107"/>
      <c r="AH304" s="107"/>
      <c r="AI304" s="107"/>
      <c r="AJ304" s="107"/>
      <c r="AK304" s="107"/>
      <c r="AL304" s="107"/>
      <c r="AM304" s="107"/>
      <c r="AN304" s="107"/>
      <c r="AO304" s="107"/>
      <c r="AP304" s="107"/>
      <c r="AQ304" s="107"/>
      <c r="AR304" s="107"/>
      <c r="AS304" s="107"/>
      <c r="AT304" s="107"/>
      <c r="AU304" s="107"/>
      <c r="AV304" s="107"/>
      <c r="AW304" s="107"/>
      <c r="AX304" s="107"/>
      <c r="AY304" s="107"/>
      <c r="AZ304" s="107"/>
      <c r="BA304" s="107"/>
      <c r="BB304" s="107"/>
      <c r="BC304" s="107"/>
      <c r="BD304" s="107"/>
      <c r="BE304" s="107"/>
      <c r="BF304" s="107"/>
      <c r="BG304" s="107"/>
      <c r="BH304" s="107"/>
      <c r="BI304" s="107"/>
      <c r="BJ304" s="107"/>
      <c r="BK304" s="107"/>
      <c r="BL304" s="107"/>
      <c r="BM304" s="107"/>
      <c r="BN304" s="107"/>
      <c r="BO304" s="107"/>
      <c r="BP304" s="107"/>
      <c r="BQ304" s="107"/>
      <c r="BR304" s="107"/>
      <c r="BS304" s="107"/>
      <c r="BT304" s="107"/>
      <c r="BU304" s="107"/>
      <c r="BV304" s="107"/>
      <c r="BW304" s="107"/>
      <c r="BX304" s="107"/>
      <c r="BY304" s="107"/>
      <c r="BZ304" s="107"/>
      <c r="CA304" s="107"/>
      <c r="CB304" s="107"/>
      <c r="CC304" s="107"/>
      <c r="CD304" s="107"/>
      <c r="CE304" s="107"/>
      <c r="CF304" s="107"/>
    </row>
    <row r="305" spans="2:84">
      <c r="B305" s="98"/>
      <c r="C305" s="98"/>
      <c r="D305" s="97"/>
      <c r="E305" s="97"/>
      <c r="F305" s="97"/>
      <c r="G305" s="97"/>
      <c r="H305" s="97"/>
      <c r="I305" s="97"/>
      <c r="J305" s="97"/>
      <c r="K305" s="97"/>
      <c r="L305" s="97"/>
      <c r="M305" s="97"/>
      <c r="N305" s="99"/>
      <c r="O305" s="97"/>
      <c r="P305" s="99"/>
      <c r="Q305" s="97"/>
      <c r="R305" s="97"/>
      <c r="S305" s="97"/>
      <c r="T305" s="97"/>
      <c r="U305" s="97"/>
      <c r="V305" s="97"/>
      <c r="W305" s="97"/>
      <c r="X305" s="97"/>
      <c r="Y305" s="97"/>
      <c r="Z305" s="97"/>
      <c r="AA305" s="97"/>
      <c r="AB305" s="97"/>
      <c r="AC305" s="97"/>
      <c r="AD305" s="107"/>
      <c r="AE305" s="107"/>
      <c r="AF305" s="107"/>
      <c r="AG305" s="107"/>
      <c r="AH305" s="107"/>
      <c r="AI305" s="107"/>
      <c r="AJ305" s="107"/>
      <c r="AK305" s="107"/>
      <c r="AL305" s="107"/>
      <c r="AM305" s="107"/>
      <c r="AN305" s="107"/>
      <c r="AO305" s="107"/>
      <c r="AP305" s="107"/>
      <c r="AQ305" s="107"/>
      <c r="AR305" s="107"/>
      <c r="AS305" s="107"/>
      <c r="AT305" s="107"/>
      <c r="AU305" s="107"/>
      <c r="AV305" s="107"/>
      <c r="AW305" s="107"/>
      <c r="AX305" s="107"/>
      <c r="AY305" s="107"/>
      <c r="AZ305" s="107"/>
      <c r="BA305" s="107"/>
      <c r="BB305" s="107"/>
      <c r="BC305" s="107"/>
      <c r="BD305" s="107"/>
      <c r="BE305" s="107"/>
      <c r="BF305" s="107"/>
      <c r="BG305" s="107"/>
      <c r="BH305" s="107"/>
      <c r="BI305" s="107"/>
      <c r="BJ305" s="107"/>
      <c r="BK305" s="107"/>
      <c r="BL305" s="107"/>
      <c r="BM305" s="107"/>
      <c r="BN305" s="107"/>
      <c r="BO305" s="107"/>
      <c r="BP305" s="107"/>
      <c r="BQ305" s="107"/>
      <c r="BR305" s="107"/>
      <c r="BS305" s="107"/>
      <c r="BT305" s="107"/>
      <c r="BU305" s="107"/>
      <c r="BV305" s="107"/>
      <c r="BW305" s="107"/>
      <c r="BX305" s="107"/>
      <c r="BY305" s="107"/>
      <c r="BZ305" s="107"/>
      <c r="CA305" s="107"/>
      <c r="CB305" s="107"/>
      <c r="CC305" s="107"/>
      <c r="CD305" s="107"/>
      <c r="CE305" s="107"/>
      <c r="CF305" s="107"/>
    </row>
    <row r="306" spans="2:84">
      <c r="B306" s="98"/>
      <c r="C306" s="98"/>
      <c r="D306" s="97"/>
      <c r="E306" s="97"/>
      <c r="F306" s="97"/>
      <c r="G306" s="97"/>
      <c r="H306" s="97"/>
      <c r="I306" s="97"/>
      <c r="J306" s="97"/>
      <c r="K306" s="97"/>
      <c r="L306" s="97"/>
      <c r="M306" s="97"/>
      <c r="N306" s="99"/>
      <c r="O306" s="97"/>
      <c r="P306" s="99"/>
      <c r="Q306" s="97"/>
      <c r="R306" s="97"/>
      <c r="S306" s="97"/>
      <c r="T306" s="97"/>
      <c r="U306" s="97"/>
      <c r="V306" s="97"/>
      <c r="W306" s="97"/>
      <c r="X306" s="97"/>
      <c r="Y306" s="97"/>
      <c r="Z306" s="97"/>
      <c r="AA306" s="97"/>
      <c r="AB306" s="97"/>
      <c r="AC306" s="97"/>
      <c r="AD306" s="107"/>
      <c r="AE306" s="107"/>
      <c r="AF306" s="107"/>
      <c r="AG306" s="107"/>
      <c r="AH306" s="107"/>
      <c r="AI306" s="107"/>
      <c r="AJ306" s="107"/>
      <c r="AK306" s="107"/>
      <c r="AL306" s="107"/>
      <c r="AM306" s="107"/>
      <c r="AN306" s="107"/>
      <c r="AO306" s="107"/>
      <c r="AP306" s="107"/>
      <c r="AQ306" s="107"/>
      <c r="AR306" s="107"/>
      <c r="AS306" s="107"/>
      <c r="AT306" s="107"/>
      <c r="AU306" s="107"/>
      <c r="AV306" s="107"/>
      <c r="AW306" s="107"/>
      <c r="AX306" s="107"/>
      <c r="AY306" s="107"/>
      <c r="AZ306" s="107"/>
      <c r="BA306" s="107"/>
      <c r="BB306" s="107"/>
      <c r="BC306" s="107"/>
      <c r="BD306" s="107"/>
      <c r="BE306" s="107"/>
      <c r="BF306" s="107"/>
      <c r="BG306" s="107"/>
      <c r="BH306" s="107"/>
      <c r="BI306" s="107"/>
      <c r="BJ306" s="107"/>
      <c r="BK306" s="107"/>
      <c r="BL306" s="107"/>
      <c r="BM306" s="107"/>
      <c r="BN306" s="107"/>
      <c r="BO306" s="107"/>
      <c r="BP306" s="107"/>
      <c r="BQ306" s="107"/>
      <c r="BR306" s="107"/>
      <c r="BS306" s="107"/>
      <c r="BT306" s="107"/>
      <c r="BU306" s="107"/>
      <c r="BV306" s="107"/>
      <c r="BW306" s="107"/>
      <c r="BX306" s="107"/>
      <c r="BY306" s="107"/>
      <c r="BZ306" s="107"/>
      <c r="CA306" s="107"/>
      <c r="CB306" s="107"/>
      <c r="CC306" s="107"/>
      <c r="CD306" s="107"/>
      <c r="CE306" s="107"/>
      <c r="CF306" s="107"/>
    </row>
    <row r="307" spans="2:84">
      <c r="B307" s="98"/>
      <c r="C307" s="98"/>
      <c r="D307" s="97"/>
      <c r="E307" s="97"/>
      <c r="F307" s="97"/>
      <c r="G307" s="97"/>
      <c r="H307" s="97"/>
      <c r="I307" s="97"/>
      <c r="J307" s="97"/>
      <c r="K307" s="97"/>
      <c r="L307" s="97"/>
      <c r="M307" s="97"/>
      <c r="N307" s="99"/>
      <c r="O307" s="97"/>
      <c r="P307" s="99"/>
      <c r="Q307" s="97"/>
      <c r="R307" s="97"/>
      <c r="S307" s="97"/>
      <c r="T307" s="97"/>
      <c r="U307" s="97"/>
      <c r="V307" s="97"/>
      <c r="W307" s="97"/>
      <c r="X307" s="97"/>
      <c r="Y307" s="97"/>
      <c r="Z307" s="97"/>
      <c r="AA307" s="97"/>
      <c r="AB307" s="97"/>
      <c r="AC307" s="97"/>
      <c r="AD307" s="107"/>
      <c r="AE307" s="107"/>
      <c r="AF307" s="107"/>
      <c r="AG307" s="107"/>
      <c r="AH307" s="107"/>
      <c r="AI307" s="107"/>
      <c r="AJ307" s="107"/>
      <c r="AK307" s="107"/>
      <c r="AL307" s="107"/>
      <c r="AM307" s="107"/>
      <c r="AN307" s="107"/>
      <c r="AO307" s="107"/>
      <c r="AP307" s="107"/>
      <c r="AQ307" s="107"/>
      <c r="AR307" s="107"/>
      <c r="AS307" s="107"/>
      <c r="AT307" s="107"/>
      <c r="AU307" s="107"/>
      <c r="AV307" s="107"/>
      <c r="AW307" s="107"/>
      <c r="AX307" s="107"/>
      <c r="AY307" s="107"/>
      <c r="AZ307" s="107"/>
      <c r="BA307" s="107"/>
      <c r="BB307" s="107"/>
      <c r="BC307" s="107"/>
      <c r="BD307" s="107"/>
      <c r="BE307" s="107"/>
      <c r="BF307" s="107"/>
      <c r="BG307" s="107"/>
      <c r="BH307" s="107"/>
      <c r="BI307" s="107"/>
      <c r="BJ307" s="107"/>
      <c r="BK307" s="107"/>
      <c r="BL307" s="107"/>
      <c r="BM307" s="107"/>
      <c r="BN307" s="107"/>
      <c r="BO307" s="107"/>
      <c r="BP307" s="107"/>
      <c r="BQ307" s="107"/>
      <c r="BR307" s="107"/>
      <c r="BS307" s="107"/>
      <c r="BT307" s="107"/>
      <c r="BU307" s="107"/>
      <c r="BV307" s="107"/>
      <c r="BW307" s="107"/>
      <c r="BX307" s="107"/>
      <c r="BY307" s="107"/>
      <c r="BZ307" s="107"/>
      <c r="CA307" s="107"/>
      <c r="CB307" s="107"/>
      <c r="CC307" s="107"/>
      <c r="CD307" s="107"/>
      <c r="CE307" s="107"/>
      <c r="CF307" s="107"/>
    </row>
    <row r="308" spans="2:84">
      <c r="B308" s="98"/>
      <c r="C308" s="98"/>
      <c r="D308" s="97"/>
      <c r="E308" s="97"/>
      <c r="F308" s="97"/>
      <c r="G308" s="97"/>
      <c r="H308" s="97"/>
      <c r="I308" s="97"/>
      <c r="J308" s="97"/>
      <c r="K308" s="97"/>
      <c r="L308" s="97"/>
      <c r="M308" s="97"/>
      <c r="N308" s="99"/>
      <c r="O308" s="97"/>
      <c r="P308" s="99"/>
      <c r="Q308" s="97"/>
      <c r="R308" s="97"/>
      <c r="S308" s="97"/>
      <c r="T308" s="97"/>
      <c r="U308" s="97"/>
      <c r="V308" s="97"/>
      <c r="W308" s="97"/>
      <c r="X308" s="97"/>
      <c r="Y308" s="97"/>
      <c r="Z308" s="97"/>
      <c r="AA308" s="97"/>
      <c r="AB308" s="97"/>
      <c r="AC308" s="97"/>
      <c r="AD308" s="107"/>
      <c r="AE308" s="107"/>
      <c r="AF308" s="107"/>
      <c r="AG308" s="107"/>
      <c r="AH308" s="107"/>
      <c r="AI308" s="107"/>
      <c r="AJ308" s="107"/>
      <c r="AK308" s="107"/>
      <c r="AL308" s="107"/>
      <c r="AM308" s="107"/>
      <c r="AN308" s="107"/>
      <c r="AO308" s="107"/>
      <c r="AP308" s="107"/>
      <c r="AQ308" s="107"/>
      <c r="AR308" s="107"/>
      <c r="AS308" s="107"/>
      <c r="AT308" s="107"/>
      <c r="AU308" s="107"/>
      <c r="AV308" s="107"/>
      <c r="AW308" s="107"/>
      <c r="AX308" s="107"/>
      <c r="AY308" s="107"/>
      <c r="AZ308" s="107"/>
      <c r="BA308" s="107"/>
      <c r="BB308" s="107"/>
      <c r="BC308" s="107"/>
      <c r="BD308" s="107"/>
      <c r="BE308" s="107"/>
      <c r="BF308" s="107"/>
      <c r="BG308" s="107"/>
      <c r="BH308" s="107"/>
      <c r="BI308" s="107"/>
      <c r="BJ308" s="107"/>
      <c r="BK308" s="107"/>
      <c r="BL308" s="107"/>
      <c r="BM308" s="107"/>
      <c r="BN308" s="107"/>
      <c r="BO308" s="107"/>
      <c r="BP308" s="107"/>
      <c r="BQ308" s="107"/>
      <c r="BR308" s="107"/>
      <c r="BS308" s="107"/>
      <c r="BT308" s="107"/>
      <c r="BU308" s="107"/>
      <c r="BV308" s="107"/>
      <c r="BW308" s="107"/>
      <c r="BX308" s="107"/>
      <c r="BY308" s="107"/>
      <c r="BZ308" s="107"/>
      <c r="CA308" s="107"/>
      <c r="CB308" s="107"/>
      <c r="CC308" s="107"/>
      <c r="CD308" s="107"/>
      <c r="CE308" s="107"/>
      <c r="CF308" s="107"/>
    </row>
    <row r="309" spans="2:84">
      <c r="B309" s="98"/>
      <c r="C309" s="98"/>
      <c r="D309" s="97"/>
      <c r="E309" s="97"/>
      <c r="F309" s="97"/>
      <c r="G309" s="97"/>
      <c r="H309" s="97"/>
      <c r="I309" s="97"/>
      <c r="J309" s="97"/>
      <c r="K309" s="97"/>
      <c r="L309" s="97"/>
      <c r="M309" s="97"/>
      <c r="N309" s="99"/>
      <c r="O309" s="97"/>
      <c r="P309" s="99"/>
      <c r="Q309" s="97"/>
      <c r="R309" s="97"/>
      <c r="S309" s="97"/>
      <c r="T309" s="97"/>
      <c r="U309" s="97"/>
      <c r="V309" s="97"/>
      <c r="W309" s="97"/>
      <c r="X309" s="97"/>
      <c r="Y309" s="97"/>
      <c r="Z309" s="97"/>
      <c r="AA309" s="97"/>
      <c r="AB309" s="97"/>
      <c r="AC309" s="97"/>
      <c r="AD309" s="107"/>
      <c r="AE309" s="107"/>
      <c r="AF309" s="107"/>
      <c r="AG309" s="107"/>
      <c r="AH309" s="107"/>
      <c r="AI309" s="107"/>
      <c r="AJ309" s="107"/>
      <c r="AK309" s="107"/>
      <c r="AL309" s="107"/>
      <c r="AM309" s="107"/>
      <c r="AN309" s="107"/>
      <c r="AO309" s="107"/>
      <c r="AP309" s="107"/>
      <c r="AQ309" s="107"/>
      <c r="AR309" s="107"/>
      <c r="AS309" s="107"/>
      <c r="AT309" s="107"/>
      <c r="AU309" s="107"/>
      <c r="AV309" s="107"/>
      <c r="AW309" s="107"/>
      <c r="AX309" s="107"/>
      <c r="AY309" s="107"/>
      <c r="AZ309" s="107"/>
      <c r="BA309" s="107"/>
      <c r="BB309" s="107"/>
      <c r="BC309" s="107"/>
      <c r="BD309" s="107"/>
      <c r="BE309" s="107"/>
      <c r="BF309" s="107"/>
      <c r="BG309" s="107"/>
      <c r="BH309" s="107"/>
      <c r="BI309" s="107"/>
      <c r="BJ309" s="107"/>
      <c r="BK309" s="107"/>
      <c r="BL309" s="107"/>
      <c r="BM309" s="107"/>
      <c r="BN309" s="107"/>
      <c r="BO309" s="107"/>
      <c r="BP309" s="107"/>
      <c r="BQ309" s="107"/>
      <c r="BR309" s="107"/>
      <c r="BS309" s="107"/>
      <c r="BT309" s="107"/>
      <c r="BU309" s="107"/>
      <c r="BV309" s="107"/>
      <c r="BW309" s="107"/>
      <c r="BX309" s="107"/>
      <c r="BY309" s="107"/>
      <c r="BZ309" s="107"/>
      <c r="CA309" s="107"/>
      <c r="CB309" s="107"/>
      <c r="CC309" s="107"/>
      <c r="CD309" s="107"/>
      <c r="CE309" s="107"/>
      <c r="CF309" s="107"/>
    </row>
    <row r="310" spans="2:84">
      <c r="B310" s="98"/>
      <c r="C310" s="98"/>
      <c r="D310" s="97"/>
      <c r="E310" s="97"/>
      <c r="F310" s="97"/>
      <c r="G310" s="97"/>
      <c r="H310" s="97"/>
      <c r="I310" s="97"/>
      <c r="J310" s="97"/>
      <c r="K310" s="97"/>
      <c r="L310" s="97"/>
      <c r="M310" s="97"/>
      <c r="N310" s="99"/>
      <c r="O310" s="97"/>
      <c r="P310" s="99"/>
      <c r="Q310" s="97"/>
      <c r="R310" s="97"/>
      <c r="S310" s="97"/>
      <c r="T310" s="97"/>
      <c r="U310" s="97"/>
      <c r="V310" s="97"/>
      <c r="W310" s="97"/>
      <c r="X310" s="97"/>
      <c r="Y310" s="97"/>
      <c r="Z310" s="97"/>
      <c r="AA310" s="97"/>
      <c r="AB310" s="97"/>
      <c r="AC310" s="97"/>
      <c r="AD310" s="107"/>
      <c r="AE310" s="107"/>
      <c r="AF310" s="107"/>
      <c r="AG310" s="107"/>
      <c r="AH310" s="107"/>
      <c r="AI310" s="107"/>
      <c r="AJ310" s="107"/>
      <c r="AK310" s="107"/>
      <c r="AL310" s="107"/>
      <c r="AM310" s="107"/>
      <c r="AN310" s="107"/>
      <c r="AO310" s="107"/>
      <c r="AP310" s="107"/>
      <c r="AQ310" s="107"/>
      <c r="AR310" s="107"/>
      <c r="AS310" s="107"/>
      <c r="AT310" s="107"/>
      <c r="AU310" s="107"/>
      <c r="AV310" s="107"/>
      <c r="AW310" s="107"/>
      <c r="AX310" s="107"/>
      <c r="AY310" s="107"/>
      <c r="AZ310" s="107"/>
      <c r="BA310" s="107"/>
      <c r="BB310" s="107"/>
      <c r="BC310" s="107"/>
      <c r="BD310" s="107"/>
      <c r="BE310" s="107"/>
      <c r="BF310" s="107"/>
      <c r="BG310" s="107"/>
      <c r="BH310" s="107"/>
      <c r="BI310" s="107"/>
      <c r="BJ310" s="107"/>
      <c r="BK310" s="107"/>
      <c r="BL310" s="107"/>
      <c r="BM310" s="107"/>
      <c r="BN310" s="107"/>
      <c r="BO310" s="107"/>
      <c r="BP310" s="107"/>
      <c r="BQ310" s="107"/>
      <c r="BR310" s="107"/>
      <c r="BS310" s="107"/>
      <c r="BT310" s="107"/>
      <c r="BU310" s="107"/>
      <c r="BV310" s="107"/>
      <c r="BW310" s="107"/>
      <c r="BX310" s="107"/>
      <c r="BY310" s="107"/>
      <c r="BZ310" s="107"/>
      <c r="CA310" s="107"/>
      <c r="CB310" s="107"/>
      <c r="CC310" s="107"/>
      <c r="CD310" s="107"/>
      <c r="CE310" s="107"/>
      <c r="CF310" s="107"/>
    </row>
    <row r="311" spans="2:84">
      <c r="B311" s="98"/>
      <c r="C311" s="98"/>
      <c r="D311" s="97"/>
      <c r="E311" s="97"/>
      <c r="F311" s="97"/>
      <c r="G311" s="97"/>
      <c r="H311" s="97"/>
      <c r="I311" s="97"/>
      <c r="J311" s="97"/>
      <c r="K311" s="97"/>
      <c r="L311" s="97"/>
      <c r="M311" s="97"/>
      <c r="N311" s="99"/>
      <c r="O311" s="97"/>
      <c r="P311" s="99"/>
      <c r="Q311" s="97"/>
      <c r="R311" s="97"/>
      <c r="S311" s="97"/>
      <c r="T311" s="97"/>
      <c r="U311" s="97"/>
      <c r="V311" s="97"/>
      <c r="W311" s="97"/>
      <c r="X311" s="97"/>
      <c r="Y311" s="97"/>
      <c r="Z311" s="97"/>
      <c r="AA311" s="97"/>
      <c r="AB311" s="97"/>
      <c r="AC311" s="97"/>
      <c r="AD311" s="107"/>
      <c r="AE311" s="107"/>
      <c r="AF311" s="107"/>
      <c r="AG311" s="107"/>
      <c r="AH311" s="107"/>
      <c r="AI311" s="107"/>
      <c r="AJ311" s="107"/>
      <c r="AK311" s="107"/>
      <c r="AL311" s="107"/>
      <c r="AM311" s="107"/>
      <c r="AN311" s="107"/>
      <c r="AO311" s="107"/>
      <c r="AP311" s="107"/>
      <c r="AQ311" s="107"/>
      <c r="AR311" s="107"/>
      <c r="AS311" s="107"/>
      <c r="AT311" s="107"/>
      <c r="AU311" s="107"/>
      <c r="AV311" s="107"/>
      <c r="AW311" s="107"/>
      <c r="AX311" s="107"/>
      <c r="AY311" s="107"/>
      <c r="AZ311" s="107"/>
      <c r="BA311" s="107"/>
      <c r="BB311" s="107"/>
      <c r="BC311" s="107"/>
      <c r="BD311" s="107"/>
      <c r="BE311" s="107"/>
      <c r="BF311" s="107"/>
      <c r="BG311" s="107"/>
      <c r="BH311" s="107"/>
      <c r="BI311" s="107"/>
      <c r="BJ311" s="107"/>
      <c r="BK311" s="107"/>
      <c r="BL311" s="107"/>
      <c r="BM311" s="107"/>
      <c r="BN311" s="107"/>
      <c r="BO311" s="107"/>
      <c r="BP311" s="107"/>
      <c r="BQ311" s="107"/>
      <c r="BR311" s="107"/>
      <c r="BS311" s="107"/>
      <c r="BT311" s="107"/>
      <c r="BU311" s="107"/>
      <c r="BV311" s="107"/>
      <c r="BW311" s="107"/>
      <c r="BX311" s="107"/>
      <c r="BY311" s="107"/>
      <c r="BZ311" s="107"/>
      <c r="CA311" s="107"/>
      <c r="CB311" s="107"/>
      <c r="CC311" s="107"/>
      <c r="CD311" s="107"/>
      <c r="CE311" s="107"/>
      <c r="CF311" s="107"/>
    </row>
    <row r="312" spans="2:84">
      <c r="B312" s="98"/>
      <c r="C312" s="98"/>
      <c r="D312" s="97"/>
      <c r="E312" s="97"/>
      <c r="F312" s="97"/>
      <c r="G312" s="97"/>
      <c r="H312" s="97"/>
      <c r="I312" s="97"/>
      <c r="J312" s="97"/>
      <c r="K312" s="97"/>
      <c r="L312" s="97"/>
      <c r="M312" s="97"/>
      <c r="N312" s="99"/>
      <c r="O312" s="97"/>
      <c r="P312" s="99"/>
      <c r="Q312" s="97"/>
      <c r="R312" s="97"/>
      <c r="S312" s="97"/>
      <c r="T312" s="97"/>
      <c r="U312" s="97"/>
      <c r="V312" s="97"/>
      <c r="W312" s="97"/>
      <c r="X312" s="97"/>
      <c r="Y312" s="97"/>
      <c r="Z312" s="97"/>
      <c r="AA312" s="97"/>
      <c r="AB312" s="97"/>
      <c r="AC312" s="97"/>
      <c r="AD312" s="107"/>
      <c r="AE312" s="107"/>
      <c r="AF312" s="107"/>
      <c r="AG312" s="107"/>
      <c r="AH312" s="107"/>
      <c r="AI312" s="107"/>
      <c r="AJ312" s="107"/>
      <c r="AK312" s="107"/>
      <c r="AL312" s="107"/>
      <c r="AM312" s="107"/>
      <c r="AN312" s="107"/>
      <c r="AO312" s="107"/>
      <c r="AP312" s="107"/>
      <c r="AQ312" s="107"/>
      <c r="AR312" s="107"/>
      <c r="AS312" s="107"/>
      <c r="AT312" s="107"/>
      <c r="AU312" s="107"/>
      <c r="AV312" s="107"/>
      <c r="AW312" s="107"/>
      <c r="AX312" s="107"/>
      <c r="AY312" s="107"/>
      <c r="AZ312" s="107"/>
      <c r="BA312" s="107"/>
      <c r="BB312" s="107"/>
      <c r="BC312" s="107"/>
      <c r="BD312" s="107"/>
      <c r="BE312" s="107"/>
      <c r="BF312" s="107"/>
      <c r="BG312" s="107"/>
      <c r="BH312" s="107"/>
      <c r="BI312" s="107"/>
      <c r="BJ312" s="107"/>
      <c r="BK312" s="107"/>
      <c r="BL312" s="107"/>
      <c r="BM312" s="107"/>
      <c r="BN312" s="107"/>
      <c r="BO312" s="107"/>
      <c r="BP312" s="107"/>
      <c r="BQ312" s="107"/>
      <c r="BR312" s="107"/>
      <c r="BS312" s="107"/>
      <c r="BT312" s="107"/>
      <c r="BU312" s="107"/>
      <c r="BV312" s="107"/>
      <c r="BW312" s="107"/>
      <c r="BX312" s="107"/>
      <c r="BY312" s="107"/>
      <c r="BZ312" s="107"/>
      <c r="CA312" s="107"/>
      <c r="CB312" s="107"/>
      <c r="CC312" s="107"/>
      <c r="CD312" s="107"/>
      <c r="CE312" s="107"/>
      <c r="CF312" s="107"/>
    </row>
    <row r="313" spans="2:84">
      <c r="B313" s="98"/>
      <c r="C313" s="98"/>
      <c r="D313" s="97"/>
      <c r="E313" s="97"/>
      <c r="F313" s="97"/>
      <c r="G313" s="97"/>
      <c r="H313" s="97"/>
      <c r="I313" s="97"/>
      <c r="J313" s="97"/>
      <c r="K313" s="97"/>
      <c r="L313" s="97"/>
      <c r="M313" s="97"/>
      <c r="N313" s="99"/>
      <c r="O313" s="97"/>
      <c r="P313" s="99"/>
      <c r="Q313" s="97"/>
      <c r="R313" s="97"/>
      <c r="S313" s="97"/>
      <c r="T313" s="97"/>
      <c r="U313" s="97"/>
      <c r="V313" s="97"/>
      <c r="W313" s="97"/>
      <c r="X313" s="97"/>
      <c r="Y313" s="97"/>
      <c r="Z313" s="97"/>
      <c r="AA313" s="97"/>
      <c r="AB313" s="97"/>
      <c r="AC313" s="97"/>
      <c r="AD313" s="107"/>
      <c r="AE313" s="107"/>
      <c r="AF313" s="107"/>
      <c r="AG313" s="107"/>
      <c r="AH313" s="107"/>
      <c r="AI313" s="107"/>
      <c r="AJ313" s="107"/>
      <c r="AK313" s="107"/>
      <c r="AL313" s="107"/>
      <c r="AM313" s="107"/>
      <c r="AN313" s="107"/>
      <c r="AO313" s="107"/>
      <c r="AP313" s="107"/>
      <c r="AQ313" s="107"/>
      <c r="AR313" s="107"/>
      <c r="AS313" s="107"/>
      <c r="AT313" s="107"/>
      <c r="AU313" s="107"/>
      <c r="AV313" s="107"/>
      <c r="AW313" s="107"/>
      <c r="AX313" s="107"/>
      <c r="AY313" s="107"/>
      <c r="AZ313" s="107"/>
      <c r="BA313" s="107"/>
      <c r="BB313" s="107"/>
      <c r="BC313" s="107"/>
      <c r="BD313" s="107"/>
      <c r="BE313" s="107"/>
      <c r="BF313" s="107"/>
      <c r="BG313" s="107"/>
      <c r="BH313" s="107"/>
      <c r="BI313" s="107"/>
      <c r="BJ313" s="107"/>
      <c r="BK313" s="107"/>
      <c r="BL313" s="107"/>
      <c r="BM313" s="107"/>
      <c r="BN313" s="107"/>
      <c r="BO313" s="107"/>
      <c r="BP313" s="107"/>
      <c r="BQ313" s="107"/>
      <c r="BR313" s="107"/>
      <c r="BS313" s="107"/>
      <c r="BT313" s="107"/>
      <c r="BU313" s="107"/>
      <c r="BV313" s="107"/>
      <c r="BW313" s="107"/>
      <c r="BX313" s="107"/>
      <c r="BY313" s="107"/>
      <c r="BZ313" s="107"/>
      <c r="CA313" s="107"/>
      <c r="CB313" s="107"/>
      <c r="CC313" s="107"/>
      <c r="CD313" s="107"/>
      <c r="CE313" s="107"/>
      <c r="CF313" s="107"/>
    </row>
    <row r="314" spans="2:84">
      <c r="B314" s="98"/>
      <c r="C314" s="98"/>
      <c r="D314" s="97"/>
      <c r="E314" s="97"/>
      <c r="F314" s="97"/>
      <c r="G314" s="97"/>
      <c r="H314" s="97"/>
      <c r="I314" s="97"/>
      <c r="J314" s="97"/>
      <c r="K314" s="97"/>
      <c r="L314" s="97"/>
      <c r="M314" s="97"/>
      <c r="N314" s="99"/>
      <c r="O314" s="97"/>
      <c r="P314" s="99"/>
      <c r="Q314" s="97"/>
      <c r="R314" s="97"/>
      <c r="S314" s="97"/>
      <c r="T314" s="97"/>
      <c r="U314" s="97"/>
      <c r="V314" s="97"/>
      <c r="W314" s="97"/>
      <c r="X314" s="97"/>
      <c r="Y314" s="97"/>
      <c r="Z314" s="97"/>
      <c r="AA314" s="97"/>
      <c r="AB314" s="97"/>
      <c r="AC314" s="97"/>
      <c r="AD314" s="107"/>
      <c r="AE314" s="107"/>
      <c r="AF314" s="107"/>
      <c r="AG314" s="107"/>
      <c r="AH314" s="107"/>
      <c r="AI314" s="107"/>
      <c r="AJ314" s="107"/>
      <c r="AK314" s="107"/>
      <c r="AL314" s="107"/>
      <c r="AM314" s="107"/>
      <c r="AN314" s="107"/>
      <c r="AO314" s="107"/>
      <c r="AP314" s="107"/>
      <c r="AQ314" s="107"/>
      <c r="AR314" s="107"/>
      <c r="AS314" s="107"/>
      <c r="AT314" s="107"/>
      <c r="AU314" s="107"/>
      <c r="AV314" s="107"/>
      <c r="AW314" s="107"/>
      <c r="AX314" s="107"/>
      <c r="AY314" s="107"/>
      <c r="AZ314" s="107"/>
      <c r="BA314" s="107"/>
      <c r="BB314" s="107"/>
      <c r="BC314" s="107"/>
      <c r="BD314" s="107"/>
      <c r="BE314" s="107"/>
      <c r="BF314" s="107"/>
      <c r="BG314" s="107"/>
      <c r="BH314" s="107"/>
      <c r="BI314" s="107"/>
      <c r="BJ314" s="107"/>
      <c r="BK314" s="107"/>
      <c r="BL314" s="107"/>
      <c r="BM314" s="107"/>
      <c r="BN314" s="107"/>
      <c r="BO314" s="107"/>
      <c r="BP314" s="107"/>
      <c r="BQ314" s="107"/>
      <c r="BR314" s="107"/>
      <c r="BS314" s="107"/>
      <c r="BT314" s="107"/>
      <c r="BU314" s="107"/>
      <c r="BV314" s="107"/>
      <c r="BW314" s="107"/>
      <c r="BX314" s="107"/>
      <c r="BY314" s="107"/>
      <c r="BZ314" s="107"/>
      <c r="CA314" s="107"/>
      <c r="CB314" s="107"/>
      <c r="CC314" s="107"/>
      <c r="CD314" s="107"/>
      <c r="CE314" s="107"/>
      <c r="CF314" s="107"/>
    </row>
    <row r="315" spans="2:84">
      <c r="B315" s="98"/>
      <c r="C315" s="98"/>
      <c r="D315" s="97"/>
      <c r="E315" s="97"/>
      <c r="F315" s="97"/>
      <c r="G315" s="97"/>
      <c r="H315" s="97"/>
      <c r="I315" s="97"/>
      <c r="J315" s="97"/>
      <c r="K315" s="97"/>
      <c r="L315" s="97"/>
      <c r="M315" s="97"/>
      <c r="N315" s="99"/>
      <c r="O315" s="97"/>
      <c r="P315" s="99"/>
      <c r="Q315" s="97"/>
      <c r="R315" s="97"/>
      <c r="S315" s="97"/>
      <c r="T315" s="97"/>
      <c r="U315" s="97"/>
      <c r="V315" s="97"/>
      <c r="W315" s="97"/>
      <c r="X315" s="97"/>
      <c r="Y315" s="97"/>
      <c r="Z315" s="97"/>
      <c r="AA315" s="97"/>
      <c r="AB315" s="97"/>
      <c r="AC315" s="97"/>
      <c r="AD315" s="107"/>
      <c r="AE315" s="107"/>
      <c r="AF315" s="107"/>
      <c r="AG315" s="107"/>
      <c r="AH315" s="107"/>
      <c r="AI315" s="107"/>
      <c r="AJ315" s="107"/>
      <c r="AK315" s="107"/>
      <c r="AL315" s="107"/>
      <c r="AM315" s="107"/>
      <c r="AN315" s="107"/>
      <c r="AO315" s="107"/>
      <c r="AP315" s="107"/>
      <c r="AQ315" s="107"/>
      <c r="AR315" s="107"/>
      <c r="AS315" s="107"/>
      <c r="AT315" s="107"/>
      <c r="AU315" s="107"/>
      <c r="AV315" s="107"/>
      <c r="AW315" s="107"/>
      <c r="AX315" s="107"/>
      <c r="AY315" s="107"/>
      <c r="AZ315" s="107"/>
      <c r="BA315" s="107"/>
      <c r="BB315" s="107"/>
      <c r="BC315" s="107"/>
      <c r="BD315" s="107"/>
      <c r="BE315" s="107"/>
      <c r="BF315" s="107"/>
      <c r="BG315" s="107"/>
      <c r="BH315" s="107"/>
      <c r="BI315" s="107"/>
      <c r="BJ315" s="107"/>
      <c r="BK315" s="107"/>
      <c r="BL315" s="107"/>
      <c r="BM315" s="107"/>
      <c r="BN315" s="107"/>
      <c r="BO315" s="107"/>
      <c r="BP315" s="107"/>
      <c r="BQ315" s="107"/>
      <c r="BR315" s="107"/>
      <c r="BS315" s="107"/>
      <c r="BT315" s="107"/>
      <c r="BU315" s="107"/>
      <c r="BV315" s="107"/>
      <c r="BW315" s="107"/>
      <c r="BX315" s="107"/>
      <c r="BY315" s="107"/>
      <c r="BZ315" s="107"/>
      <c r="CA315" s="107"/>
      <c r="CB315" s="107"/>
      <c r="CC315" s="107"/>
      <c r="CD315" s="107"/>
      <c r="CE315" s="107"/>
      <c r="CF315" s="107"/>
    </row>
    <row r="316" spans="2:84">
      <c r="B316" s="98"/>
      <c r="C316" s="98"/>
      <c r="D316" s="97"/>
      <c r="E316" s="97"/>
      <c r="F316" s="97"/>
      <c r="G316" s="97"/>
      <c r="H316" s="97"/>
      <c r="I316" s="97"/>
      <c r="J316" s="97"/>
      <c r="K316" s="97"/>
      <c r="L316" s="97"/>
      <c r="M316" s="97"/>
      <c r="N316" s="99"/>
      <c r="O316" s="97"/>
      <c r="P316" s="99"/>
      <c r="Q316" s="97"/>
      <c r="R316" s="97"/>
      <c r="S316" s="97"/>
      <c r="T316" s="97"/>
      <c r="U316" s="97"/>
      <c r="V316" s="97"/>
      <c r="W316" s="97"/>
      <c r="X316" s="97"/>
      <c r="Y316" s="97"/>
      <c r="Z316" s="97"/>
      <c r="AA316" s="97"/>
      <c r="AB316" s="97"/>
      <c r="AC316" s="97"/>
      <c r="AD316" s="107"/>
      <c r="AE316" s="107"/>
      <c r="AF316" s="107"/>
      <c r="AG316" s="107"/>
      <c r="AH316" s="107"/>
      <c r="AI316" s="107"/>
      <c r="AJ316" s="107"/>
      <c r="AK316" s="107"/>
      <c r="AL316" s="107"/>
      <c r="AM316" s="107"/>
      <c r="AN316" s="107"/>
      <c r="AO316" s="107"/>
      <c r="AP316" s="107"/>
      <c r="AQ316" s="107"/>
      <c r="AR316" s="107"/>
      <c r="AS316" s="107"/>
      <c r="AT316" s="107"/>
      <c r="AU316" s="107"/>
      <c r="AV316" s="107"/>
      <c r="AW316" s="107"/>
      <c r="AX316" s="107"/>
      <c r="AY316" s="107"/>
      <c r="AZ316" s="107"/>
      <c r="BA316" s="107"/>
      <c r="BB316" s="107"/>
      <c r="BC316" s="107"/>
      <c r="BD316" s="107"/>
      <c r="BE316" s="107"/>
      <c r="BF316" s="107"/>
      <c r="BG316" s="107"/>
      <c r="BH316" s="107"/>
      <c r="BI316" s="107"/>
      <c r="BJ316" s="107"/>
      <c r="BK316" s="107"/>
      <c r="BL316" s="107"/>
      <c r="BM316" s="107"/>
      <c r="BN316" s="107"/>
      <c r="BO316" s="107"/>
      <c r="BP316" s="107"/>
      <c r="BQ316" s="107"/>
      <c r="BR316" s="107"/>
      <c r="BS316" s="107"/>
      <c r="BT316" s="107"/>
      <c r="BU316" s="107"/>
      <c r="BV316" s="107"/>
      <c r="BW316" s="107"/>
      <c r="BX316" s="107"/>
      <c r="BY316" s="107"/>
      <c r="BZ316" s="107"/>
      <c r="CA316" s="107"/>
      <c r="CB316" s="107"/>
      <c r="CC316" s="107"/>
      <c r="CD316" s="107"/>
      <c r="CE316" s="107"/>
      <c r="CF316" s="107"/>
    </row>
    <row r="317" spans="2:84">
      <c r="B317" s="98"/>
      <c r="C317" s="98"/>
      <c r="D317" s="97"/>
      <c r="E317" s="97"/>
      <c r="F317" s="97"/>
      <c r="G317" s="97"/>
      <c r="H317" s="97"/>
      <c r="I317" s="97"/>
      <c r="J317" s="97"/>
      <c r="K317" s="97"/>
      <c r="L317" s="97"/>
      <c r="M317" s="97"/>
      <c r="N317" s="99"/>
      <c r="O317" s="97"/>
      <c r="P317" s="99"/>
      <c r="Q317" s="97"/>
      <c r="R317" s="97"/>
      <c r="S317" s="97"/>
      <c r="T317" s="97"/>
      <c r="U317" s="97"/>
      <c r="V317" s="97"/>
      <c r="W317" s="97"/>
      <c r="X317" s="97"/>
      <c r="Y317" s="97"/>
      <c r="Z317" s="97"/>
      <c r="AA317" s="97"/>
      <c r="AB317" s="97"/>
      <c r="AC317" s="97"/>
      <c r="AD317" s="107"/>
      <c r="AE317" s="107"/>
      <c r="AF317" s="107"/>
      <c r="AG317" s="107"/>
      <c r="AH317" s="107"/>
      <c r="AI317" s="107"/>
      <c r="AJ317" s="107"/>
      <c r="AK317" s="107"/>
      <c r="AL317" s="107"/>
      <c r="AM317" s="107"/>
      <c r="AN317" s="107"/>
      <c r="AO317" s="107"/>
      <c r="AP317" s="107"/>
      <c r="AQ317" s="107"/>
      <c r="AR317" s="107"/>
      <c r="AS317" s="107"/>
      <c r="AT317" s="107"/>
      <c r="AU317" s="107"/>
      <c r="AV317" s="107"/>
      <c r="AW317" s="107"/>
      <c r="AX317" s="107"/>
      <c r="AY317" s="107"/>
      <c r="AZ317" s="107"/>
      <c r="BA317" s="107"/>
      <c r="BB317" s="107"/>
      <c r="BC317" s="107"/>
      <c r="BD317" s="107"/>
      <c r="BE317" s="107"/>
      <c r="BF317" s="107"/>
      <c r="BG317" s="107"/>
      <c r="BH317" s="107"/>
      <c r="BI317" s="107"/>
      <c r="BJ317" s="107"/>
      <c r="BK317" s="107"/>
      <c r="BL317" s="107"/>
      <c r="BM317" s="107"/>
      <c r="BN317" s="107"/>
      <c r="BO317" s="107"/>
      <c r="BP317" s="107"/>
      <c r="BQ317" s="107"/>
      <c r="BR317" s="107"/>
      <c r="BS317" s="107"/>
      <c r="BT317" s="107"/>
      <c r="BU317" s="107"/>
      <c r="BV317" s="107"/>
      <c r="BW317" s="107"/>
      <c r="BX317" s="107"/>
      <c r="BY317" s="107"/>
      <c r="BZ317" s="107"/>
      <c r="CA317" s="107"/>
      <c r="CB317" s="107"/>
      <c r="CC317" s="107"/>
      <c r="CD317" s="107"/>
      <c r="CE317" s="107"/>
      <c r="CF317" s="107"/>
    </row>
    <row r="318" spans="2:84">
      <c r="B318" s="98"/>
      <c r="C318" s="98"/>
      <c r="D318" s="97"/>
      <c r="E318" s="97"/>
      <c r="F318" s="97"/>
      <c r="G318" s="97"/>
      <c r="H318" s="97"/>
      <c r="I318" s="97"/>
      <c r="J318" s="97"/>
      <c r="K318" s="97"/>
      <c r="L318" s="97"/>
      <c r="M318" s="97"/>
      <c r="N318" s="99"/>
      <c r="O318" s="97"/>
      <c r="P318" s="99"/>
      <c r="Q318" s="97"/>
      <c r="R318" s="97"/>
      <c r="S318" s="97"/>
      <c r="T318" s="97"/>
      <c r="U318" s="97"/>
      <c r="V318" s="97"/>
      <c r="W318" s="97"/>
      <c r="X318" s="97"/>
      <c r="Y318" s="97"/>
      <c r="Z318" s="97"/>
      <c r="AA318" s="97"/>
      <c r="AB318" s="97"/>
      <c r="AC318" s="97"/>
      <c r="AD318" s="107"/>
      <c r="AE318" s="107"/>
      <c r="AF318" s="107"/>
      <c r="AG318" s="107"/>
      <c r="AH318" s="107"/>
      <c r="AI318" s="107"/>
      <c r="AJ318" s="107"/>
      <c r="AK318" s="107"/>
      <c r="AL318" s="107"/>
      <c r="AM318" s="107"/>
      <c r="AN318" s="107"/>
      <c r="AO318" s="107"/>
      <c r="AP318" s="107"/>
      <c r="AQ318" s="107"/>
      <c r="AR318" s="107"/>
      <c r="AS318" s="107"/>
      <c r="AT318" s="107"/>
      <c r="AU318" s="107"/>
      <c r="AV318" s="107"/>
      <c r="AW318" s="107"/>
      <c r="AX318" s="107"/>
      <c r="AY318" s="107"/>
      <c r="AZ318" s="107"/>
      <c r="BA318" s="107"/>
      <c r="BB318" s="107"/>
      <c r="BC318" s="107"/>
      <c r="BD318" s="107"/>
      <c r="BE318" s="107"/>
      <c r="BF318" s="107"/>
      <c r="BG318" s="107"/>
      <c r="BH318" s="107"/>
      <c r="BI318" s="107"/>
      <c r="BJ318" s="107"/>
      <c r="BK318" s="107"/>
      <c r="BL318" s="107"/>
      <c r="BM318" s="107"/>
      <c r="BN318" s="107"/>
      <c r="BO318" s="107"/>
      <c r="BP318" s="107"/>
      <c r="BQ318" s="107"/>
      <c r="BR318" s="107"/>
      <c r="BS318" s="107"/>
      <c r="BT318" s="107"/>
      <c r="BU318" s="107"/>
      <c r="BV318" s="107"/>
      <c r="BW318" s="107"/>
      <c r="BX318" s="107"/>
      <c r="BY318" s="107"/>
      <c r="BZ318" s="107"/>
      <c r="CA318" s="107"/>
      <c r="CB318" s="107"/>
      <c r="CC318" s="107"/>
      <c r="CD318" s="107"/>
      <c r="CE318" s="107"/>
      <c r="CF318" s="107"/>
    </row>
    <row r="319" spans="2:84">
      <c r="B319" s="98"/>
      <c r="C319" s="98"/>
      <c r="D319" s="97"/>
      <c r="E319" s="97"/>
      <c r="F319" s="97"/>
      <c r="G319" s="97"/>
      <c r="H319" s="97"/>
      <c r="I319" s="97"/>
      <c r="J319" s="97"/>
      <c r="K319" s="97"/>
      <c r="L319" s="97"/>
      <c r="M319" s="97"/>
      <c r="N319" s="99"/>
      <c r="O319" s="97"/>
      <c r="P319" s="99"/>
      <c r="Q319" s="97"/>
      <c r="R319" s="97"/>
      <c r="S319" s="97"/>
      <c r="T319" s="97"/>
      <c r="U319" s="97"/>
      <c r="V319" s="97"/>
      <c r="W319" s="97"/>
      <c r="X319" s="97"/>
      <c r="Y319" s="97"/>
      <c r="Z319" s="97"/>
      <c r="AA319" s="97"/>
      <c r="AB319" s="97"/>
      <c r="AC319" s="97"/>
      <c r="AD319" s="107"/>
      <c r="AE319" s="107"/>
      <c r="AF319" s="107"/>
      <c r="AG319" s="107"/>
      <c r="AH319" s="107"/>
      <c r="AI319" s="107"/>
      <c r="AJ319" s="107"/>
      <c r="AK319" s="107"/>
      <c r="AL319" s="107"/>
      <c r="AM319" s="107"/>
      <c r="AN319" s="107"/>
      <c r="AO319" s="107"/>
      <c r="AP319" s="107"/>
      <c r="AQ319" s="107"/>
      <c r="AR319" s="107"/>
      <c r="AS319" s="107"/>
      <c r="AT319" s="107"/>
      <c r="AU319" s="107"/>
      <c r="AV319" s="107"/>
      <c r="AW319" s="107"/>
      <c r="AX319" s="107"/>
      <c r="AY319" s="107"/>
      <c r="AZ319" s="107"/>
      <c r="BA319" s="107"/>
      <c r="BB319" s="107"/>
      <c r="BC319" s="107"/>
      <c r="BD319" s="107"/>
      <c r="BE319" s="107"/>
      <c r="BF319" s="107"/>
      <c r="BG319" s="107"/>
      <c r="BH319" s="107"/>
      <c r="BI319" s="107"/>
      <c r="BJ319" s="107"/>
      <c r="BK319" s="107"/>
      <c r="BL319" s="107"/>
      <c r="BM319" s="107"/>
      <c r="BN319" s="107"/>
      <c r="BO319" s="107"/>
      <c r="BP319" s="107"/>
      <c r="BQ319" s="107"/>
      <c r="BR319" s="107"/>
      <c r="BS319" s="107"/>
      <c r="BT319" s="107"/>
      <c r="BU319" s="107"/>
      <c r="BV319" s="107"/>
      <c r="BW319" s="107"/>
      <c r="BX319" s="107"/>
      <c r="BY319" s="107"/>
      <c r="BZ319" s="107"/>
      <c r="CA319" s="107"/>
      <c r="CB319" s="107"/>
      <c r="CC319" s="107"/>
      <c r="CD319" s="107"/>
      <c r="CE319" s="107"/>
      <c r="CF319" s="107"/>
    </row>
    <row r="320" spans="2:84">
      <c r="B320" s="98"/>
      <c r="C320" s="98"/>
      <c r="D320" s="97"/>
      <c r="E320" s="97"/>
      <c r="F320" s="97"/>
      <c r="G320" s="97"/>
      <c r="H320" s="97"/>
      <c r="I320" s="97"/>
      <c r="J320" s="97"/>
      <c r="K320" s="97"/>
      <c r="L320" s="97"/>
      <c r="M320" s="97"/>
      <c r="N320" s="99"/>
      <c r="O320" s="97"/>
      <c r="P320" s="99"/>
      <c r="Q320" s="97"/>
      <c r="R320" s="97"/>
      <c r="S320" s="97"/>
      <c r="T320" s="97"/>
      <c r="U320" s="97"/>
      <c r="V320" s="97"/>
      <c r="W320" s="97"/>
      <c r="X320" s="97"/>
      <c r="Y320" s="97"/>
      <c r="Z320" s="97"/>
      <c r="AA320" s="97"/>
      <c r="AB320" s="97"/>
      <c r="AC320" s="97"/>
      <c r="AD320" s="107"/>
      <c r="AE320" s="107"/>
      <c r="AF320" s="107"/>
      <c r="AG320" s="107"/>
      <c r="AH320" s="107"/>
      <c r="AI320" s="107"/>
      <c r="AJ320" s="107"/>
      <c r="AK320" s="107"/>
      <c r="AL320" s="107"/>
      <c r="AM320" s="107"/>
      <c r="AN320" s="107"/>
      <c r="AO320" s="107"/>
      <c r="AP320" s="107"/>
      <c r="AQ320" s="107"/>
      <c r="AR320" s="107"/>
      <c r="AS320" s="107"/>
      <c r="AT320" s="107"/>
      <c r="AU320" s="107"/>
      <c r="AV320" s="107"/>
      <c r="AW320" s="107"/>
      <c r="AX320" s="107"/>
      <c r="AY320" s="107"/>
      <c r="AZ320" s="107"/>
      <c r="BA320" s="107"/>
      <c r="BB320" s="107"/>
      <c r="BC320" s="107"/>
      <c r="BD320" s="107"/>
      <c r="BE320" s="107"/>
      <c r="BF320" s="107"/>
      <c r="BG320" s="107"/>
      <c r="BH320" s="107"/>
      <c r="BI320" s="107"/>
      <c r="BJ320" s="107"/>
      <c r="BK320" s="107"/>
      <c r="BL320" s="107"/>
      <c r="BM320" s="107"/>
      <c r="BN320" s="107"/>
      <c r="BO320" s="107"/>
      <c r="BP320" s="107"/>
      <c r="BQ320" s="107"/>
      <c r="BR320" s="107"/>
      <c r="BS320" s="107"/>
      <c r="BT320" s="107"/>
      <c r="BU320" s="107"/>
      <c r="BV320" s="107"/>
      <c r="BW320" s="107"/>
      <c r="BX320" s="107"/>
      <c r="BY320" s="107"/>
      <c r="BZ320" s="107"/>
      <c r="CA320" s="107"/>
      <c r="CB320" s="107"/>
      <c r="CC320" s="107"/>
      <c r="CD320" s="107"/>
      <c r="CE320" s="107"/>
      <c r="CF320" s="107"/>
    </row>
    <row r="321" spans="2:84">
      <c r="B321" s="98"/>
      <c r="C321" s="98"/>
      <c r="D321" s="97"/>
      <c r="E321" s="97"/>
      <c r="F321" s="97"/>
      <c r="G321" s="97"/>
      <c r="H321" s="97"/>
      <c r="I321" s="97"/>
      <c r="J321" s="97"/>
      <c r="K321" s="97"/>
      <c r="L321" s="97"/>
      <c r="M321" s="97"/>
      <c r="N321" s="99"/>
      <c r="O321" s="97"/>
      <c r="P321" s="99"/>
      <c r="Q321" s="97"/>
      <c r="R321" s="97"/>
      <c r="S321" s="97"/>
      <c r="T321" s="97"/>
      <c r="U321" s="97"/>
      <c r="V321" s="97"/>
      <c r="W321" s="97"/>
      <c r="X321" s="97"/>
      <c r="Y321" s="97"/>
      <c r="Z321" s="97"/>
      <c r="AA321" s="97"/>
      <c r="AB321" s="97"/>
      <c r="AC321" s="97"/>
      <c r="AD321" s="107"/>
      <c r="AE321" s="107"/>
      <c r="AF321" s="107"/>
      <c r="AG321" s="107"/>
      <c r="AH321" s="107"/>
      <c r="AI321" s="107"/>
      <c r="AJ321" s="107"/>
      <c r="AK321" s="107"/>
      <c r="AL321" s="107"/>
      <c r="AM321" s="107"/>
      <c r="AN321" s="107"/>
      <c r="AO321" s="107"/>
      <c r="AP321" s="107"/>
      <c r="AQ321" s="107"/>
      <c r="AR321" s="107"/>
      <c r="AS321" s="107"/>
      <c r="AT321" s="107"/>
      <c r="AU321" s="107"/>
      <c r="AV321" s="107"/>
      <c r="AW321" s="107"/>
      <c r="AX321" s="107"/>
      <c r="AY321" s="107"/>
      <c r="AZ321" s="107"/>
      <c r="BA321" s="107"/>
      <c r="BB321" s="107"/>
      <c r="BC321" s="107"/>
      <c r="BD321" s="107"/>
      <c r="BE321" s="107"/>
      <c r="BF321" s="107"/>
      <c r="BG321" s="107"/>
      <c r="BH321" s="107"/>
      <c r="BI321" s="107"/>
      <c r="BJ321" s="107"/>
      <c r="BK321" s="107"/>
      <c r="BL321" s="107"/>
      <c r="BM321" s="107"/>
      <c r="BN321" s="107"/>
      <c r="BO321" s="107"/>
      <c r="BP321" s="107"/>
      <c r="BQ321" s="107"/>
      <c r="BR321" s="107"/>
      <c r="BS321" s="107"/>
      <c r="BT321" s="107"/>
      <c r="BU321" s="107"/>
      <c r="BV321" s="107"/>
      <c r="BW321" s="107"/>
      <c r="BX321" s="107"/>
      <c r="BY321" s="107"/>
      <c r="BZ321" s="107"/>
      <c r="CA321" s="107"/>
      <c r="CB321" s="107"/>
      <c r="CC321" s="107"/>
      <c r="CD321" s="107"/>
      <c r="CE321" s="107"/>
      <c r="CF321" s="107"/>
    </row>
    <row r="322" spans="2:84">
      <c r="B322" s="98"/>
      <c r="C322" s="98"/>
      <c r="D322" s="97"/>
      <c r="E322" s="97"/>
      <c r="F322" s="97"/>
      <c r="G322" s="97"/>
      <c r="H322" s="97"/>
      <c r="I322" s="97"/>
      <c r="J322" s="97"/>
      <c r="K322" s="97"/>
      <c r="L322" s="97"/>
      <c r="M322" s="97"/>
      <c r="N322" s="99"/>
      <c r="O322" s="97"/>
      <c r="P322" s="99"/>
      <c r="Q322" s="97"/>
      <c r="R322" s="97"/>
      <c r="S322" s="97"/>
      <c r="T322" s="97"/>
      <c r="U322" s="97"/>
      <c r="V322" s="97"/>
      <c r="W322" s="97"/>
      <c r="X322" s="97"/>
      <c r="Y322" s="97"/>
      <c r="Z322" s="97"/>
      <c r="AA322" s="97"/>
      <c r="AB322" s="97"/>
      <c r="AC322" s="97"/>
      <c r="AD322" s="107"/>
      <c r="AE322" s="107"/>
      <c r="AF322" s="107"/>
      <c r="AG322" s="107"/>
      <c r="AH322" s="107"/>
      <c r="AI322" s="107"/>
      <c r="AJ322" s="107"/>
      <c r="AK322" s="107"/>
      <c r="AL322" s="107"/>
      <c r="AM322" s="107"/>
      <c r="AN322" s="107"/>
      <c r="AO322" s="107"/>
      <c r="AP322" s="107"/>
      <c r="AQ322" s="107"/>
      <c r="AR322" s="107"/>
      <c r="AS322" s="107"/>
      <c r="AT322" s="107"/>
      <c r="AU322" s="107"/>
      <c r="AV322" s="107"/>
      <c r="AW322" s="107"/>
      <c r="AX322" s="107"/>
      <c r="AY322" s="107"/>
      <c r="AZ322" s="107"/>
      <c r="BA322" s="107"/>
      <c r="BB322" s="107"/>
      <c r="BC322" s="107"/>
      <c r="BD322" s="107"/>
      <c r="BE322" s="107"/>
      <c r="BF322" s="107"/>
      <c r="BG322" s="107"/>
      <c r="BH322" s="107"/>
      <c r="BI322" s="107"/>
      <c r="BJ322" s="107"/>
      <c r="BK322" s="107"/>
      <c r="BL322" s="107"/>
      <c r="BM322" s="107"/>
      <c r="BN322" s="107"/>
      <c r="BO322" s="107"/>
      <c r="BP322" s="107"/>
      <c r="BQ322" s="107"/>
      <c r="BR322" s="107"/>
      <c r="BS322" s="107"/>
      <c r="BT322" s="107"/>
      <c r="BU322" s="107"/>
      <c r="BV322" s="107"/>
      <c r="BW322" s="107"/>
      <c r="BX322" s="107"/>
      <c r="BY322" s="107"/>
      <c r="BZ322" s="107"/>
      <c r="CA322" s="107"/>
      <c r="CB322" s="107"/>
      <c r="CC322" s="107"/>
      <c r="CD322" s="107"/>
      <c r="CE322" s="107"/>
      <c r="CF322" s="107"/>
    </row>
    <row r="323" spans="2:84">
      <c r="B323" s="98"/>
      <c r="C323" s="98"/>
      <c r="D323" s="97"/>
      <c r="E323" s="97"/>
      <c r="F323" s="97"/>
      <c r="G323" s="97"/>
      <c r="H323" s="97"/>
      <c r="I323" s="97"/>
      <c r="J323" s="97"/>
      <c r="K323" s="97"/>
      <c r="L323" s="97"/>
      <c r="M323" s="97"/>
      <c r="N323" s="99"/>
      <c r="O323" s="97"/>
      <c r="P323" s="99"/>
      <c r="Q323" s="97"/>
      <c r="R323" s="97"/>
      <c r="S323" s="97"/>
      <c r="T323" s="97"/>
      <c r="U323" s="97"/>
      <c r="V323" s="97"/>
      <c r="W323" s="97"/>
      <c r="X323" s="97"/>
      <c r="Y323" s="97"/>
      <c r="Z323" s="97"/>
      <c r="AA323" s="97"/>
      <c r="AB323" s="97"/>
      <c r="AC323" s="97"/>
      <c r="AD323" s="107"/>
      <c r="AE323" s="107"/>
      <c r="AF323" s="107"/>
      <c r="AG323" s="107"/>
      <c r="AH323" s="107"/>
      <c r="AI323" s="107"/>
      <c r="AJ323" s="107"/>
      <c r="AK323" s="107"/>
      <c r="AL323" s="107"/>
      <c r="AM323" s="107"/>
      <c r="AN323" s="107"/>
      <c r="AO323" s="107"/>
      <c r="AP323" s="107"/>
      <c r="AQ323" s="107"/>
      <c r="AR323" s="107"/>
      <c r="AS323" s="107"/>
      <c r="AT323" s="107"/>
      <c r="AU323" s="107"/>
      <c r="AV323" s="107"/>
      <c r="AW323" s="107"/>
      <c r="AX323" s="107"/>
      <c r="AY323" s="107"/>
      <c r="AZ323" s="107"/>
      <c r="BA323" s="107"/>
      <c r="BB323" s="107"/>
      <c r="BC323" s="107"/>
      <c r="BD323" s="107"/>
      <c r="BE323" s="107"/>
      <c r="BF323" s="107"/>
      <c r="BG323" s="107"/>
      <c r="BH323" s="107"/>
      <c r="BI323" s="107"/>
      <c r="BJ323" s="107"/>
      <c r="BK323" s="107"/>
      <c r="BL323" s="107"/>
      <c r="BM323" s="107"/>
      <c r="BN323" s="107"/>
      <c r="BO323" s="107"/>
      <c r="BP323" s="107"/>
      <c r="BQ323" s="107"/>
      <c r="BR323" s="107"/>
      <c r="BS323" s="107"/>
      <c r="BT323" s="107"/>
      <c r="BU323" s="107"/>
      <c r="BV323" s="107"/>
      <c r="BW323" s="107"/>
      <c r="BX323" s="107"/>
      <c r="BY323" s="107"/>
      <c r="BZ323" s="107"/>
      <c r="CA323" s="107"/>
      <c r="CB323" s="107"/>
      <c r="CC323" s="107"/>
      <c r="CD323" s="107"/>
      <c r="CE323" s="107"/>
      <c r="CF323" s="107"/>
    </row>
    <row r="324" spans="2:84">
      <c r="B324" s="98"/>
      <c r="C324" s="98"/>
      <c r="D324" s="97"/>
      <c r="E324" s="97"/>
      <c r="F324" s="97"/>
      <c r="G324" s="97"/>
      <c r="H324" s="97"/>
      <c r="I324" s="97"/>
      <c r="J324" s="97"/>
      <c r="K324" s="97"/>
      <c r="L324" s="97"/>
      <c r="M324" s="97"/>
      <c r="N324" s="99"/>
      <c r="O324" s="97"/>
      <c r="P324" s="99"/>
      <c r="Q324" s="97"/>
      <c r="R324" s="97"/>
      <c r="S324" s="97"/>
      <c r="T324" s="97"/>
      <c r="U324" s="97"/>
      <c r="V324" s="97"/>
      <c r="W324" s="97"/>
      <c r="X324" s="97"/>
      <c r="Y324" s="97"/>
      <c r="Z324" s="97"/>
      <c r="AA324" s="97"/>
      <c r="AB324" s="97"/>
      <c r="AC324" s="97"/>
      <c r="AD324" s="107"/>
      <c r="AE324" s="107"/>
      <c r="AF324" s="107"/>
      <c r="AG324" s="107"/>
      <c r="AH324" s="107"/>
      <c r="AI324" s="107"/>
      <c r="AJ324" s="107"/>
      <c r="AK324" s="107"/>
      <c r="AL324" s="107"/>
      <c r="AM324" s="107"/>
      <c r="AN324" s="107"/>
      <c r="AO324" s="107"/>
      <c r="AP324" s="107"/>
      <c r="AQ324" s="107"/>
      <c r="AR324" s="107"/>
      <c r="AS324" s="107"/>
      <c r="AT324" s="107"/>
      <c r="AU324" s="107"/>
      <c r="AV324" s="107"/>
      <c r="AW324" s="107"/>
      <c r="AX324" s="107"/>
      <c r="AY324" s="107"/>
      <c r="AZ324" s="107"/>
      <c r="BA324" s="107"/>
      <c r="BB324" s="107"/>
      <c r="BC324" s="107"/>
      <c r="BD324" s="107"/>
      <c r="BE324" s="107"/>
      <c r="BF324" s="107"/>
      <c r="BG324" s="107"/>
      <c r="BH324" s="107"/>
      <c r="BI324" s="107"/>
      <c r="BJ324" s="107"/>
      <c r="BK324" s="107"/>
      <c r="BL324" s="107"/>
      <c r="BM324" s="107"/>
      <c r="BN324" s="107"/>
      <c r="BO324" s="107"/>
      <c r="BP324" s="107"/>
      <c r="BQ324" s="107"/>
      <c r="BR324" s="107"/>
      <c r="BS324" s="107"/>
      <c r="BT324" s="107"/>
      <c r="BU324" s="107"/>
      <c r="BV324" s="107"/>
      <c r="BW324" s="107"/>
      <c r="BX324" s="107"/>
      <c r="BY324" s="107"/>
      <c r="BZ324" s="107"/>
      <c r="CA324" s="107"/>
      <c r="CB324" s="107"/>
      <c r="CC324" s="107"/>
      <c r="CD324" s="107"/>
      <c r="CE324" s="107"/>
      <c r="CF324" s="107"/>
    </row>
    <row r="325" spans="2:84">
      <c r="B325" s="98"/>
      <c r="C325" s="98"/>
      <c r="D325" s="97"/>
      <c r="E325" s="97"/>
      <c r="F325" s="97"/>
      <c r="G325" s="97"/>
      <c r="H325" s="97"/>
      <c r="I325" s="97"/>
      <c r="J325" s="97"/>
      <c r="K325" s="97"/>
      <c r="L325" s="97"/>
      <c r="M325" s="97"/>
      <c r="N325" s="99"/>
      <c r="O325" s="97"/>
      <c r="P325" s="99"/>
      <c r="Q325" s="97"/>
      <c r="R325" s="97"/>
      <c r="S325" s="97"/>
      <c r="T325" s="97"/>
      <c r="U325" s="97"/>
      <c r="V325" s="97"/>
      <c r="W325" s="97"/>
      <c r="X325" s="97"/>
      <c r="Y325" s="97"/>
      <c r="Z325" s="97"/>
      <c r="AA325" s="97"/>
      <c r="AB325" s="97"/>
      <c r="AC325" s="97"/>
      <c r="AD325" s="107"/>
      <c r="AE325" s="107"/>
      <c r="AF325" s="107"/>
      <c r="AG325" s="107"/>
      <c r="AH325" s="107"/>
      <c r="AI325" s="107"/>
      <c r="AJ325" s="107"/>
      <c r="AK325" s="107"/>
      <c r="AL325" s="107"/>
      <c r="AM325" s="107"/>
      <c r="AN325" s="107"/>
      <c r="AO325" s="107"/>
      <c r="AP325" s="107"/>
      <c r="AQ325" s="107"/>
      <c r="AR325" s="107"/>
      <c r="AS325" s="107"/>
      <c r="AT325" s="107"/>
      <c r="AU325" s="107"/>
      <c r="AV325" s="107"/>
      <c r="AW325" s="107"/>
      <c r="AX325" s="107"/>
      <c r="AY325" s="107"/>
      <c r="AZ325" s="107"/>
      <c r="BA325" s="107"/>
      <c r="BB325" s="107"/>
      <c r="BC325" s="107"/>
      <c r="BD325" s="107"/>
      <c r="BE325" s="107"/>
      <c r="BF325" s="107"/>
      <c r="BG325" s="107"/>
      <c r="BH325" s="107"/>
      <c r="BI325" s="107"/>
      <c r="BJ325" s="107"/>
      <c r="BK325" s="107"/>
      <c r="BL325" s="107"/>
      <c r="BM325" s="107"/>
      <c r="BN325" s="107"/>
      <c r="BO325" s="107"/>
      <c r="BP325" s="107"/>
      <c r="BQ325" s="107"/>
      <c r="BR325" s="107"/>
      <c r="BS325" s="107"/>
      <c r="BT325" s="107"/>
      <c r="BU325" s="107"/>
      <c r="BV325" s="107"/>
      <c r="BW325" s="107"/>
      <c r="BX325" s="107"/>
      <c r="BY325" s="107"/>
      <c r="BZ325" s="107"/>
      <c r="CA325" s="107"/>
      <c r="CB325" s="107"/>
      <c r="CC325" s="107"/>
      <c r="CD325" s="107"/>
      <c r="CE325" s="107"/>
      <c r="CF325" s="107"/>
    </row>
    <row r="326" spans="2:84">
      <c r="B326" s="98"/>
      <c r="C326" s="98"/>
      <c r="D326" s="97"/>
      <c r="E326" s="97"/>
      <c r="F326" s="97"/>
      <c r="G326" s="97"/>
      <c r="H326" s="97"/>
      <c r="I326" s="97"/>
      <c r="J326" s="97"/>
      <c r="K326" s="97"/>
      <c r="L326" s="97"/>
      <c r="M326" s="97"/>
      <c r="N326" s="99"/>
      <c r="O326" s="97"/>
      <c r="P326" s="99"/>
      <c r="Q326" s="97"/>
      <c r="R326" s="97"/>
      <c r="S326" s="97"/>
      <c r="T326" s="97"/>
      <c r="U326" s="97"/>
      <c r="V326" s="97"/>
      <c r="W326" s="97"/>
      <c r="X326" s="97"/>
      <c r="Y326" s="97"/>
      <c r="Z326" s="97"/>
      <c r="AA326" s="97"/>
      <c r="AB326" s="97"/>
      <c r="AC326" s="97"/>
      <c r="AD326" s="107"/>
      <c r="AE326" s="107"/>
      <c r="AF326" s="107"/>
      <c r="AG326" s="107"/>
      <c r="AH326" s="107"/>
      <c r="AI326" s="107"/>
      <c r="AJ326" s="107"/>
      <c r="AK326" s="107"/>
      <c r="AL326" s="107"/>
      <c r="AM326" s="107"/>
      <c r="AN326" s="107"/>
      <c r="AO326" s="107"/>
      <c r="AP326" s="107"/>
      <c r="AQ326" s="107"/>
      <c r="AR326" s="107"/>
      <c r="AS326" s="107"/>
      <c r="AT326" s="107"/>
      <c r="AU326" s="107"/>
      <c r="AV326" s="107"/>
      <c r="AW326" s="107"/>
      <c r="AX326" s="107"/>
      <c r="AY326" s="107"/>
      <c r="AZ326" s="107"/>
      <c r="BA326" s="107"/>
      <c r="BB326" s="107"/>
      <c r="BC326" s="107"/>
      <c r="BD326" s="107"/>
      <c r="BE326" s="107"/>
      <c r="BF326" s="107"/>
      <c r="BG326" s="107"/>
      <c r="BH326" s="107"/>
      <c r="BI326" s="107"/>
      <c r="BJ326" s="107"/>
      <c r="BK326" s="107"/>
      <c r="BL326" s="107"/>
      <c r="BM326" s="107"/>
      <c r="BN326" s="107"/>
      <c r="BO326" s="107"/>
      <c r="BP326" s="107"/>
      <c r="BQ326" s="107"/>
      <c r="BR326" s="107"/>
      <c r="BS326" s="107"/>
      <c r="BT326" s="107"/>
      <c r="BU326" s="107"/>
      <c r="BV326" s="107"/>
      <c r="BW326" s="107"/>
      <c r="BX326" s="107"/>
      <c r="BY326" s="107"/>
      <c r="BZ326" s="107"/>
      <c r="CA326" s="107"/>
      <c r="CB326" s="107"/>
      <c r="CC326" s="107"/>
      <c r="CD326" s="107"/>
      <c r="CE326" s="107"/>
      <c r="CF326" s="107"/>
    </row>
  </sheetData>
  <phoneticPr fontId="0" type="noConversion"/>
  <printOptions headings="1"/>
  <pageMargins left="0.5" right="0.5" top="0.28999999999999998" bottom="0.54" header="0.55000000000000004" footer="0.27"/>
  <pageSetup scale="30" orientation="landscape" verticalDpi="300" r:id="rId1"/>
  <headerFooter alignWithMargins="0">
    <oddFooter>&amp;LSREB Fact Book 2001&amp;CData Update&amp;R&amp;D</oddFooter>
  </headerFooter>
  <colBreaks count="1" manualBreakCount="1">
    <brk id="22"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003399"/>
    <pageSetUpPr autoPageBreaks="0" fitToPage="1"/>
  </sheetPr>
  <dimension ref="A1:BF91"/>
  <sheetViews>
    <sheetView zoomScale="97" zoomScaleNormal="97" workbookViewId="0">
      <pane xSplit="1" ySplit="6" topLeftCell="BD7" activePane="bottomRight" state="frozen"/>
      <selection pane="bottomRight" activeCell="BF5" sqref="BF5"/>
      <selection pane="bottomLeft" activeCell="A7" sqref="A7"/>
      <selection pane="topRight" activeCell="B1" sqref="B1"/>
    </sheetView>
  </sheetViews>
  <sheetFormatPr defaultColWidth="9.140625" defaultRowHeight="12.6"/>
  <cols>
    <col min="1" max="1" width="23.42578125" style="56" customWidth="1"/>
    <col min="2" max="27" width="10.42578125" style="2" customWidth="1"/>
    <col min="28" max="28" width="10.42578125" style="15" customWidth="1"/>
    <col min="29" max="42" width="10.42578125" style="2" customWidth="1"/>
    <col min="43" max="43" width="9.140625" style="2" customWidth="1"/>
    <col min="44" max="44" width="10.42578125" style="2" customWidth="1"/>
    <col min="45" max="45" width="9.140625" style="2" customWidth="1"/>
    <col min="46" max="46" width="9.140625" style="2"/>
    <col min="47" max="48" width="10.5703125" style="2" customWidth="1"/>
    <col min="49" max="49" width="9.140625" style="2"/>
    <col min="50" max="50" width="11.140625" style="2" bestFit="1" customWidth="1"/>
    <col min="51" max="55" width="9.140625" style="2"/>
    <col min="56" max="57" width="10.42578125" style="2" bestFit="1" customWidth="1"/>
    <col min="58" max="58" width="9.5703125" style="2" bestFit="1" customWidth="1"/>
    <col min="59" max="16384" width="9.140625" style="2"/>
  </cols>
  <sheetData>
    <row r="1" spans="1:58" ht="12.95">
      <c r="A1" s="4" t="s">
        <v>267</v>
      </c>
    </row>
    <row r="2" spans="1:58">
      <c r="A2" s="2"/>
    </row>
    <row r="3" spans="1:58">
      <c r="A3" s="2"/>
      <c r="D3" s="15" t="s">
        <v>268</v>
      </c>
      <c r="P3" s="15" t="s">
        <v>268</v>
      </c>
      <c r="S3" s="15" t="s">
        <v>268</v>
      </c>
      <c r="AA3" s="9"/>
      <c r="AB3" s="15" t="s">
        <v>268</v>
      </c>
      <c r="AC3" s="9"/>
      <c r="AF3" s="15" t="s">
        <v>268</v>
      </c>
      <c r="AH3" s="5"/>
      <c r="AI3" s="5"/>
      <c r="AJ3" s="15" t="s">
        <v>268</v>
      </c>
      <c r="AK3" s="5"/>
      <c r="AN3" s="15" t="s">
        <v>268</v>
      </c>
      <c r="AP3" s="15" t="s">
        <v>268</v>
      </c>
      <c r="AR3" s="15" t="s">
        <v>268</v>
      </c>
      <c r="AT3" s="15" t="s">
        <v>268</v>
      </c>
      <c r="AV3" s="15" t="s">
        <v>268</v>
      </c>
      <c r="AX3" s="15" t="s">
        <v>268</v>
      </c>
      <c r="AZ3" s="15" t="s">
        <v>268</v>
      </c>
      <c r="BB3" s="136" t="s">
        <v>268</v>
      </c>
    </row>
    <row r="4" spans="1:58" s="24" customFormat="1">
      <c r="B4" s="24" t="s">
        <v>188</v>
      </c>
      <c r="C4" s="24" t="s">
        <v>189</v>
      </c>
      <c r="D4" s="168" t="s">
        <v>190</v>
      </c>
      <c r="E4" s="168" t="s">
        <v>191</v>
      </c>
      <c r="F4" s="168" t="s">
        <v>269</v>
      </c>
      <c r="G4" s="168" t="s">
        <v>193</v>
      </c>
      <c r="H4" s="168" t="s">
        <v>194</v>
      </c>
      <c r="I4" s="168" t="s">
        <v>195</v>
      </c>
      <c r="J4" s="24" t="s">
        <v>196</v>
      </c>
      <c r="K4" s="24" t="s">
        <v>197</v>
      </c>
      <c r="L4" s="24" t="s">
        <v>198</v>
      </c>
      <c r="M4" s="24" t="s">
        <v>199</v>
      </c>
      <c r="N4" s="24" t="s">
        <v>200</v>
      </c>
      <c r="O4" s="24" t="s">
        <v>201</v>
      </c>
      <c r="P4" s="168" t="s">
        <v>202</v>
      </c>
      <c r="Q4" s="24" t="s">
        <v>203</v>
      </c>
      <c r="R4" s="24" t="s">
        <v>204</v>
      </c>
      <c r="S4" s="168" t="s">
        <v>205</v>
      </c>
      <c r="T4" s="168" t="s">
        <v>206</v>
      </c>
      <c r="U4" s="168" t="s">
        <v>207</v>
      </c>
      <c r="V4" s="168" t="s">
        <v>208</v>
      </c>
      <c r="W4" s="168" t="s">
        <v>209</v>
      </c>
      <c r="X4" s="168" t="s">
        <v>210</v>
      </c>
      <c r="Y4" s="168" t="s">
        <v>211</v>
      </c>
      <c r="Z4" s="168" t="s">
        <v>212</v>
      </c>
      <c r="AA4" s="24" t="s">
        <v>213</v>
      </c>
      <c r="AB4" s="168" t="s">
        <v>214</v>
      </c>
      <c r="AC4" s="24" t="s">
        <v>215</v>
      </c>
      <c r="AD4" s="24" t="s">
        <v>216</v>
      </c>
      <c r="AE4" s="24" t="s">
        <v>217</v>
      </c>
      <c r="AF4" s="168" t="s">
        <v>270</v>
      </c>
      <c r="AG4" s="169" t="s">
        <v>271</v>
      </c>
      <c r="AH4" s="169" t="s">
        <v>272</v>
      </c>
      <c r="AI4" s="170" t="s">
        <v>273</v>
      </c>
      <c r="AJ4" s="171" t="s">
        <v>274</v>
      </c>
      <c r="AK4" s="170" t="s">
        <v>275</v>
      </c>
      <c r="AL4" s="170" t="s">
        <v>276</v>
      </c>
      <c r="AM4" s="170" t="s">
        <v>277</v>
      </c>
      <c r="AN4" s="171" t="s">
        <v>278</v>
      </c>
      <c r="AO4" s="170" t="s">
        <v>279</v>
      </c>
      <c r="AP4" s="171" t="s">
        <v>280</v>
      </c>
      <c r="AQ4" s="24" t="s">
        <v>281</v>
      </c>
      <c r="AR4" s="171" t="s">
        <v>282</v>
      </c>
      <c r="AS4" s="24" t="s">
        <v>283</v>
      </c>
      <c r="AT4" s="171" t="s">
        <v>30</v>
      </c>
      <c r="AU4" s="24" t="s">
        <v>232</v>
      </c>
      <c r="AV4" s="336" t="s">
        <v>284</v>
      </c>
      <c r="AW4" s="24" t="s">
        <v>95</v>
      </c>
      <c r="AX4" s="336" t="s">
        <v>96</v>
      </c>
      <c r="AY4" s="24" t="s">
        <v>97</v>
      </c>
      <c r="AZ4" s="24" t="s">
        <v>98</v>
      </c>
      <c r="BA4" s="24" t="s">
        <v>99</v>
      </c>
      <c r="BB4" s="24" t="s">
        <v>100</v>
      </c>
      <c r="BC4" s="24" t="s">
        <v>101</v>
      </c>
      <c r="BD4" s="24" t="s">
        <v>29</v>
      </c>
      <c r="BE4" s="24" t="s">
        <v>28</v>
      </c>
      <c r="BF4" s="24" t="s">
        <v>27</v>
      </c>
    </row>
    <row r="5" spans="1:58">
      <c r="A5" s="39" t="s">
        <v>31</v>
      </c>
      <c r="B5" s="152">
        <f>+B6+B24+B39+B53+B64</f>
        <v>274948</v>
      </c>
      <c r="C5" s="152">
        <f t="shared" ref="C5:AW5" si="0">+C6+C24+C39+C53+C64</f>
        <v>273000</v>
      </c>
      <c r="D5" s="152">
        <f t="shared" si="0"/>
        <v>276857.14285714284</v>
      </c>
      <c r="E5" s="152">
        <f t="shared" si="0"/>
        <v>280714.28571428574</v>
      </c>
      <c r="F5" s="152">
        <f t="shared" si="0"/>
        <v>284571.42857142858</v>
      </c>
      <c r="G5" s="152">
        <f t="shared" si="0"/>
        <v>288428.57142857142</v>
      </c>
      <c r="H5" s="152">
        <f t="shared" si="0"/>
        <v>292285.71428571426</v>
      </c>
      <c r="I5" s="152">
        <f t="shared" si="0"/>
        <v>296142.85714285716</v>
      </c>
      <c r="J5" s="152">
        <f t="shared" si="0"/>
        <v>300000</v>
      </c>
      <c r="K5" s="152">
        <f t="shared" si="0"/>
        <v>300000</v>
      </c>
      <c r="L5" s="152">
        <f t="shared" si="0"/>
        <v>300000</v>
      </c>
      <c r="M5" s="152">
        <f t="shared" si="0"/>
        <v>310000</v>
      </c>
      <c r="N5" s="152">
        <f t="shared" si="0"/>
        <v>310000</v>
      </c>
      <c r="O5" s="152">
        <f t="shared" si="0"/>
        <v>310000</v>
      </c>
      <c r="P5" s="152">
        <f t="shared" si="0"/>
        <v>304845.33333333331</v>
      </c>
      <c r="Q5" s="152">
        <f t="shared" si="0"/>
        <v>299690.66666666669</v>
      </c>
      <c r="R5" s="152">
        <f t="shared" si="0"/>
        <v>294536</v>
      </c>
      <c r="S5" s="152">
        <f t="shared" si="0"/>
        <v>293235.94444444438</v>
      </c>
      <c r="T5" s="152">
        <f t="shared" si="0"/>
        <v>291935.88888888888</v>
      </c>
      <c r="U5" s="152">
        <f t="shared" si="0"/>
        <v>290635.83333333331</v>
      </c>
      <c r="V5" s="152">
        <f t="shared" si="0"/>
        <v>289335.77777777775</v>
      </c>
      <c r="W5" s="152">
        <f t="shared" si="0"/>
        <v>288035.72222222219</v>
      </c>
      <c r="X5" s="152">
        <f t="shared" si="0"/>
        <v>286735.66666666669</v>
      </c>
      <c r="Y5" s="152">
        <f t="shared" si="0"/>
        <v>285435.61111111107</v>
      </c>
      <c r="Z5" s="152">
        <f t="shared" si="0"/>
        <v>284135.55555555556</v>
      </c>
      <c r="AA5" s="152">
        <f t="shared" si="0"/>
        <v>282835.5</v>
      </c>
      <c r="AB5" s="152">
        <f t="shared" si="0"/>
        <v>270466.25</v>
      </c>
      <c r="AC5" s="152">
        <f t="shared" si="0"/>
        <v>258097</v>
      </c>
      <c r="AD5" s="152">
        <f t="shared" si="0"/>
        <v>258097</v>
      </c>
      <c r="AE5" s="152">
        <f t="shared" si="0"/>
        <v>247280</v>
      </c>
      <c r="AF5" s="152">
        <f t="shared" si="0"/>
        <v>246412</v>
      </c>
      <c r="AG5" s="152">
        <f t="shared" si="0"/>
        <v>245544</v>
      </c>
      <c r="AH5" s="152">
        <f t="shared" si="0"/>
        <v>250002</v>
      </c>
      <c r="AI5" s="152">
        <f t="shared" si="0"/>
        <v>253583</v>
      </c>
      <c r="AJ5" s="152">
        <f t="shared" si="0"/>
        <v>263303.5</v>
      </c>
      <c r="AK5" s="152">
        <f t="shared" si="0"/>
        <v>273024</v>
      </c>
      <c r="AL5" s="152">
        <f t="shared" si="0"/>
        <v>282060</v>
      </c>
      <c r="AM5" s="152">
        <f t="shared" si="0"/>
        <v>278769</v>
      </c>
      <c r="AN5" s="152">
        <f t="shared" si="0"/>
        <v>287274.5</v>
      </c>
      <c r="AO5" s="152">
        <f t="shared" si="0"/>
        <v>295780</v>
      </c>
      <c r="AP5" s="152">
        <f t="shared" si="0"/>
        <v>300205</v>
      </c>
      <c r="AQ5" s="152">
        <f t="shared" si="0"/>
        <v>304630</v>
      </c>
      <c r="AR5" s="152">
        <f t="shared" si="0"/>
        <v>305575</v>
      </c>
      <c r="AS5" s="152">
        <f t="shared" si="0"/>
        <v>306520</v>
      </c>
      <c r="AT5" s="152">
        <f t="shared" si="0"/>
        <v>307675</v>
      </c>
      <c r="AU5" s="152">
        <f t="shared" si="0"/>
        <v>308830</v>
      </c>
      <c r="AV5" s="152">
        <f t="shared" si="0"/>
        <v>303240</v>
      </c>
      <c r="AW5" s="152">
        <f t="shared" si="0"/>
        <v>299900</v>
      </c>
      <c r="AX5" s="152">
        <f t="shared" ref="AX5:BC5" si="1">+AX6+AX24+AX39+AX53+AX64</f>
        <v>303135</v>
      </c>
      <c r="AY5" s="152">
        <f t="shared" si="1"/>
        <v>308770</v>
      </c>
      <c r="AZ5" s="152">
        <f t="shared" si="1"/>
        <v>326020</v>
      </c>
      <c r="BA5" s="152">
        <f t="shared" si="1"/>
        <v>343270</v>
      </c>
      <c r="BB5" s="152">
        <f t="shared" si="1"/>
        <v>345490</v>
      </c>
      <c r="BC5" s="152">
        <f t="shared" si="1"/>
        <v>347710</v>
      </c>
      <c r="BD5" s="152">
        <f t="shared" ref="BD5:BE5" si="2">+BD6+BD24+BD39+BD53+BD64</f>
        <v>350260</v>
      </c>
      <c r="BE5" s="152">
        <f t="shared" si="2"/>
        <v>363540</v>
      </c>
      <c r="BF5" s="152">
        <f t="shared" ref="BF5" si="3">+BF6+BF24+BF39+BF53+BF64</f>
        <v>368950</v>
      </c>
    </row>
    <row r="6" spans="1:58">
      <c r="A6" s="2" t="s">
        <v>32</v>
      </c>
      <c r="B6" s="130">
        <f>SUM(B8:B23)</f>
        <v>39167</v>
      </c>
      <c r="C6" s="130">
        <f t="shared" ref="C6:AW6" si="4">SUM(C8:C23)</f>
        <v>38930</v>
      </c>
      <c r="D6" s="130">
        <f t="shared" si="4"/>
        <v>39425.714285714283</v>
      </c>
      <c r="E6" s="130">
        <f t="shared" si="4"/>
        <v>39921.428571428572</v>
      </c>
      <c r="F6" s="130">
        <f t="shared" si="4"/>
        <v>40417.142857142855</v>
      </c>
      <c r="G6" s="130">
        <f t="shared" si="4"/>
        <v>40912.857142857138</v>
      </c>
      <c r="H6" s="130">
        <f t="shared" si="4"/>
        <v>41408.571428571428</v>
      </c>
      <c r="I6" s="130">
        <f t="shared" si="4"/>
        <v>41904.285714285717</v>
      </c>
      <c r="J6" s="130">
        <f t="shared" si="4"/>
        <v>42400</v>
      </c>
      <c r="K6" s="130">
        <f t="shared" si="4"/>
        <v>42400</v>
      </c>
      <c r="L6" s="130">
        <f t="shared" si="4"/>
        <v>42400</v>
      </c>
      <c r="M6" s="130">
        <f t="shared" si="4"/>
        <v>56200</v>
      </c>
      <c r="N6" s="130">
        <f t="shared" si="4"/>
        <v>64000</v>
      </c>
      <c r="O6" s="130">
        <f t="shared" si="4"/>
        <v>64000</v>
      </c>
      <c r="P6" s="130">
        <f t="shared" si="4"/>
        <v>66156.333333333328</v>
      </c>
      <c r="Q6" s="130">
        <f t="shared" si="4"/>
        <v>68312.666666666657</v>
      </c>
      <c r="R6" s="130">
        <f t="shared" si="4"/>
        <v>70469</v>
      </c>
      <c r="S6" s="130">
        <f t="shared" si="4"/>
        <v>70764.500000000015</v>
      </c>
      <c r="T6" s="130">
        <f t="shared" si="4"/>
        <v>71060</v>
      </c>
      <c r="U6" s="130">
        <f t="shared" si="4"/>
        <v>71355.5</v>
      </c>
      <c r="V6" s="130">
        <f t="shared" si="4"/>
        <v>71651</v>
      </c>
      <c r="W6" s="130">
        <f t="shared" si="4"/>
        <v>71946.5</v>
      </c>
      <c r="X6" s="130">
        <f t="shared" si="4"/>
        <v>72242</v>
      </c>
      <c r="Y6" s="130">
        <f t="shared" si="4"/>
        <v>72537.5</v>
      </c>
      <c r="Z6" s="130">
        <f t="shared" si="4"/>
        <v>72833</v>
      </c>
      <c r="AA6" s="130">
        <f t="shared" si="4"/>
        <v>73128.5</v>
      </c>
      <c r="AB6" s="130">
        <f t="shared" si="4"/>
        <v>70426.25</v>
      </c>
      <c r="AC6" s="130">
        <f t="shared" si="4"/>
        <v>67724</v>
      </c>
      <c r="AD6" s="130">
        <f t="shared" si="4"/>
        <v>67724</v>
      </c>
      <c r="AE6" s="130">
        <f t="shared" si="4"/>
        <v>68006</v>
      </c>
      <c r="AF6" s="130">
        <f t="shared" si="4"/>
        <v>67305.5</v>
      </c>
      <c r="AG6" s="130">
        <f t="shared" si="4"/>
        <v>66605</v>
      </c>
      <c r="AH6" s="130">
        <f t="shared" si="4"/>
        <v>75300</v>
      </c>
      <c r="AI6" s="130">
        <f t="shared" si="4"/>
        <v>71796</v>
      </c>
      <c r="AJ6" s="130">
        <f t="shared" si="4"/>
        <v>76819</v>
      </c>
      <c r="AK6" s="130">
        <f t="shared" si="4"/>
        <v>81842</v>
      </c>
      <c r="AL6" s="130">
        <f t="shared" si="4"/>
        <v>91648</v>
      </c>
      <c r="AM6" s="130">
        <f t="shared" si="4"/>
        <v>81896</v>
      </c>
      <c r="AN6" s="130">
        <f t="shared" si="4"/>
        <v>85023</v>
      </c>
      <c r="AO6" s="130">
        <f t="shared" si="4"/>
        <v>88150</v>
      </c>
      <c r="AP6" s="130">
        <f t="shared" si="4"/>
        <v>89565</v>
      </c>
      <c r="AQ6" s="130">
        <f t="shared" si="4"/>
        <v>90980</v>
      </c>
      <c r="AR6" s="130">
        <f t="shared" si="4"/>
        <v>92700</v>
      </c>
      <c r="AS6" s="130">
        <f t="shared" si="4"/>
        <v>94420</v>
      </c>
      <c r="AT6" s="130">
        <f t="shared" si="4"/>
        <v>95395</v>
      </c>
      <c r="AU6" s="130">
        <f t="shared" si="4"/>
        <v>96370</v>
      </c>
      <c r="AV6" s="130">
        <f t="shared" si="4"/>
        <v>96340</v>
      </c>
      <c r="AW6" s="130">
        <f t="shared" si="4"/>
        <v>96310</v>
      </c>
      <c r="AX6" s="130">
        <f t="shared" ref="AX6:BC6" si="5">SUM(AX8:AX23)</f>
        <v>98770</v>
      </c>
      <c r="AY6" s="130">
        <f t="shared" si="5"/>
        <v>101230</v>
      </c>
      <c r="AZ6" s="130">
        <f t="shared" si="5"/>
        <v>106930</v>
      </c>
      <c r="BA6" s="130">
        <f t="shared" si="5"/>
        <v>112630</v>
      </c>
      <c r="BB6" s="130">
        <f t="shared" si="5"/>
        <v>115715</v>
      </c>
      <c r="BC6" s="130">
        <f t="shared" si="5"/>
        <v>118800</v>
      </c>
      <c r="BD6" s="130">
        <f t="shared" ref="BD6:BE6" si="6">SUM(BD8:BD23)</f>
        <v>117000</v>
      </c>
      <c r="BE6" s="130">
        <f t="shared" si="6"/>
        <v>121390</v>
      </c>
      <c r="BF6" s="130">
        <f t="shared" ref="BF6" si="7">SUM(BF8:BF23)</f>
        <v>123540</v>
      </c>
    </row>
    <row r="7" spans="1:58">
      <c r="A7" s="3" t="s">
        <v>129</v>
      </c>
      <c r="AS7" s="203"/>
    </row>
    <row r="8" spans="1:58">
      <c r="A8" s="2" t="s">
        <v>33</v>
      </c>
      <c r="B8" s="7">
        <v>1486</v>
      </c>
      <c r="C8" s="7">
        <v>1480</v>
      </c>
      <c r="D8" s="16">
        <f t="shared" ref="D8:I17" si="8">(($J8-$C8)/7)+C8</f>
        <v>1511.4285714285713</v>
      </c>
      <c r="E8" s="16">
        <f t="shared" si="8"/>
        <v>1542.8571428571427</v>
      </c>
      <c r="F8" s="16">
        <f t="shared" si="8"/>
        <v>1574.285714285714</v>
      </c>
      <c r="G8" s="16">
        <f t="shared" si="8"/>
        <v>1605.7142857142853</v>
      </c>
      <c r="H8" s="16">
        <f t="shared" si="8"/>
        <v>1637.1428571428567</v>
      </c>
      <c r="I8" s="16">
        <f t="shared" si="8"/>
        <v>1668.571428571428</v>
      </c>
      <c r="J8" s="7">
        <v>1700</v>
      </c>
      <c r="K8" s="7">
        <v>1700</v>
      </c>
      <c r="L8" s="7">
        <v>1700</v>
      </c>
      <c r="M8" s="7">
        <v>3400</v>
      </c>
      <c r="N8" s="7">
        <v>4000</v>
      </c>
      <c r="O8" s="7">
        <v>4000</v>
      </c>
      <c r="P8" s="16">
        <f t="shared" ref="P8:Q23" si="9">(($R8-$O8)/3)+O8</f>
        <v>3959</v>
      </c>
      <c r="Q8" s="16">
        <f t="shared" si="9"/>
        <v>3918</v>
      </c>
      <c r="R8" s="7">
        <v>3877</v>
      </c>
      <c r="S8" s="16">
        <f t="shared" ref="S8:Z17" si="10">(($AA8-$R8)/9)+R8</f>
        <v>3834.6666666666665</v>
      </c>
      <c r="T8" s="16">
        <f t="shared" si="10"/>
        <v>3792.333333333333</v>
      </c>
      <c r="U8" s="16">
        <f t="shared" si="10"/>
        <v>3749.9999999999995</v>
      </c>
      <c r="V8" s="16">
        <f t="shared" si="10"/>
        <v>3707.6666666666661</v>
      </c>
      <c r="W8" s="16">
        <f t="shared" si="10"/>
        <v>3665.3333333333326</v>
      </c>
      <c r="X8" s="16">
        <f t="shared" si="10"/>
        <v>3622.9999999999991</v>
      </c>
      <c r="Y8" s="16">
        <f t="shared" si="10"/>
        <v>3580.6666666666656</v>
      </c>
      <c r="Z8" s="16">
        <f t="shared" si="10"/>
        <v>3538.3333333333321</v>
      </c>
      <c r="AA8" s="7">
        <v>3496</v>
      </c>
      <c r="AB8" s="14">
        <f t="shared" ref="AB8:AB23" si="11">((AC8-AA8)/2)+AA8</f>
        <v>3674.5</v>
      </c>
      <c r="AC8" s="7">
        <v>3853</v>
      </c>
      <c r="AD8" s="7">
        <v>3853</v>
      </c>
      <c r="AE8" s="7">
        <v>4174</v>
      </c>
      <c r="AF8" s="14">
        <f t="shared" ref="AF8:AF23" si="12">((AG8-AE8)/2)+AE8</f>
        <v>3877.5</v>
      </c>
      <c r="AG8" s="10">
        <v>3581</v>
      </c>
      <c r="AH8" s="11">
        <v>3950</v>
      </c>
      <c r="AI8" s="10">
        <v>4159</v>
      </c>
      <c r="AJ8" s="14">
        <f t="shared" ref="AJ8:AJ23" si="13">((AK8-AI8)/2)+AI8</f>
        <v>4241.5</v>
      </c>
      <c r="AK8" s="2">
        <v>4324</v>
      </c>
      <c r="AL8" s="2">
        <v>4565</v>
      </c>
      <c r="AM8" s="7">
        <v>4234</v>
      </c>
      <c r="AN8" s="14">
        <f t="shared" ref="AN8:AN23" si="14">((AO8-AM8)/2)+AM8</f>
        <v>5107</v>
      </c>
      <c r="AO8" s="7">
        <v>5980</v>
      </c>
      <c r="AP8" s="14">
        <f t="shared" ref="AP8:AP23" si="15">((AQ8-AO8)/2)+AO8</f>
        <v>5585</v>
      </c>
      <c r="AQ8" s="2">
        <v>5190</v>
      </c>
      <c r="AR8" s="14">
        <f t="shared" ref="AR8:AR23" si="16">((AS8-AQ8)/2)+AQ8</f>
        <v>4885</v>
      </c>
      <c r="AS8" s="2">
        <v>4580</v>
      </c>
      <c r="AT8" s="14">
        <f t="shared" ref="AT8:AZ23" si="17">((AU8-AS8)/2)+AS8</f>
        <v>4930</v>
      </c>
      <c r="AU8" s="2">
        <v>5280</v>
      </c>
      <c r="AV8" s="14">
        <f t="shared" si="17"/>
        <v>5000</v>
      </c>
      <c r="AW8" s="2">
        <v>4720</v>
      </c>
      <c r="AX8" s="14">
        <f t="shared" si="17"/>
        <v>4745</v>
      </c>
      <c r="AY8" s="2">
        <v>4770</v>
      </c>
      <c r="AZ8" s="14">
        <f>((BA8-AY8)/2)+AY8</f>
        <v>4740</v>
      </c>
      <c r="BA8" s="2">
        <v>4710</v>
      </c>
      <c r="BB8" s="14">
        <f>((BC8-BA8)/2)+BA8</f>
        <v>4645</v>
      </c>
      <c r="BC8" s="2">
        <v>4580</v>
      </c>
      <c r="BD8" s="2">
        <v>4580</v>
      </c>
      <c r="BE8" s="2">
        <v>4440</v>
      </c>
      <c r="BF8" s="2">
        <v>4400</v>
      </c>
    </row>
    <row r="9" spans="1:58">
      <c r="A9" s="2" t="s">
        <v>34</v>
      </c>
      <c r="B9" s="7">
        <v>710</v>
      </c>
      <c r="C9" s="7">
        <v>700</v>
      </c>
      <c r="D9" s="16">
        <f t="shared" si="8"/>
        <v>700</v>
      </c>
      <c r="E9" s="16">
        <f t="shared" si="8"/>
        <v>700</v>
      </c>
      <c r="F9" s="16">
        <f t="shared" si="8"/>
        <v>700</v>
      </c>
      <c r="G9" s="16">
        <f t="shared" si="8"/>
        <v>700</v>
      </c>
      <c r="H9" s="16">
        <f t="shared" si="8"/>
        <v>700</v>
      </c>
      <c r="I9" s="16">
        <f t="shared" si="8"/>
        <v>700</v>
      </c>
      <c r="J9" s="7">
        <v>700</v>
      </c>
      <c r="K9" s="7">
        <v>700</v>
      </c>
      <c r="L9" s="7">
        <v>700</v>
      </c>
      <c r="M9" s="7">
        <v>800</v>
      </c>
      <c r="N9" s="7">
        <v>900</v>
      </c>
      <c r="O9" s="7">
        <v>900</v>
      </c>
      <c r="P9" s="16">
        <f t="shared" si="9"/>
        <v>971.33333333333337</v>
      </c>
      <c r="Q9" s="16">
        <f t="shared" si="9"/>
        <v>1042.6666666666667</v>
      </c>
      <c r="R9" s="7">
        <v>1114</v>
      </c>
      <c r="S9" s="16">
        <f t="shared" si="10"/>
        <v>1092.4444444444443</v>
      </c>
      <c r="T9" s="16">
        <f t="shared" si="10"/>
        <v>1070.8888888888887</v>
      </c>
      <c r="U9" s="16">
        <f t="shared" si="10"/>
        <v>1049.333333333333</v>
      </c>
      <c r="V9" s="16">
        <f t="shared" si="10"/>
        <v>1027.7777777777774</v>
      </c>
      <c r="W9" s="16">
        <f t="shared" si="10"/>
        <v>1006.2222222222218</v>
      </c>
      <c r="X9" s="16">
        <f t="shared" si="10"/>
        <v>984.66666666666629</v>
      </c>
      <c r="Y9" s="16">
        <f t="shared" si="10"/>
        <v>963.11111111111074</v>
      </c>
      <c r="Z9" s="16">
        <f t="shared" si="10"/>
        <v>941.5555555555552</v>
      </c>
      <c r="AA9" s="7">
        <v>920</v>
      </c>
      <c r="AB9" s="14">
        <f t="shared" si="11"/>
        <v>932</v>
      </c>
      <c r="AC9" s="7">
        <v>944</v>
      </c>
      <c r="AD9" s="7">
        <v>944</v>
      </c>
      <c r="AE9" s="7">
        <v>1023</v>
      </c>
      <c r="AF9" s="14">
        <f t="shared" si="12"/>
        <v>1052</v>
      </c>
      <c r="AG9" s="10">
        <v>1081</v>
      </c>
      <c r="AH9" s="11">
        <v>1105</v>
      </c>
      <c r="AI9" s="10">
        <v>1254</v>
      </c>
      <c r="AJ9" s="14">
        <f t="shared" si="13"/>
        <v>1287</v>
      </c>
      <c r="AK9" s="2">
        <v>1320</v>
      </c>
      <c r="AL9" s="2">
        <v>1294</v>
      </c>
      <c r="AM9" s="7">
        <v>1236</v>
      </c>
      <c r="AN9" s="14">
        <f t="shared" si="14"/>
        <v>1268</v>
      </c>
      <c r="AO9" s="7">
        <v>1300</v>
      </c>
      <c r="AP9" s="14">
        <f t="shared" si="15"/>
        <v>1320</v>
      </c>
      <c r="AQ9" s="14">
        <f>((AS9-AO9)/2)+AO9</f>
        <v>1340</v>
      </c>
      <c r="AR9" s="14">
        <f t="shared" si="16"/>
        <v>1360</v>
      </c>
      <c r="AS9" s="2">
        <v>1380</v>
      </c>
      <c r="AT9" s="14">
        <f t="shared" si="17"/>
        <v>1355</v>
      </c>
      <c r="AU9" s="2">
        <v>1330</v>
      </c>
      <c r="AV9" s="14">
        <f t="shared" si="17"/>
        <v>1410</v>
      </c>
      <c r="AW9" s="2">
        <v>1490</v>
      </c>
      <c r="AX9" s="14">
        <f t="shared" si="17"/>
        <v>1545</v>
      </c>
      <c r="AY9" s="2">
        <v>1600</v>
      </c>
      <c r="AZ9" s="14">
        <f t="shared" si="17"/>
        <v>1700</v>
      </c>
      <c r="BA9" s="2">
        <v>1800</v>
      </c>
      <c r="BB9" s="14">
        <f t="shared" ref="BB9:BB64" si="18">((BC9-BA9)/2)+BA9</f>
        <v>1740</v>
      </c>
      <c r="BC9" s="2">
        <v>1680</v>
      </c>
      <c r="BD9" s="2">
        <v>1580</v>
      </c>
      <c r="BE9" s="2">
        <v>1480</v>
      </c>
      <c r="BF9" s="2">
        <v>1510</v>
      </c>
    </row>
    <row r="10" spans="1:58">
      <c r="A10" s="2" t="s">
        <v>35</v>
      </c>
      <c r="B10" s="7">
        <v>868</v>
      </c>
      <c r="C10" s="7">
        <v>870</v>
      </c>
      <c r="D10" s="16">
        <f t="shared" si="8"/>
        <v>888.57142857142856</v>
      </c>
      <c r="E10" s="16">
        <f t="shared" si="8"/>
        <v>907.14285714285711</v>
      </c>
      <c r="F10" s="16">
        <f t="shared" si="8"/>
        <v>925.71428571428567</v>
      </c>
      <c r="G10" s="16">
        <f t="shared" si="8"/>
        <v>944.28571428571422</v>
      </c>
      <c r="H10" s="16">
        <f t="shared" si="8"/>
        <v>962.85714285714278</v>
      </c>
      <c r="I10" s="16">
        <f t="shared" si="8"/>
        <v>981.42857142857133</v>
      </c>
      <c r="J10" s="7">
        <v>1000</v>
      </c>
      <c r="K10" s="7">
        <v>1000</v>
      </c>
      <c r="L10" s="7">
        <v>1000</v>
      </c>
      <c r="M10" s="7">
        <v>1300</v>
      </c>
      <c r="N10" s="7">
        <v>1400</v>
      </c>
      <c r="O10" s="7">
        <v>1400</v>
      </c>
      <c r="P10" s="16">
        <f t="shared" si="9"/>
        <v>1422</v>
      </c>
      <c r="Q10" s="16">
        <f t="shared" si="9"/>
        <v>1444</v>
      </c>
      <c r="R10" s="7">
        <v>1466</v>
      </c>
      <c r="S10" s="16">
        <f t="shared" si="10"/>
        <v>1503.6666666666667</v>
      </c>
      <c r="T10" s="16">
        <f t="shared" si="10"/>
        <v>1541.3333333333335</v>
      </c>
      <c r="U10" s="16">
        <f t="shared" si="10"/>
        <v>1579.0000000000002</v>
      </c>
      <c r="V10" s="16">
        <f t="shared" si="10"/>
        <v>1616.666666666667</v>
      </c>
      <c r="W10" s="16">
        <f t="shared" si="10"/>
        <v>1654.3333333333337</v>
      </c>
      <c r="X10" s="16">
        <f t="shared" si="10"/>
        <v>1692.0000000000005</v>
      </c>
      <c r="Y10" s="16">
        <f t="shared" si="10"/>
        <v>1729.6666666666672</v>
      </c>
      <c r="Z10" s="16">
        <f t="shared" si="10"/>
        <v>1767.3333333333339</v>
      </c>
      <c r="AA10" s="7">
        <v>1805</v>
      </c>
      <c r="AB10" s="14">
        <f t="shared" si="11"/>
        <v>1576</v>
      </c>
      <c r="AC10" s="7">
        <v>1347</v>
      </c>
      <c r="AD10" s="7">
        <v>1347</v>
      </c>
      <c r="AE10" s="7">
        <v>1446</v>
      </c>
      <c r="AF10" s="14">
        <f t="shared" si="12"/>
        <v>1441</v>
      </c>
      <c r="AG10" s="10">
        <v>1436</v>
      </c>
      <c r="AH10" s="11">
        <v>1466</v>
      </c>
      <c r="AI10" s="10">
        <v>1252</v>
      </c>
      <c r="AJ10" s="14">
        <f t="shared" si="13"/>
        <v>1201.5</v>
      </c>
      <c r="AK10" s="2">
        <v>1151</v>
      </c>
      <c r="AL10" s="2">
        <v>1650</v>
      </c>
      <c r="AM10" s="7">
        <v>1534</v>
      </c>
      <c r="AN10" s="14">
        <f t="shared" si="14"/>
        <v>1447</v>
      </c>
      <c r="AO10" s="7">
        <v>1360</v>
      </c>
      <c r="AP10" s="14">
        <f t="shared" si="15"/>
        <v>1510</v>
      </c>
      <c r="AQ10" s="2">
        <v>1660</v>
      </c>
      <c r="AR10" s="14">
        <f t="shared" si="16"/>
        <v>1730</v>
      </c>
      <c r="AS10" s="2">
        <v>1800</v>
      </c>
      <c r="AT10" s="14">
        <f t="shared" si="17"/>
        <v>1825</v>
      </c>
      <c r="AU10" s="2">
        <v>1850</v>
      </c>
      <c r="AV10" s="14">
        <f t="shared" si="17"/>
        <v>1810</v>
      </c>
      <c r="AW10" s="2">
        <v>1770</v>
      </c>
      <c r="AX10" s="14">
        <f t="shared" si="17"/>
        <v>1780</v>
      </c>
      <c r="AY10" s="2">
        <v>1790</v>
      </c>
      <c r="AZ10" s="14">
        <f t="shared" si="17"/>
        <v>1485</v>
      </c>
      <c r="BA10" s="2">
        <v>1180</v>
      </c>
      <c r="BB10" s="14">
        <f t="shared" si="18"/>
        <v>1285</v>
      </c>
      <c r="BC10" s="2">
        <v>1390</v>
      </c>
      <c r="BD10" s="2">
        <v>1100</v>
      </c>
      <c r="BE10" s="2">
        <v>960</v>
      </c>
      <c r="BF10" s="2">
        <v>980</v>
      </c>
    </row>
    <row r="11" spans="1:58">
      <c r="A11" s="2" t="s">
        <v>36</v>
      </c>
      <c r="B11" s="7">
        <v>3228</v>
      </c>
      <c r="C11" s="7">
        <v>3210</v>
      </c>
      <c r="D11" s="16">
        <f t="shared" si="8"/>
        <v>3180</v>
      </c>
      <c r="E11" s="16">
        <f t="shared" si="8"/>
        <v>3150</v>
      </c>
      <c r="F11" s="16">
        <f t="shared" si="8"/>
        <v>3120</v>
      </c>
      <c r="G11" s="16">
        <f t="shared" si="8"/>
        <v>3090</v>
      </c>
      <c r="H11" s="16">
        <f t="shared" si="8"/>
        <v>3060</v>
      </c>
      <c r="I11" s="16">
        <f t="shared" si="8"/>
        <v>3030</v>
      </c>
      <c r="J11" s="7">
        <v>3000</v>
      </c>
      <c r="K11" s="7">
        <v>3000</v>
      </c>
      <c r="L11" s="7">
        <v>3000</v>
      </c>
      <c r="M11" s="7">
        <v>6400</v>
      </c>
      <c r="N11" s="7">
        <v>7000</v>
      </c>
      <c r="O11" s="7">
        <v>7000</v>
      </c>
      <c r="P11" s="16">
        <f t="shared" si="9"/>
        <v>8118.333333333333</v>
      </c>
      <c r="Q11" s="16">
        <f t="shared" si="9"/>
        <v>9236.6666666666661</v>
      </c>
      <c r="R11" s="7">
        <v>10355</v>
      </c>
      <c r="S11" s="16">
        <f t="shared" si="10"/>
        <v>10487.777777777777</v>
      </c>
      <c r="T11" s="16">
        <f t="shared" si="10"/>
        <v>10620.555555555555</v>
      </c>
      <c r="U11" s="16">
        <f t="shared" si="10"/>
        <v>10753.333333333332</v>
      </c>
      <c r="V11" s="16">
        <f t="shared" si="10"/>
        <v>10886.111111111109</v>
      </c>
      <c r="W11" s="16">
        <f t="shared" si="10"/>
        <v>11018.888888888887</v>
      </c>
      <c r="X11" s="16">
        <f t="shared" si="10"/>
        <v>11151.666666666664</v>
      </c>
      <c r="Y11" s="16">
        <f t="shared" si="10"/>
        <v>11284.444444444442</v>
      </c>
      <c r="Z11" s="16">
        <f t="shared" si="10"/>
        <v>11417.222222222219</v>
      </c>
      <c r="AA11" s="7">
        <v>11550</v>
      </c>
      <c r="AB11" s="14">
        <f t="shared" si="11"/>
        <v>10721</v>
      </c>
      <c r="AC11" s="7">
        <v>9892</v>
      </c>
      <c r="AD11" s="7">
        <v>9892</v>
      </c>
      <c r="AE11" s="7">
        <v>9820</v>
      </c>
      <c r="AF11" s="14">
        <f t="shared" si="12"/>
        <v>9985.5</v>
      </c>
      <c r="AG11" s="10">
        <v>10151</v>
      </c>
      <c r="AH11" s="11">
        <v>10320</v>
      </c>
      <c r="AI11" s="10">
        <v>11125</v>
      </c>
      <c r="AJ11" s="14">
        <f t="shared" si="13"/>
        <v>11995.5</v>
      </c>
      <c r="AK11" s="2">
        <v>12866</v>
      </c>
      <c r="AL11" s="2">
        <v>14061</v>
      </c>
      <c r="AM11" s="7">
        <v>14038</v>
      </c>
      <c r="AN11" s="14">
        <f t="shared" si="14"/>
        <v>15429</v>
      </c>
      <c r="AO11" s="7">
        <v>16820</v>
      </c>
      <c r="AP11" s="14">
        <f t="shared" si="15"/>
        <v>16820</v>
      </c>
      <c r="AQ11" s="2">
        <v>16820</v>
      </c>
      <c r="AR11" s="14">
        <f t="shared" si="16"/>
        <v>17700</v>
      </c>
      <c r="AS11" s="2">
        <v>18580</v>
      </c>
      <c r="AT11" s="14">
        <f t="shared" si="17"/>
        <v>18400</v>
      </c>
      <c r="AU11" s="2">
        <v>18220</v>
      </c>
      <c r="AV11" s="14">
        <f t="shared" si="17"/>
        <v>19140</v>
      </c>
      <c r="AW11" s="2">
        <v>20060</v>
      </c>
      <c r="AX11" s="14">
        <f t="shared" si="17"/>
        <v>19750</v>
      </c>
      <c r="AY11" s="2">
        <v>19440</v>
      </c>
      <c r="AZ11" s="14">
        <f t="shared" si="17"/>
        <v>21105</v>
      </c>
      <c r="BA11" s="2">
        <v>22770</v>
      </c>
      <c r="BB11" s="14">
        <f t="shared" si="18"/>
        <v>24835</v>
      </c>
      <c r="BC11" s="2">
        <v>26900</v>
      </c>
      <c r="BD11" s="2">
        <v>26700</v>
      </c>
      <c r="BE11" s="2">
        <v>29230</v>
      </c>
      <c r="BF11" s="2">
        <v>31210</v>
      </c>
    </row>
    <row r="12" spans="1:58">
      <c r="A12" s="2" t="s">
        <v>37</v>
      </c>
      <c r="B12" s="7">
        <v>1839</v>
      </c>
      <c r="C12" s="7">
        <v>1840</v>
      </c>
      <c r="D12" s="16">
        <f t="shared" si="8"/>
        <v>1877.1428571428571</v>
      </c>
      <c r="E12" s="16">
        <f t="shared" si="8"/>
        <v>1914.2857142857142</v>
      </c>
      <c r="F12" s="16">
        <f t="shared" si="8"/>
        <v>1951.4285714285713</v>
      </c>
      <c r="G12" s="16">
        <f t="shared" si="8"/>
        <v>1988.5714285714284</v>
      </c>
      <c r="H12" s="16">
        <f t="shared" si="8"/>
        <v>2025.7142857142856</v>
      </c>
      <c r="I12" s="16">
        <f t="shared" si="8"/>
        <v>2062.8571428571427</v>
      </c>
      <c r="J12" s="7">
        <v>2100</v>
      </c>
      <c r="K12" s="7">
        <v>2100</v>
      </c>
      <c r="L12" s="7">
        <v>2100</v>
      </c>
      <c r="M12" s="7">
        <v>2400</v>
      </c>
      <c r="N12" s="7">
        <v>4000</v>
      </c>
      <c r="O12" s="7">
        <v>4000</v>
      </c>
      <c r="P12" s="16">
        <f t="shared" si="9"/>
        <v>4424</v>
      </c>
      <c r="Q12" s="16">
        <f t="shared" si="9"/>
        <v>4848</v>
      </c>
      <c r="R12" s="7">
        <v>5272</v>
      </c>
      <c r="S12" s="16">
        <f t="shared" si="10"/>
        <v>5430.5555555555557</v>
      </c>
      <c r="T12" s="16">
        <f t="shared" si="10"/>
        <v>5589.1111111111113</v>
      </c>
      <c r="U12" s="16">
        <f t="shared" si="10"/>
        <v>5747.666666666667</v>
      </c>
      <c r="V12" s="16">
        <f t="shared" si="10"/>
        <v>5906.2222222222226</v>
      </c>
      <c r="W12" s="16">
        <f t="shared" si="10"/>
        <v>6064.7777777777783</v>
      </c>
      <c r="X12" s="16">
        <f t="shared" si="10"/>
        <v>6223.3333333333339</v>
      </c>
      <c r="Y12" s="16">
        <f t="shared" si="10"/>
        <v>6381.8888888888896</v>
      </c>
      <c r="Z12" s="16">
        <f t="shared" si="10"/>
        <v>6540.4444444444453</v>
      </c>
      <c r="AA12" s="7">
        <v>6699</v>
      </c>
      <c r="AB12" s="14">
        <f t="shared" si="11"/>
        <v>6384.5</v>
      </c>
      <c r="AC12" s="7">
        <v>6070</v>
      </c>
      <c r="AD12" s="7">
        <v>6070</v>
      </c>
      <c r="AE12" s="7">
        <v>5630</v>
      </c>
      <c r="AF12" s="14">
        <f t="shared" si="12"/>
        <v>5352.5</v>
      </c>
      <c r="AG12" s="10">
        <v>5075</v>
      </c>
      <c r="AH12" s="11">
        <v>6628</v>
      </c>
      <c r="AI12" s="10">
        <v>5715</v>
      </c>
      <c r="AJ12" s="14">
        <f t="shared" si="13"/>
        <v>6267</v>
      </c>
      <c r="AK12" s="2">
        <v>6819</v>
      </c>
      <c r="AL12" s="2">
        <v>9317</v>
      </c>
      <c r="AM12" s="7">
        <v>6622</v>
      </c>
      <c r="AN12" s="14">
        <f t="shared" si="14"/>
        <v>6736</v>
      </c>
      <c r="AO12" s="7">
        <v>6850</v>
      </c>
      <c r="AP12" s="14">
        <f t="shared" si="15"/>
        <v>7075</v>
      </c>
      <c r="AQ12" s="2">
        <v>7300</v>
      </c>
      <c r="AR12" s="14">
        <f t="shared" si="16"/>
        <v>7435</v>
      </c>
      <c r="AS12" s="2">
        <v>7570</v>
      </c>
      <c r="AT12" s="14">
        <f t="shared" si="17"/>
        <v>7945</v>
      </c>
      <c r="AU12" s="2">
        <v>8320</v>
      </c>
      <c r="AV12" s="14">
        <f t="shared" si="17"/>
        <v>8040</v>
      </c>
      <c r="AW12" s="2">
        <v>7760</v>
      </c>
      <c r="AX12" s="14">
        <f t="shared" si="17"/>
        <v>8565</v>
      </c>
      <c r="AY12" s="2">
        <v>9370</v>
      </c>
      <c r="AZ12" s="14">
        <f t="shared" si="17"/>
        <v>10500</v>
      </c>
      <c r="BA12" s="2">
        <v>11630</v>
      </c>
      <c r="BB12" s="14">
        <f t="shared" si="18"/>
        <v>10865</v>
      </c>
      <c r="BC12" s="2">
        <v>10100</v>
      </c>
      <c r="BD12" s="2">
        <v>10130</v>
      </c>
      <c r="BE12" s="2">
        <v>9800</v>
      </c>
      <c r="BF12" s="2">
        <v>9150</v>
      </c>
    </row>
    <row r="13" spans="1:58">
      <c r="A13" s="2" t="s">
        <v>38</v>
      </c>
      <c r="B13" s="7">
        <v>4406</v>
      </c>
      <c r="C13" s="7">
        <v>4380</v>
      </c>
      <c r="D13" s="16">
        <f t="shared" si="8"/>
        <v>4454.2857142857147</v>
      </c>
      <c r="E13" s="16">
        <f t="shared" si="8"/>
        <v>4528.5714285714294</v>
      </c>
      <c r="F13" s="16">
        <f t="shared" si="8"/>
        <v>4602.857142857144</v>
      </c>
      <c r="G13" s="16">
        <f t="shared" si="8"/>
        <v>4677.1428571428587</v>
      </c>
      <c r="H13" s="16">
        <f t="shared" si="8"/>
        <v>4751.4285714285734</v>
      </c>
      <c r="I13" s="16">
        <f t="shared" si="8"/>
        <v>4825.7142857142881</v>
      </c>
      <c r="J13" s="7">
        <v>4900</v>
      </c>
      <c r="K13" s="7">
        <v>4900</v>
      </c>
      <c r="L13" s="7">
        <v>4900</v>
      </c>
      <c r="M13" s="7">
        <v>4000</v>
      </c>
      <c r="N13" s="7">
        <v>4000</v>
      </c>
      <c r="O13" s="7">
        <v>4000</v>
      </c>
      <c r="P13" s="16">
        <f t="shared" si="9"/>
        <v>4130</v>
      </c>
      <c r="Q13" s="16">
        <f t="shared" si="9"/>
        <v>4260</v>
      </c>
      <c r="R13" s="7">
        <v>4390</v>
      </c>
      <c r="S13" s="16">
        <f t="shared" si="10"/>
        <v>4284.8888888888887</v>
      </c>
      <c r="T13" s="16">
        <f t="shared" si="10"/>
        <v>4179.7777777777774</v>
      </c>
      <c r="U13" s="16">
        <f t="shared" si="10"/>
        <v>4074.6666666666661</v>
      </c>
      <c r="V13" s="16">
        <f t="shared" si="10"/>
        <v>3969.5555555555547</v>
      </c>
      <c r="W13" s="16">
        <f t="shared" si="10"/>
        <v>3864.4444444444434</v>
      </c>
      <c r="X13" s="16">
        <f t="shared" si="10"/>
        <v>3759.3333333333321</v>
      </c>
      <c r="Y13" s="16">
        <f t="shared" si="10"/>
        <v>3654.2222222222208</v>
      </c>
      <c r="Z13" s="16">
        <f t="shared" si="10"/>
        <v>3549.1111111111095</v>
      </c>
      <c r="AA13" s="7">
        <v>3444</v>
      </c>
      <c r="AB13" s="14">
        <f t="shared" si="11"/>
        <v>3406</v>
      </c>
      <c r="AC13" s="7">
        <v>3368</v>
      </c>
      <c r="AD13" s="7">
        <v>3368</v>
      </c>
      <c r="AE13" s="7">
        <v>2949</v>
      </c>
      <c r="AF13" s="14">
        <f t="shared" si="12"/>
        <v>3095.5</v>
      </c>
      <c r="AG13" s="10">
        <v>3242</v>
      </c>
      <c r="AH13" s="11">
        <v>2997</v>
      </c>
      <c r="AI13" s="10">
        <v>3546</v>
      </c>
      <c r="AJ13" s="14">
        <f t="shared" si="13"/>
        <v>3771.5</v>
      </c>
      <c r="AK13" s="2">
        <v>3997</v>
      </c>
      <c r="AL13" s="2">
        <v>3473</v>
      </c>
      <c r="AM13" s="7">
        <v>3654</v>
      </c>
      <c r="AN13" s="14">
        <f t="shared" si="14"/>
        <v>3657</v>
      </c>
      <c r="AO13" s="7">
        <v>3660</v>
      </c>
      <c r="AP13" s="14">
        <f t="shared" si="15"/>
        <v>3690</v>
      </c>
      <c r="AQ13" s="2">
        <v>3720</v>
      </c>
      <c r="AR13" s="14">
        <f t="shared" si="16"/>
        <v>3875</v>
      </c>
      <c r="AS13" s="2">
        <v>4030</v>
      </c>
      <c r="AT13" s="14">
        <f t="shared" si="17"/>
        <v>3985</v>
      </c>
      <c r="AU13" s="2">
        <v>3940</v>
      </c>
      <c r="AV13" s="14">
        <f t="shared" si="17"/>
        <v>4035</v>
      </c>
      <c r="AW13" s="2">
        <v>4130</v>
      </c>
      <c r="AX13" s="14">
        <f t="shared" si="17"/>
        <v>4465</v>
      </c>
      <c r="AY13" s="2">
        <v>4800</v>
      </c>
      <c r="AZ13" s="14">
        <f t="shared" si="17"/>
        <v>4660</v>
      </c>
      <c r="BA13" s="2">
        <v>4520</v>
      </c>
      <c r="BB13" s="14">
        <f t="shared" si="18"/>
        <v>5890</v>
      </c>
      <c r="BC13" s="2">
        <v>7260</v>
      </c>
      <c r="BD13" s="2">
        <v>5150</v>
      </c>
      <c r="BE13" s="2">
        <v>5380</v>
      </c>
      <c r="BF13" s="2">
        <v>5100</v>
      </c>
    </row>
    <row r="14" spans="1:58">
      <c r="A14" s="2" t="s">
        <v>39</v>
      </c>
      <c r="B14" s="7">
        <v>5888</v>
      </c>
      <c r="C14" s="7">
        <v>5840</v>
      </c>
      <c r="D14" s="16">
        <f t="shared" si="8"/>
        <v>5877.1428571428569</v>
      </c>
      <c r="E14" s="16">
        <f t="shared" si="8"/>
        <v>5914.2857142857138</v>
      </c>
      <c r="F14" s="16">
        <f t="shared" si="8"/>
        <v>5951.4285714285706</v>
      </c>
      <c r="G14" s="16">
        <f t="shared" si="8"/>
        <v>5988.5714285714275</v>
      </c>
      <c r="H14" s="16">
        <f t="shared" si="8"/>
        <v>6025.7142857142844</v>
      </c>
      <c r="I14" s="16">
        <f t="shared" si="8"/>
        <v>6062.8571428571413</v>
      </c>
      <c r="J14" s="7">
        <v>6100</v>
      </c>
      <c r="K14" s="7">
        <v>6100</v>
      </c>
      <c r="L14" s="7">
        <v>6100</v>
      </c>
      <c r="M14" s="7">
        <v>9200</v>
      </c>
      <c r="N14" s="7">
        <v>9000</v>
      </c>
      <c r="O14" s="7">
        <v>9000</v>
      </c>
      <c r="P14" s="16">
        <f t="shared" si="9"/>
        <v>9091.6666666666661</v>
      </c>
      <c r="Q14" s="16">
        <f t="shared" si="9"/>
        <v>9183.3333333333321</v>
      </c>
      <c r="R14" s="7">
        <v>9275</v>
      </c>
      <c r="S14" s="16">
        <f t="shared" si="10"/>
        <v>9181.3333333333339</v>
      </c>
      <c r="T14" s="16">
        <f t="shared" si="10"/>
        <v>9087.6666666666679</v>
      </c>
      <c r="U14" s="16">
        <f t="shared" si="10"/>
        <v>8994.0000000000018</v>
      </c>
      <c r="V14" s="16">
        <f t="shared" si="10"/>
        <v>8900.3333333333358</v>
      </c>
      <c r="W14" s="16">
        <f t="shared" si="10"/>
        <v>8806.6666666666697</v>
      </c>
      <c r="X14" s="16">
        <f t="shared" si="10"/>
        <v>8713.0000000000036</v>
      </c>
      <c r="Y14" s="16">
        <f t="shared" si="10"/>
        <v>8619.3333333333376</v>
      </c>
      <c r="Z14" s="16">
        <f t="shared" si="10"/>
        <v>8525.6666666666715</v>
      </c>
      <c r="AA14" s="7">
        <v>8432</v>
      </c>
      <c r="AB14" s="14">
        <f t="shared" si="11"/>
        <v>7992</v>
      </c>
      <c r="AC14" s="7">
        <v>7552</v>
      </c>
      <c r="AD14" s="7">
        <v>7552</v>
      </c>
      <c r="AE14" s="7">
        <v>7844</v>
      </c>
      <c r="AF14" s="14">
        <f t="shared" si="12"/>
        <v>7650.5</v>
      </c>
      <c r="AG14" s="10">
        <v>7457</v>
      </c>
      <c r="AH14" s="11">
        <v>7681</v>
      </c>
      <c r="AI14" s="10">
        <v>7939</v>
      </c>
      <c r="AJ14" s="14">
        <f t="shared" si="13"/>
        <v>8327.5</v>
      </c>
      <c r="AK14" s="2">
        <v>8716</v>
      </c>
      <c r="AL14" s="2">
        <v>9255</v>
      </c>
      <c r="AM14" s="7">
        <v>8398</v>
      </c>
      <c r="AN14" s="14">
        <f t="shared" si="14"/>
        <v>8704</v>
      </c>
      <c r="AO14" s="7">
        <v>9010</v>
      </c>
      <c r="AP14" s="14">
        <f t="shared" si="15"/>
        <v>8485</v>
      </c>
      <c r="AQ14" s="2">
        <v>7960</v>
      </c>
      <c r="AR14" s="14">
        <f t="shared" si="16"/>
        <v>7745</v>
      </c>
      <c r="AS14" s="2">
        <v>7530</v>
      </c>
      <c r="AT14" s="14">
        <f t="shared" si="17"/>
        <v>7835</v>
      </c>
      <c r="AU14" s="2">
        <v>8140</v>
      </c>
      <c r="AV14" s="14">
        <f t="shared" si="17"/>
        <v>7825</v>
      </c>
      <c r="AW14" s="2">
        <v>7510</v>
      </c>
      <c r="AX14" s="14">
        <f t="shared" si="17"/>
        <v>7705</v>
      </c>
      <c r="AY14" s="2">
        <v>7900</v>
      </c>
      <c r="AZ14" s="14">
        <f t="shared" si="17"/>
        <v>9660</v>
      </c>
      <c r="BA14" s="2">
        <v>11420</v>
      </c>
      <c r="BB14" s="14">
        <f t="shared" si="18"/>
        <v>10060</v>
      </c>
      <c r="BC14" s="2">
        <v>8700</v>
      </c>
      <c r="BD14" s="2">
        <v>8910</v>
      </c>
      <c r="BE14" s="2">
        <v>8760</v>
      </c>
      <c r="BF14" s="2">
        <v>8770</v>
      </c>
    </row>
    <row r="15" spans="1:58">
      <c r="A15" s="2" t="s">
        <v>40</v>
      </c>
      <c r="B15" s="7">
        <v>5282</v>
      </c>
      <c r="C15" s="7">
        <v>5230</v>
      </c>
      <c r="D15" s="16">
        <f t="shared" si="8"/>
        <v>5382.8571428571431</v>
      </c>
      <c r="E15" s="16">
        <f t="shared" si="8"/>
        <v>5535.7142857142862</v>
      </c>
      <c r="F15" s="16">
        <f t="shared" si="8"/>
        <v>5688.5714285714294</v>
      </c>
      <c r="G15" s="16">
        <f t="shared" si="8"/>
        <v>5841.4285714285725</v>
      </c>
      <c r="H15" s="16">
        <f t="shared" si="8"/>
        <v>5994.2857142857156</v>
      </c>
      <c r="I15" s="16">
        <f t="shared" si="8"/>
        <v>6147.1428571428587</v>
      </c>
      <c r="J15" s="7">
        <v>6300</v>
      </c>
      <c r="K15" s="7">
        <v>6300</v>
      </c>
      <c r="L15" s="7">
        <v>6300</v>
      </c>
      <c r="M15" s="7">
        <v>6900</v>
      </c>
      <c r="N15" s="7">
        <v>7000</v>
      </c>
      <c r="O15" s="7">
        <v>7000</v>
      </c>
      <c r="P15" s="16">
        <f t="shared" si="9"/>
        <v>6950.333333333333</v>
      </c>
      <c r="Q15" s="16">
        <f t="shared" si="9"/>
        <v>6900.6666666666661</v>
      </c>
      <c r="R15" s="7">
        <v>6851</v>
      </c>
      <c r="S15" s="16">
        <f t="shared" si="10"/>
        <v>6848.8888888888887</v>
      </c>
      <c r="T15" s="16">
        <f t="shared" si="10"/>
        <v>6846.7777777777774</v>
      </c>
      <c r="U15" s="16">
        <f t="shared" si="10"/>
        <v>6844.6666666666661</v>
      </c>
      <c r="V15" s="16">
        <f t="shared" si="10"/>
        <v>6842.5555555555547</v>
      </c>
      <c r="W15" s="16">
        <f t="shared" si="10"/>
        <v>6840.4444444444434</v>
      </c>
      <c r="X15" s="16">
        <f t="shared" si="10"/>
        <v>6838.3333333333321</v>
      </c>
      <c r="Y15" s="16">
        <f t="shared" si="10"/>
        <v>6836.2222222222208</v>
      </c>
      <c r="Z15" s="16">
        <f t="shared" si="10"/>
        <v>6834.1111111111095</v>
      </c>
      <c r="AA15" s="7">
        <v>6832</v>
      </c>
      <c r="AB15" s="14">
        <f t="shared" si="11"/>
        <v>6700.5</v>
      </c>
      <c r="AC15" s="7">
        <v>6569</v>
      </c>
      <c r="AD15" s="7">
        <v>6569</v>
      </c>
      <c r="AE15" s="7">
        <v>5648</v>
      </c>
      <c r="AF15" s="14">
        <f t="shared" si="12"/>
        <v>5941.5</v>
      </c>
      <c r="AG15" s="10">
        <v>6235</v>
      </c>
      <c r="AH15" s="11">
        <v>5976</v>
      </c>
      <c r="AI15" s="10">
        <v>6348</v>
      </c>
      <c r="AJ15" s="14">
        <f t="shared" si="13"/>
        <v>6972</v>
      </c>
      <c r="AK15" s="2">
        <v>7596</v>
      </c>
      <c r="AL15" s="2">
        <v>7671</v>
      </c>
      <c r="AM15" s="7">
        <v>7666</v>
      </c>
      <c r="AN15" s="14">
        <f t="shared" si="14"/>
        <v>7738</v>
      </c>
      <c r="AO15" s="7">
        <v>7810</v>
      </c>
      <c r="AP15" s="14">
        <f t="shared" si="15"/>
        <v>8165</v>
      </c>
      <c r="AQ15" s="2">
        <v>8520</v>
      </c>
      <c r="AR15" s="14">
        <f t="shared" si="16"/>
        <v>8985</v>
      </c>
      <c r="AS15" s="2">
        <v>9450</v>
      </c>
      <c r="AT15" s="14">
        <f t="shared" si="17"/>
        <v>9340</v>
      </c>
      <c r="AU15" s="2">
        <v>9230</v>
      </c>
      <c r="AV15" s="14">
        <f t="shared" si="17"/>
        <v>9030</v>
      </c>
      <c r="AW15" s="2">
        <v>8830</v>
      </c>
      <c r="AX15" s="14">
        <f t="shared" si="17"/>
        <v>8900</v>
      </c>
      <c r="AY15" s="2">
        <v>8970</v>
      </c>
      <c r="AZ15" s="14">
        <f t="shared" si="17"/>
        <v>9050</v>
      </c>
      <c r="BA15" s="2">
        <v>9130</v>
      </c>
      <c r="BB15" s="14">
        <f t="shared" si="18"/>
        <v>9480</v>
      </c>
      <c r="BC15" s="2">
        <v>9830</v>
      </c>
      <c r="BD15" s="2">
        <v>10200</v>
      </c>
      <c r="BE15" s="2">
        <v>10620</v>
      </c>
      <c r="BF15" s="2">
        <v>11060</v>
      </c>
    </row>
    <row r="16" spans="1:58">
      <c r="A16" s="2" t="s">
        <v>41</v>
      </c>
      <c r="B16" s="7">
        <v>887</v>
      </c>
      <c r="C16" s="7">
        <v>880</v>
      </c>
      <c r="D16" s="16">
        <f t="shared" si="8"/>
        <v>897.14285714285711</v>
      </c>
      <c r="E16" s="16">
        <f t="shared" si="8"/>
        <v>914.28571428571422</v>
      </c>
      <c r="F16" s="16">
        <f t="shared" si="8"/>
        <v>931.42857142857133</v>
      </c>
      <c r="G16" s="16">
        <f t="shared" si="8"/>
        <v>948.57142857142844</v>
      </c>
      <c r="H16" s="16">
        <f t="shared" si="8"/>
        <v>965.71428571428555</v>
      </c>
      <c r="I16" s="16">
        <f t="shared" si="8"/>
        <v>982.85714285714266</v>
      </c>
      <c r="J16" s="7">
        <v>1000</v>
      </c>
      <c r="K16" s="7">
        <v>1000</v>
      </c>
      <c r="L16" s="7">
        <v>1000</v>
      </c>
      <c r="M16" s="7">
        <v>3600</v>
      </c>
      <c r="N16" s="7">
        <v>4000</v>
      </c>
      <c r="O16" s="7">
        <v>4000</v>
      </c>
      <c r="P16" s="16">
        <f t="shared" si="9"/>
        <v>3907.3333333333335</v>
      </c>
      <c r="Q16" s="16">
        <f t="shared" si="9"/>
        <v>3814.666666666667</v>
      </c>
      <c r="R16" s="7">
        <v>3722</v>
      </c>
      <c r="S16" s="16">
        <f t="shared" si="10"/>
        <v>3680.5555555555557</v>
      </c>
      <c r="T16" s="16">
        <f t="shared" si="10"/>
        <v>3639.1111111111113</v>
      </c>
      <c r="U16" s="16">
        <f t="shared" si="10"/>
        <v>3597.666666666667</v>
      </c>
      <c r="V16" s="16">
        <f t="shared" si="10"/>
        <v>3556.2222222222226</v>
      </c>
      <c r="W16" s="16">
        <f t="shared" si="10"/>
        <v>3514.7777777777783</v>
      </c>
      <c r="X16" s="16">
        <f t="shared" si="10"/>
        <v>3473.3333333333339</v>
      </c>
      <c r="Y16" s="16">
        <f t="shared" si="10"/>
        <v>3431.8888888888896</v>
      </c>
      <c r="Z16" s="16">
        <f t="shared" si="10"/>
        <v>3390.4444444444453</v>
      </c>
      <c r="AA16" s="7">
        <v>3349</v>
      </c>
      <c r="AB16" s="14">
        <f t="shared" si="11"/>
        <v>3539</v>
      </c>
      <c r="AC16" s="7">
        <v>3729</v>
      </c>
      <c r="AD16" s="7">
        <v>3729</v>
      </c>
      <c r="AE16" s="7">
        <v>3901</v>
      </c>
      <c r="AF16" s="14">
        <f t="shared" si="12"/>
        <v>3537.5</v>
      </c>
      <c r="AG16" s="10">
        <v>3174</v>
      </c>
      <c r="AH16" s="11">
        <v>3565</v>
      </c>
      <c r="AI16" s="10">
        <v>3742</v>
      </c>
      <c r="AJ16" s="14">
        <f t="shared" si="13"/>
        <v>3695.5</v>
      </c>
      <c r="AK16" s="2">
        <v>3649</v>
      </c>
      <c r="AL16" s="2">
        <v>3792</v>
      </c>
      <c r="AM16" s="7">
        <v>3452</v>
      </c>
      <c r="AN16" s="14">
        <f t="shared" si="14"/>
        <v>3411</v>
      </c>
      <c r="AO16" s="7">
        <v>3370</v>
      </c>
      <c r="AP16" s="14">
        <f t="shared" si="15"/>
        <v>3260</v>
      </c>
      <c r="AQ16" s="2">
        <v>3150</v>
      </c>
      <c r="AR16" s="14">
        <f t="shared" si="16"/>
        <v>3250</v>
      </c>
      <c r="AS16" s="2">
        <v>3350</v>
      </c>
      <c r="AT16" s="14">
        <f t="shared" si="17"/>
        <v>3355</v>
      </c>
      <c r="AU16" s="2">
        <v>3360</v>
      </c>
      <c r="AV16" s="14">
        <f t="shared" si="17"/>
        <v>3305</v>
      </c>
      <c r="AW16" s="2">
        <v>3250</v>
      </c>
      <c r="AX16" s="14">
        <f t="shared" si="17"/>
        <v>3420</v>
      </c>
      <c r="AY16" s="2">
        <v>3590</v>
      </c>
      <c r="AZ16" s="14">
        <f t="shared" si="17"/>
        <v>3145</v>
      </c>
      <c r="BA16" s="2">
        <v>2700</v>
      </c>
      <c r="BB16" s="14">
        <f t="shared" si="18"/>
        <v>2865</v>
      </c>
      <c r="BC16" s="2">
        <v>3030</v>
      </c>
      <c r="BD16" s="2">
        <v>3280</v>
      </c>
      <c r="BE16" s="2">
        <v>3330</v>
      </c>
      <c r="BF16" s="2">
        <v>3200</v>
      </c>
    </row>
    <row r="17" spans="1:58">
      <c r="A17" s="2" t="s">
        <v>42</v>
      </c>
      <c r="B17" s="7">
        <v>972</v>
      </c>
      <c r="C17" s="7">
        <v>960</v>
      </c>
      <c r="D17" s="16">
        <f t="shared" si="8"/>
        <v>980</v>
      </c>
      <c r="E17" s="16">
        <f t="shared" si="8"/>
        <v>1000</v>
      </c>
      <c r="F17" s="16">
        <f t="shared" si="8"/>
        <v>1020</v>
      </c>
      <c r="G17" s="16">
        <f t="shared" si="8"/>
        <v>1040</v>
      </c>
      <c r="H17" s="16">
        <f t="shared" si="8"/>
        <v>1060</v>
      </c>
      <c r="I17" s="16">
        <f t="shared" si="8"/>
        <v>1080</v>
      </c>
      <c r="J17" s="7">
        <v>1100</v>
      </c>
      <c r="K17" s="7">
        <v>1100</v>
      </c>
      <c r="L17" s="7">
        <v>1100</v>
      </c>
      <c r="M17" s="7">
        <v>2100</v>
      </c>
      <c r="N17" s="7">
        <v>3000</v>
      </c>
      <c r="O17" s="7">
        <v>3000</v>
      </c>
      <c r="P17" s="16">
        <f t="shared" si="9"/>
        <v>2927</v>
      </c>
      <c r="Q17" s="16">
        <f t="shared" si="9"/>
        <v>2854</v>
      </c>
      <c r="R17" s="7">
        <v>2781</v>
      </c>
      <c r="S17" s="16">
        <f t="shared" si="10"/>
        <v>2760.8888888888887</v>
      </c>
      <c r="T17" s="16">
        <f t="shared" si="10"/>
        <v>2740.7777777777774</v>
      </c>
      <c r="U17" s="16">
        <f t="shared" si="10"/>
        <v>2720.6666666666661</v>
      </c>
      <c r="V17" s="16">
        <f t="shared" si="10"/>
        <v>2700.5555555555547</v>
      </c>
      <c r="W17" s="16">
        <f t="shared" si="10"/>
        <v>2680.4444444444434</v>
      </c>
      <c r="X17" s="16">
        <f t="shared" si="10"/>
        <v>2660.3333333333321</v>
      </c>
      <c r="Y17" s="16">
        <f t="shared" si="10"/>
        <v>2640.2222222222208</v>
      </c>
      <c r="Z17" s="16">
        <f t="shared" si="10"/>
        <v>2620.1111111111095</v>
      </c>
      <c r="AA17" s="7">
        <v>2600</v>
      </c>
      <c r="AB17" s="14">
        <f t="shared" si="11"/>
        <v>2895.5</v>
      </c>
      <c r="AC17" s="7">
        <v>3191</v>
      </c>
      <c r="AD17" s="7">
        <v>3191</v>
      </c>
      <c r="AE17" s="7">
        <v>2983</v>
      </c>
      <c r="AF17" s="14">
        <f t="shared" si="12"/>
        <v>3063.5</v>
      </c>
      <c r="AG17" s="10">
        <v>3144</v>
      </c>
      <c r="AH17" s="11">
        <v>3272</v>
      </c>
      <c r="AI17" s="10">
        <v>3565</v>
      </c>
      <c r="AJ17" s="14">
        <f t="shared" si="13"/>
        <v>3910.5</v>
      </c>
      <c r="AK17" s="2">
        <v>4256</v>
      </c>
      <c r="AL17" s="2">
        <v>4141</v>
      </c>
      <c r="AM17" s="7">
        <v>4299</v>
      </c>
      <c r="AN17" s="14">
        <f t="shared" si="14"/>
        <v>4714.5</v>
      </c>
      <c r="AO17" s="7">
        <v>5130</v>
      </c>
      <c r="AP17" s="14">
        <f t="shared" si="15"/>
        <v>5230</v>
      </c>
      <c r="AQ17" s="2">
        <v>5330</v>
      </c>
      <c r="AR17" s="14">
        <f t="shared" si="16"/>
        <v>5460</v>
      </c>
      <c r="AS17" s="2">
        <v>5590</v>
      </c>
      <c r="AT17" s="14">
        <f t="shared" si="17"/>
        <v>5660</v>
      </c>
      <c r="AU17" s="2">
        <v>5730</v>
      </c>
      <c r="AV17" s="14">
        <f t="shared" si="17"/>
        <v>6020</v>
      </c>
      <c r="AW17" s="2">
        <v>6310</v>
      </c>
      <c r="AX17" s="14">
        <f t="shared" si="17"/>
        <v>6715</v>
      </c>
      <c r="AY17" s="2">
        <v>7120</v>
      </c>
      <c r="AZ17" s="14">
        <f t="shared" si="17"/>
        <v>7305</v>
      </c>
      <c r="BA17" s="2">
        <v>7490</v>
      </c>
      <c r="BB17" s="14">
        <f t="shared" si="18"/>
        <v>7155</v>
      </c>
      <c r="BC17" s="2">
        <v>6820</v>
      </c>
      <c r="BD17" s="2">
        <v>7190</v>
      </c>
      <c r="BE17" s="2">
        <v>7450</v>
      </c>
      <c r="BF17" s="2">
        <v>7740</v>
      </c>
    </row>
    <row r="18" spans="1:58">
      <c r="A18" s="2" t="s">
        <v>43</v>
      </c>
      <c r="B18" s="7">
        <v>893</v>
      </c>
      <c r="C18" s="7">
        <v>890</v>
      </c>
      <c r="D18" s="16">
        <f t="shared" ref="D18:I23" si="19">(($J18-$C18)/7)+C18</f>
        <v>877.14285714285711</v>
      </c>
      <c r="E18" s="16">
        <f t="shared" si="19"/>
        <v>864.28571428571422</v>
      </c>
      <c r="F18" s="16">
        <f t="shared" si="19"/>
        <v>851.42857142857133</v>
      </c>
      <c r="G18" s="16">
        <f t="shared" si="19"/>
        <v>838.57142857142844</v>
      </c>
      <c r="H18" s="16">
        <f t="shared" si="19"/>
        <v>825.71428571428555</v>
      </c>
      <c r="I18" s="16">
        <f t="shared" si="19"/>
        <v>812.85714285714266</v>
      </c>
      <c r="J18" s="7">
        <v>800</v>
      </c>
      <c r="K18" s="7">
        <v>800</v>
      </c>
      <c r="L18" s="7">
        <v>800</v>
      </c>
      <c r="M18" s="7">
        <v>900</v>
      </c>
      <c r="N18" s="7">
        <v>900</v>
      </c>
      <c r="O18" s="7">
        <v>900</v>
      </c>
      <c r="P18" s="16">
        <f t="shared" si="9"/>
        <v>945</v>
      </c>
      <c r="Q18" s="16">
        <f t="shared" si="9"/>
        <v>990</v>
      </c>
      <c r="R18" s="7">
        <v>1035</v>
      </c>
      <c r="S18" s="16">
        <f t="shared" ref="S18:Z23" si="20">(($AA18-$R18)/9)+R18</f>
        <v>1042.7777777777778</v>
      </c>
      <c r="T18" s="16">
        <f t="shared" si="20"/>
        <v>1050.5555555555557</v>
      </c>
      <c r="U18" s="16">
        <f t="shared" si="20"/>
        <v>1058.3333333333335</v>
      </c>
      <c r="V18" s="16">
        <f t="shared" si="20"/>
        <v>1066.1111111111113</v>
      </c>
      <c r="W18" s="16">
        <f t="shared" si="20"/>
        <v>1073.8888888888891</v>
      </c>
      <c r="X18" s="16">
        <f t="shared" si="20"/>
        <v>1081.666666666667</v>
      </c>
      <c r="Y18" s="16">
        <f t="shared" si="20"/>
        <v>1089.4444444444448</v>
      </c>
      <c r="Z18" s="16">
        <f t="shared" si="20"/>
        <v>1097.2222222222226</v>
      </c>
      <c r="AA18" s="7">
        <v>1105</v>
      </c>
      <c r="AB18" s="14">
        <f t="shared" si="11"/>
        <v>1292.5</v>
      </c>
      <c r="AC18" s="7">
        <v>1480</v>
      </c>
      <c r="AD18" s="7">
        <v>1480</v>
      </c>
      <c r="AE18" s="7">
        <v>1536</v>
      </c>
      <c r="AF18" s="14">
        <f t="shared" si="12"/>
        <v>1416</v>
      </c>
      <c r="AG18" s="10">
        <v>1296</v>
      </c>
      <c r="AH18" s="11">
        <v>1449</v>
      </c>
      <c r="AI18" s="10">
        <v>1250</v>
      </c>
      <c r="AJ18" s="14">
        <f t="shared" si="13"/>
        <v>1442.5</v>
      </c>
      <c r="AK18" s="2">
        <v>1635</v>
      </c>
      <c r="AL18" s="2">
        <v>1382</v>
      </c>
      <c r="AM18" s="7">
        <v>1581</v>
      </c>
      <c r="AN18" s="14">
        <f t="shared" si="14"/>
        <v>1565.5</v>
      </c>
      <c r="AO18" s="7">
        <v>1550</v>
      </c>
      <c r="AP18" s="14">
        <f t="shared" si="15"/>
        <v>1665</v>
      </c>
      <c r="AQ18" s="2">
        <v>1780</v>
      </c>
      <c r="AR18" s="14">
        <f t="shared" si="16"/>
        <v>1905</v>
      </c>
      <c r="AS18" s="2">
        <v>2030</v>
      </c>
      <c r="AT18" s="14">
        <f t="shared" si="17"/>
        <v>1780</v>
      </c>
      <c r="AU18" s="2">
        <v>1530</v>
      </c>
      <c r="AV18" s="14">
        <f t="shared" si="17"/>
        <v>1645</v>
      </c>
      <c r="AW18" s="2">
        <v>1760</v>
      </c>
      <c r="AX18" s="14">
        <f t="shared" si="17"/>
        <v>1875</v>
      </c>
      <c r="AY18" s="2">
        <v>1990</v>
      </c>
      <c r="AZ18" s="14">
        <f t="shared" si="17"/>
        <v>1780</v>
      </c>
      <c r="BA18" s="2">
        <v>1570</v>
      </c>
      <c r="BB18" s="14">
        <f t="shared" si="18"/>
        <v>1670</v>
      </c>
      <c r="BC18" s="2">
        <v>1770</v>
      </c>
      <c r="BD18" s="2">
        <v>1780</v>
      </c>
      <c r="BE18" s="2">
        <v>1900</v>
      </c>
      <c r="BF18" s="2">
        <v>1970</v>
      </c>
    </row>
    <row r="19" spans="1:58">
      <c r="A19" s="2" t="s">
        <v>44</v>
      </c>
      <c r="B19" s="7">
        <v>709</v>
      </c>
      <c r="C19" s="7">
        <v>700</v>
      </c>
      <c r="D19" s="16">
        <f t="shared" si="19"/>
        <v>700</v>
      </c>
      <c r="E19" s="16">
        <f t="shared" si="19"/>
        <v>700</v>
      </c>
      <c r="F19" s="16">
        <f t="shared" si="19"/>
        <v>700</v>
      </c>
      <c r="G19" s="16">
        <f t="shared" si="19"/>
        <v>700</v>
      </c>
      <c r="H19" s="16">
        <f t="shared" si="19"/>
        <v>700</v>
      </c>
      <c r="I19" s="16">
        <f t="shared" si="19"/>
        <v>700</v>
      </c>
      <c r="J19" s="7">
        <v>700</v>
      </c>
      <c r="K19" s="7">
        <v>700</v>
      </c>
      <c r="L19" s="7">
        <v>700</v>
      </c>
      <c r="M19" s="7">
        <v>2400</v>
      </c>
      <c r="N19" s="7">
        <v>3000</v>
      </c>
      <c r="O19" s="7">
        <v>3000</v>
      </c>
      <c r="P19" s="16">
        <f t="shared" si="9"/>
        <v>2897.6666666666665</v>
      </c>
      <c r="Q19" s="16">
        <f t="shared" si="9"/>
        <v>2795.333333333333</v>
      </c>
      <c r="R19" s="7">
        <v>2693</v>
      </c>
      <c r="S19" s="16">
        <f t="shared" si="20"/>
        <v>2671.8333333333335</v>
      </c>
      <c r="T19" s="16">
        <f t="shared" si="20"/>
        <v>2650.666666666667</v>
      </c>
      <c r="U19" s="16">
        <f t="shared" si="20"/>
        <v>2629.5000000000005</v>
      </c>
      <c r="V19" s="16">
        <f t="shared" si="20"/>
        <v>2608.3333333333339</v>
      </c>
      <c r="W19" s="16">
        <f t="shared" si="20"/>
        <v>2587.1666666666674</v>
      </c>
      <c r="X19" s="16">
        <f t="shared" si="20"/>
        <v>2566.0000000000009</v>
      </c>
      <c r="Y19" s="16">
        <f t="shared" si="20"/>
        <v>2544.8333333333344</v>
      </c>
      <c r="Z19" s="16">
        <f t="shared" si="20"/>
        <v>2523.6666666666679</v>
      </c>
      <c r="AA19" s="7">
        <f>((AC19-R19)/2)+R19</f>
        <v>2502.5</v>
      </c>
      <c r="AB19" s="14">
        <f t="shared" si="11"/>
        <v>2407.25</v>
      </c>
      <c r="AC19" s="7">
        <v>2312</v>
      </c>
      <c r="AD19" s="7">
        <v>2312</v>
      </c>
      <c r="AE19" s="7">
        <v>2383</v>
      </c>
      <c r="AF19" s="14">
        <f t="shared" si="12"/>
        <v>2380.5</v>
      </c>
      <c r="AG19" s="10">
        <v>2378</v>
      </c>
      <c r="AH19" s="11">
        <v>2701</v>
      </c>
      <c r="AI19" s="10">
        <v>2418</v>
      </c>
      <c r="AJ19" s="14">
        <f t="shared" si="13"/>
        <v>2666.5</v>
      </c>
      <c r="AK19" s="2">
        <v>2915</v>
      </c>
      <c r="AL19" s="2">
        <v>3532</v>
      </c>
      <c r="AM19" s="7">
        <v>2923</v>
      </c>
      <c r="AN19" s="14">
        <f t="shared" si="14"/>
        <v>2876.5</v>
      </c>
      <c r="AO19" s="7">
        <v>2830</v>
      </c>
      <c r="AP19" s="14">
        <f t="shared" si="15"/>
        <v>2890</v>
      </c>
      <c r="AQ19" s="2">
        <v>2950</v>
      </c>
      <c r="AR19" s="14">
        <f t="shared" si="16"/>
        <v>3080</v>
      </c>
      <c r="AS19" s="2">
        <v>3210</v>
      </c>
      <c r="AT19" s="14">
        <f t="shared" si="17"/>
        <v>3140</v>
      </c>
      <c r="AU19" s="2">
        <v>3070</v>
      </c>
      <c r="AV19" s="14">
        <f t="shared" si="17"/>
        <v>3015</v>
      </c>
      <c r="AW19" s="2">
        <v>2960</v>
      </c>
      <c r="AX19" s="14">
        <f t="shared" si="17"/>
        <v>2985</v>
      </c>
      <c r="AY19" s="2">
        <v>3010</v>
      </c>
      <c r="AZ19" s="14">
        <f t="shared" si="17"/>
        <v>3070</v>
      </c>
      <c r="BA19" s="2">
        <v>3130</v>
      </c>
      <c r="BB19" s="14">
        <f t="shared" si="18"/>
        <v>3195</v>
      </c>
      <c r="BC19" s="2">
        <v>3260</v>
      </c>
      <c r="BD19" s="2">
        <v>3240</v>
      </c>
      <c r="BE19" s="2">
        <v>3460</v>
      </c>
      <c r="BF19" s="2">
        <v>3510</v>
      </c>
    </row>
    <row r="20" spans="1:58">
      <c r="A20" s="2" t="s">
        <v>45</v>
      </c>
      <c r="B20" s="7">
        <v>2423</v>
      </c>
      <c r="C20" s="7">
        <v>2420</v>
      </c>
      <c r="D20" s="16">
        <f t="shared" si="19"/>
        <v>2460</v>
      </c>
      <c r="E20" s="16">
        <f t="shared" si="19"/>
        <v>2500</v>
      </c>
      <c r="F20" s="16">
        <f t="shared" si="19"/>
        <v>2540</v>
      </c>
      <c r="G20" s="16">
        <f t="shared" si="19"/>
        <v>2580</v>
      </c>
      <c r="H20" s="16">
        <f t="shared" si="19"/>
        <v>2620</v>
      </c>
      <c r="I20" s="16">
        <f t="shared" si="19"/>
        <v>2660</v>
      </c>
      <c r="J20" s="7">
        <v>2700</v>
      </c>
      <c r="K20" s="7">
        <v>2700</v>
      </c>
      <c r="L20" s="7">
        <v>2700</v>
      </c>
      <c r="M20" s="7">
        <v>3000</v>
      </c>
      <c r="N20" s="7">
        <v>5000</v>
      </c>
      <c r="O20" s="7">
        <v>5000</v>
      </c>
      <c r="P20" s="16">
        <f t="shared" si="9"/>
        <v>5075.333333333333</v>
      </c>
      <c r="Q20" s="16">
        <f t="shared" si="9"/>
        <v>5150.6666666666661</v>
      </c>
      <c r="R20" s="7">
        <v>5226</v>
      </c>
      <c r="S20" s="16">
        <f t="shared" si="20"/>
        <v>5306.333333333333</v>
      </c>
      <c r="T20" s="16">
        <f t="shared" si="20"/>
        <v>5386.6666666666661</v>
      </c>
      <c r="U20" s="16">
        <f t="shared" si="20"/>
        <v>5466.9999999999991</v>
      </c>
      <c r="V20" s="16">
        <f t="shared" si="20"/>
        <v>5547.3333333333321</v>
      </c>
      <c r="W20" s="16">
        <f t="shared" si="20"/>
        <v>5627.6666666666652</v>
      </c>
      <c r="X20" s="16">
        <f t="shared" si="20"/>
        <v>5707.9999999999982</v>
      </c>
      <c r="Y20" s="16">
        <f t="shared" si="20"/>
        <v>5788.3333333333312</v>
      </c>
      <c r="Z20" s="16">
        <f t="shared" si="20"/>
        <v>5868.6666666666642</v>
      </c>
      <c r="AA20" s="7">
        <v>5949</v>
      </c>
      <c r="AB20" s="14">
        <f t="shared" si="11"/>
        <v>5425</v>
      </c>
      <c r="AC20" s="7">
        <v>4901</v>
      </c>
      <c r="AD20" s="7">
        <v>4901</v>
      </c>
      <c r="AE20" s="7">
        <v>4970</v>
      </c>
      <c r="AF20" s="14">
        <f t="shared" si="12"/>
        <v>4698.5</v>
      </c>
      <c r="AG20" s="10">
        <v>4427</v>
      </c>
      <c r="AH20" s="11">
        <v>6332</v>
      </c>
      <c r="AI20" s="10">
        <v>5043</v>
      </c>
      <c r="AJ20" s="14">
        <f t="shared" si="13"/>
        <v>5880</v>
      </c>
      <c r="AK20" s="2">
        <v>6717</v>
      </c>
      <c r="AL20" s="2">
        <v>7362</v>
      </c>
      <c r="AM20" s="7">
        <v>5462</v>
      </c>
      <c r="AN20" s="14">
        <f t="shared" si="14"/>
        <v>5371</v>
      </c>
      <c r="AO20" s="7">
        <v>5280</v>
      </c>
      <c r="AP20" s="14">
        <f t="shared" si="15"/>
        <v>5570</v>
      </c>
      <c r="AQ20" s="2">
        <v>5860</v>
      </c>
      <c r="AR20" s="14">
        <f t="shared" si="16"/>
        <v>5875</v>
      </c>
      <c r="AS20" s="2">
        <v>5890</v>
      </c>
      <c r="AT20" s="14">
        <f t="shared" si="17"/>
        <v>6055</v>
      </c>
      <c r="AU20" s="2">
        <v>6220</v>
      </c>
      <c r="AV20" s="14">
        <f t="shared" si="17"/>
        <v>6040</v>
      </c>
      <c r="AW20" s="2">
        <v>5860</v>
      </c>
      <c r="AX20" s="14">
        <f t="shared" si="17"/>
        <v>5685</v>
      </c>
      <c r="AY20" s="2">
        <v>5510</v>
      </c>
      <c r="AZ20" s="14">
        <f t="shared" si="17"/>
        <v>5775</v>
      </c>
      <c r="BA20" s="2">
        <v>6040</v>
      </c>
      <c r="BB20" s="14">
        <f t="shared" si="18"/>
        <v>6915</v>
      </c>
      <c r="BC20" s="2">
        <v>7790</v>
      </c>
      <c r="BD20" s="2">
        <v>6740</v>
      </c>
      <c r="BE20" s="2">
        <v>7210</v>
      </c>
      <c r="BF20" s="2">
        <v>7440</v>
      </c>
    </row>
    <row r="21" spans="1:58">
      <c r="A21" s="2" t="s">
        <v>46</v>
      </c>
      <c r="B21" s="7">
        <v>5057</v>
      </c>
      <c r="C21" s="7">
        <v>5020</v>
      </c>
      <c r="D21" s="16">
        <f t="shared" si="19"/>
        <v>5117.1428571428569</v>
      </c>
      <c r="E21" s="16">
        <f t="shared" si="19"/>
        <v>5214.2857142857138</v>
      </c>
      <c r="F21" s="16">
        <f t="shared" si="19"/>
        <v>5311.4285714285706</v>
      </c>
      <c r="G21" s="16">
        <f t="shared" si="19"/>
        <v>5408.5714285714275</v>
      </c>
      <c r="H21" s="16">
        <f t="shared" si="19"/>
        <v>5505.7142857142844</v>
      </c>
      <c r="I21" s="16">
        <f t="shared" si="19"/>
        <v>5602.8571428571413</v>
      </c>
      <c r="J21" s="7">
        <v>5700</v>
      </c>
      <c r="K21" s="7">
        <v>5700</v>
      </c>
      <c r="L21" s="7">
        <v>5700</v>
      </c>
      <c r="M21" s="7">
        <v>4600</v>
      </c>
      <c r="N21" s="7">
        <v>6000</v>
      </c>
      <c r="O21" s="7">
        <v>6000</v>
      </c>
      <c r="P21" s="16">
        <f t="shared" si="9"/>
        <v>6363</v>
      </c>
      <c r="Q21" s="16">
        <f t="shared" si="9"/>
        <v>6726</v>
      </c>
      <c r="R21" s="7">
        <v>7089</v>
      </c>
      <c r="S21" s="16">
        <f t="shared" si="20"/>
        <v>7362.666666666667</v>
      </c>
      <c r="T21" s="16">
        <f t="shared" si="20"/>
        <v>7636.3333333333339</v>
      </c>
      <c r="U21" s="16">
        <f t="shared" si="20"/>
        <v>7910.0000000000009</v>
      </c>
      <c r="V21" s="16">
        <f t="shared" si="20"/>
        <v>8183.6666666666679</v>
      </c>
      <c r="W21" s="16">
        <f t="shared" si="20"/>
        <v>8457.3333333333339</v>
      </c>
      <c r="X21" s="16">
        <f t="shared" si="20"/>
        <v>8731</v>
      </c>
      <c r="Y21" s="16">
        <f t="shared" si="20"/>
        <v>9004.6666666666661</v>
      </c>
      <c r="Z21" s="16">
        <f t="shared" si="20"/>
        <v>9278.3333333333321</v>
      </c>
      <c r="AA21" s="7">
        <v>9552</v>
      </c>
      <c r="AB21" s="14">
        <f t="shared" si="11"/>
        <v>8443</v>
      </c>
      <c r="AC21" s="7">
        <v>7334</v>
      </c>
      <c r="AD21" s="7">
        <v>7334</v>
      </c>
      <c r="AE21" s="7">
        <v>8447</v>
      </c>
      <c r="AF21" s="14">
        <f t="shared" si="12"/>
        <v>8607</v>
      </c>
      <c r="AG21" s="10">
        <v>8767</v>
      </c>
      <c r="AH21" s="11">
        <v>12380</v>
      </c>
      <c r="AI21" s="10">
        <v>8729</v>
      </c>
      <c r="AJ21" s="14">
        <f t="shared" si="13"/>
        <v>9358.5</v>
      </c>
      <c r="AK21" s="2">
        <v>9988</v>
      </c>
      <c r="AL21" s="2">
        <v>13642</v>
      </c>
      <c r="AM21" s="7">
        <v>10500</v>
      </c>
      <c r="AN21" s="14">
        <f t="shared" si="14"/>
        <v>10550</v>
      </c>
      <c r="AO21" s="7">
        <v>10600</v>
      </c>
      <c r="AP21" s="14">
        <f t="shared" si="15"/>
        <v>11050</v>
      </c>
      <c r="AQ21" s="2">
        <v>11500</v>
      </c>
      <c r="AR21" s="14">
        <f t="shared" si="16"/>
        <v>11710</v>
      </c>
      <c r="AS21" s="2">
        <v>11920</v>
      </c>
      <c r="AT21" s="14">
        <f t="shared" si="17"/>
        <v>12410</v>
      </c>
      <c r="AU21" s="2">
        <v>12900</v>
      </c>
      <c r="AV21" s="14">
        <f t="shared" si="17"/>
        <v>12870</v>
      </c>
      <c r="AW21" s="2">
        <v>12840</v>
      </c>
      <c r="AX21" s="14">
        <f t="shared" si="17"/>
        <v>13450</v>
      </c>
      <c r="AY21" s="2">
        <v>14060</v>
      </c>
      <c r="AZ21" s="14">
        <f t="shared" si="17"/>
        <v>15300</v>
      </c>
      <c r="BA21" s="2">
        <v>16540</v>
      </c>
      <c r="BB21" s="14">
        <f t="shared" si="18"/>
        <v>16965</v>
      </c>
      <c r="BC21" s="2">
        <v>17390</v>
      </c>
      <c r="BD21" s="2">
        <v>17850</v>
      </c>
      <c r="BE21" s="2">
        <v>18680</v>
      </c>
      <c r="BF21" s="2">
        <v>19030</v>
      </c>
    </row>
    <row r="22" spans="1:58">
      <c r="A22" s="2" t="s">
        <v>48</v>
      </c>
      <c r="B22" s="7">
        <v>3420</v>
      </c>
      <c r="C22" s="7">
        <v>3410</v>
      </c>
      <c r="D22" s="16">
        <f t="shared" si="19"/>
        <v>3465.7142857142858</v>
      </c>
      <c r="E22" s="16">
        <f t="shared" si="19"/>
        <v>3521.4285714285716</v>
      </c>
      <c r="F22" s="16">
        <f t="shared" si="19"/>
        <v>3577.1428571428573</v>
      </c>
      <c r="G22" s="16">
        <f t="shared" si="19"/>
        <v>3632.8571428571431</v>
      </c>
      <c r="H22" s="16">
        <f t="shared" si="19"/>
        <v>3688.5714285714289</v>
      </c>
      <c r="I22" s="16">
        <f t="shared" si="19"/>
        <v>3744.2857142857147</v>
      </c>
      <c r="J22" s="7">
        <v>3800</v>
      </c>
      <c r="K22" s="7">
        <v>3800</v>
      </c>
      <c r="L22" s="7">
        <v>3800</v>
      </c>
      <c r="M22" s="7">
        <v>4400</v>
      </c>
      <c r="N22" s="7">
        <v>4000</v>
      </c>
      <c r="O22" s="7">
        <v>4000</v>
      </c>
      <c r="P22" s="16">
        <f t="shared" si="9"/>
        <v>4157.666666666667</v>
      </c>
      <c r="Q22" s="16">
        <f t="shared" si="9"/>
        <v>4315.3333333333339</v>
      </c>
      <c r="R22" s="7">
        <v>4473</v>
      </c>
      <c r="S22" s="16">
        <f t="shared" si="20"/>
        <v>4444.2222222222226</v>
      </c>
      <c r="T22" s="16">
        <f t="shared" si="20"/>
        <v>4415.4444444444453</v>
      </c>
      <c r="U22" s="16">
        <f t="shared" si="20"/>
        <v>4386.6666666666679</v>
      </c>
      <c r="V22" s="16">
        <f t="shared" si="20"/>
        <v>4357.8888888888905</v>
      </c>
      <c r="W22" s="16">
        <f t="shared" si="20"/>
        <v>4329.1111111111131</v>
      </c>
      <c r="X22" s="16">
        <f t="shared" si="20"/>
        <v>4300.3333333333358</v>
      </c>
      <c r="Y22" s="16">
        <f t="shared" si="20"/>
        <v>4271.5555555555584</v>
      </c>
      <c r="Z22" s="16">
        <f t="shared" si="20"/>
        <v>4242.777777777781</v>
      </c>
      <c r="AA22" s="7">
        <v>4214</v>
      </c>
      <c r="AB22" s="14">
        <f t="shared" si="11"/>
        <v>4375</v>
      </c>
      <c r="AC22" s="7">
        <v>4536</v>
      </c>
      <c r="AD22" s="7">
        <v>4536</v>
      </c>
      <c r="AE22" s="7">
        <v>4580</v>
      </c>
      <c r="AF22" s="14">
        <f t="shared" si="12"/>
        <v>4521.5</v>
      </c>
      <c r="AG22" s="10">
        <v>4463</v>
      </c>
      <c r="AH22" s="11">
        <v>4861</v>
      </c>
      <c r="AI22" s="10">
        <v>4998</v>
      </c>
      <c r="AJ22" s="14">
        <f t="shared" si="13"/>
        <v>5004</v>
      </c>
      <c r="AK22" s="2">
        <v>5010</v>
      </c>
      <c r="AL22" s="2">
        <v>5812</v>
      </c>
      <c r="AM22" s="7">
        <v>5470</v>
      </c>
      <c r="AN22" s="14">
        <f t="shared" si="14"/>
        <v>5655</v>
      </c>
      <c r="AO22" s="7">
        <v>5840</v>
      </c>
      <c r="AP22" s="14">
        <f t="shared" si="15"/>
        <v>6470</v>
      </c>
      <c r="AQ22" s="2">
        <v>7100</v>
      </c>
      <c r="AR22" s="14">
        <f t="shared" si="16"/>
        <v>7005</v>
      </c>
      <c r="AS22" s="2">
        <v>6910</v>
      </c>
      <c r="AT22" s="14">
        <f t="shared" si="17"/>
        <v>6710</v>
      </c>
      <c r="AU22" s="2">
        <v>6510</v>
      </c>
      <c r="AV22" s="14">
        <f t="shared" si="17"/>
        <v>6455</v>
      </c>
      <c r="AW22" s="2">
        <v>6400</v>
      </c>
      <c r="AX22" s="14">
        <f t="shared" si="17"/>
        <v>6465</v>
      </c>
      <c r="AY22" s="2">
        <v>6530</v>
      </c>
      <c r="AZ22" s="14">
        <f t="shared" si="17"/>
        <v>6840</v>
      </c>
      <c r="BA22" s="2">
        <v>7150</v>
      </c>
      <c r="BB22" s="14">
        <f t="shared" si="18"/>
        <v>7295</v>
      </c>
      <c r="BC22" s="2">
        <v>7440</v>
      </c>
      <c r="BD22" s="2">
        <v>7710</v>
      </c>
      <c r="BE22" s="2">
        <v>7860</v>
      </c>
      <c r="BF22" s="2">
        <v>7630</v>
      </c>
    </row>
    <row r="23" spans="1:58">
      <c r="A23" s="6" t="s">
        <v>49</v>
      </c>
      <c r="B23" s="126">
        <v>1099</v>
      </c>
      <c r="C23" s="126">
        <v>1100</v>
      </c>
      <c r="D23" s="147">
        <f t="shared" si="19"/>
        <v>1057.1428571428571</v>
      </c>
      <c r="E23" s="147">
        <f t="shared" si="19"/>
        <v>1014.2857142857142</v>
      </c>
      <c r="F23" s="147">
        <f t="shared" si="19"/>
        <v>971.42857142857133</v>
      </c>
      <c r="G23" s="147">
        <f t="shared" si="19"/>
        <v>928.57142857142844</v>
      </c>
      <c r="H23" s="147">
        <f t="shared" si="19"/>
        <v>885.71428571428555</v>
      </c>
      <c r="I23" s="147">
        <f t="shared" si="19"/>
        <v>842.85714285714266</v>
      </c>
      <c r="J23" s="126">
        <v>800</v>
      </c>
      <c r="K23" s="126">
        <v>800</v>
      </c>
      <c r="L23" s="126">
        <v>800</v>
      </c>
      <c r="M23" s="126">
        <v>800</v>
      </c>
      <c r="N23" s="126">
        <v>800</v>
      </c>
      <c r="O23" s="126">
        <v>800</v>
      </c>
      <c r="P23" s="147">
        <f t="shared" si="9"/>
        <v>816.66666666666663</v>
      </c>
      <c r="Q23" s="147">
        <f t="shared" si="9"/>
        <v>833.33333333333326</v>
      </c>
      <c r="R23" s="126">
        <v>850</v>
      </c>
      <c r="S23" s="147">
        <f t="shared" si="20"/>
        <v>831</v>
      </c>
      <c r="T23" s="147">
        <f t="shared" si="20"/>
        <v>812</v>
      </c>
      <c r="U23" s="147">
        <f t="shared" si="20"/>
        <v>793</v>
      </c>
      <c r="V23" s="147">
        <f t="shared" si="20"/>
        <v>774</v>
      </c>
      <c r="W23" s="147">
        <f t="shared" si="20"/>
        <v>755</v>
      </c>
      <c r="X23" s="147">
        <f t="shared" si="20"/>
        <v>736</v>
      </c>
      <c r="Y23" s="147">
        <f t="shared" si="20"/>
        <v>717</v>
      </c>
      <c r="Z23" s="147">
        <f t="shared" si="20"/>
        <v>698</v>
      </c>
      <c r="AA23" s="126">
        <v>679</v>
      </c>
      <c r="AB23" s="148">
        <f t="shared" si="11"/>
        <v>662.5</v>
      </c>
      <c r="AC23" s="126">
        <v>646</v>
      </c>
      <c r="AD23" s="126">
        <v>646</v>
      </c>
      <c r="AE23" s="126">
        <v>672</v>
      </c>
      <c r="AF23" s="148">
        <f t="shared" si="12"/>
        <v>685</v>
      </c>
      <c r="AG23" s="149">
        <v>698</v>
      </c>
      <c r="AH23" s="151">
        <v>617</v>
      </c>
      <c r="AI23" s="149">
        <v>713</v>
      </c>
      <c r="AJ23" s="148">
        <f t="shared" si="13"/>
        <v>798</v>
      </c>
      <c r="AK23" s="6">
        <v>883</v>
      </c>
      <c r="AL23" s="6">
        <v>699</v>
      </c>
      <c r="AM23" s="126">
        <v>827</v>
      </c>
      <c r="AN23" s="148">
        <f t="shared" si="14"/>
        <v>793.5</v>
      </c>
      <c r="AO23" s="247">
        <v>760</v>
      </c>
      <c r="AP23" s="148">
        <f t="shared" si="15"/>
        <v>780</v>
      </c>
      <c r="AQ23" s="6">
        <v>800</v>
      </c>
      <c r="AR23" s="148">
        <f t="shared" si="16"/>
        <v>700</v>
      </c>
      <c r="AS23" s="6">
        <v>600</v>
      </c>
      <c r="AT23" s="148">
        <f t="shared" si="17"/>
        <v>670</v>
      </c>
      <c r="AU23" s="6">
        <v>740</v>
      </c>
      <c r="AV23" s="148">
        <f t="shared" si="17"/>
        <v>700</v>
      </c>
      <c r="AW23" s="6">
        <v>660</v>
      </c>
      <c r="AX23" s="148">
        <f t="shared" si="17"/>
        <v>720</v>
      </c>
      <c r="AY23" s="6">
        <v>780</v>
      </c>
      <c r="AZ23" s="148">
        <f t="shared" si="17"/>
        <v>815</v>
      </c>
      <c r="BA23" s="6">
        <v>850</v>
      </c>
      <c r="BB23" s="148">
        <f t="shared" si="18"/>
        <v>855</v>
      </c>
      <c r="BC23" s="6">
        <v>860</v>
      </c>
      <c r="BD23" s="2">
        <v>860</v>
      </c>
      <c r="BE23" s="2">
        <v>830</v>
      </c>
      <c r="BF23" s="2">
        <v>840</v>
      </c>
    </row>
    <row r="24" spans="1:58">
      <c r="A24" s="3" t="s">
        <v>50</v>
      </c>
      <c r="B24" s="136">
        <f>SUM(B26:B38)</f>
        <v>29590</v>
      </c>
      <c r="C24" s="136">
        <f t="shared" ref="C24:BF24" si="21">SUM(C26:C38)</f>
        <v>29360</v>
      </c>
      <c r="D24" s="136">
        <f t="shared" si="21"/>
        <v>29794.285714285714</v>
      </c>
      <c r="E24" s="136">
        <f t="shared" si="21"/>
        <v>30228.571428571435</v>
      </c>
      <c r="F24" s="136">
        <f t="shared" si="21"/>
        <v>30662.857142857149</v>
      </c>
      <c r="G24" s="136">
        <f t="shared" si="21"/>
        <v>31097.142857142862</v>
      </c>
      <c r="H24" s="136">
        <f t="shared" si="21"/>
        <v>31531.428571428576</v>
      </c>
      <c r="I24" s="136">
        <f t="shared" si="21"/>
        <v>31965.714285714297</v>
      </c>
      <c r="J24" s="136">
        <f t="shared" si="21"/>
        <v>32400</v>
      </c>
      <c r="K24" s="136">
        <f t="shared" si="21"/>
        <v>32400</v>
      </c>
      <c r="L24" s="136">
        <f t="shared" si="21"/>
        <v>32400</v>
      </c>
      <c r="M24" s="136">
        <f t="shared" si="21"/>
        <v>35100</v>
      </c>
      <c r="N24" s="136">
        <f t="shared" si="21"/>
        <v>35600</v>
      </c>
      <c r="O24" s="136">
        <f t="shared" si="21"/>
        <v>35600</v>
      </c>
      <c r="P24" s="136">
        <f t="shared" si="21"/>
        <v>36647</v>
      </c>
      <c r="Q24" s="136">
        <f t="shared" si="21"/>
        <v>37694</v>
      </c>
      <c r="R24" s="136">
        <f t="shared" si="21"/>
        <v>38741</v>
      </c>
      <c r="S24" s="136">
        <f t="shared" si="21"/>
        <v>39290.777777777774</v>
      </c>
      <c r="T24" s="136">
        <f t="shared" si="21"/>
        <v>39840.555555555555</v>
      </c>
      <c r="U24" s="136">
        <f t="shared" si="21"/>
        <v>40390.333333333321</v>
      </c>
      <c r="V24" s="136">
        <f t="shared" si="21"/>
        <v>40940.111111111102</v>
      </c>
      <c r="W24" s="136">
        <f t="shared" si="21"/>
        <v>41489.888888888891</v>
      </c>
      <c r="X24" s="136">
        <f t="shared" si="21"/>
        <v>42039.666666666672</v>
      </c>
      <c r="Y24" s="136">
        <f t="shared" si="21"/>
        <v>42589.444444444438</v>
      </c>
      <c r="Z24" s="136">
        <f t="shared" si="21"/>
        <v>43139.222222222219</v>
      </c>
      <c r="AA24" s="136">
        <f t="shared" si="21"/>
        <v>43689</v>
      </c>
      <c r="AB24" s="136">
        <f t="shared" si="21"/>
        <v>42828.5</v>
      </c>
      <c r="AC24" s="136">
        <f t="shared" si="21"/>
        <v>41968</v>
      </c>
      <c r="AD24" s="136">
        <f t="shared" si="21"/>
        <v>41968</v>
      </c>
      <c r="AE24" s="136">
        <f t="shared" si="21"/>
        <v>38112</v>
      </c>
      <c r="AF24" s="136">
        <f t="shared" si="21"/>
        <v>39556.5</v>
      </c>
      <c r="AG24" s="136">
        <f t="shared" si="21"/>
        <v>41001</v>
      </c>
      <c r="AH24" s="136">
        <f t="shared" si="21"/>
        <v>41002</v>
      </c>
      <c r="AI24" s="136">
        <f t="shared" si="21"/>
        <v>42955</v>
      </c>
      <c r="AJ24" s="136">
        <f t="shared" si="21"/>
        <v>44012</v>
      </c>
      <c r="AK24" s="136">
        <f t="shared" si="21"/>
        <v>45069</v>
      </c>
      <c r="AL24" s="136">
        <f t="shared" si="21"/>
        <v>48355</v>
      </c>
      <c r="AM24" s="136">
        <f t="shared" si="21"/>
        <v>48305</v>
      </c>
      <c r="AN24" s="136">
        <f t="shared" si="21"/>
        <v>49387.5</v>
      </c>
      <c r="AO24" s="136">
        <f t="shared" si="21"/>
        <v>50470</v>
      </c>
      <c r="AP24" s="136">
        <f t="shared" si="21"/>
        <v>55910</v>
      </c>
      <c r="AQ24" s="136">
        <f t="shared" si="21"/>
        <v>61350</v>
      </c>
      <c r="AR24" s="136">
        <f t="shared" si="21"/>
        <v>58735</v>
      </c>
      <c r="AS24" s="136">
        <f t="shared" si="21"/>
        <v>56120</v>
      </c>
      <c r="AT24" s="136">
        <f t="shared" si="21"/>
        <v>55920</v>
      </c>
      <c r="AU24" s="136">
        <f t="shared" si="21"/>
        <v>55720</v>
      </c>
      <c r="AV24" s="136">
        <f t="shared" si="21"/>
        <v>55115</v>
      </c>
      <c r="AW24" s="136">
        <f t="shared" si="21"/>
        <v>54510</v>
      </c>
      <c r="AX24" s="136">
        <f t="shared" si="21"/>
        <v>54580</v>
      </c>
      <c r="AY24" s="136">
        <f t="shared" si="21"/>
        <v>54650</v>
      </c>
      <c r="AZ24" s="136">
        <f t="shared" si="21"/>
        <v>57745</v>
      </c>
      <c r="BA24" s="136">
        <f t="shared" si="21"/>
        <v>60840</v>
      </c>
      <c r="BB24" s="14">
        <f t="shared" si="18"/>
        <v>62650</v>
      </c>
      <c r="BC24" s="136">
        <f t="shared" si="21"/>
        <v>64460</v>
      </c>
      <c r="BD24" s="136">
        <f t="shared" si="21"/>
        <v>66630</v>
      </c>
      <c r="BE24" s="136">
        <f t="shared" si="21"/>
        <v>69610</v>
      </c>
      <c r="BF24" s="136">
        <f t="shared" si="21"/>
        <v>71650</v>
      </c>
    </row>
    <row r="25" spans="1:58">
      <c r="A25" s="3" t="s">
        <v>129</v>
      </c>
      <c r="BB25" s="14"/>
    </row>
    <row r="26" spans="1:58">
      <c r="A26" s="2" t="s">
        <v>51</v>
      </c>
      <c r="B26" s="7">
        <v>84</v>
      </c>
      <c r="C26" s="7">
        <v>80</v>
      </c>
      <c r="D26" s="16">
        <f t="shared" ref="D26:I38" si="22">(($J26-$C26)/7)+C26</f>
        <v>97.142857142857139</v>
      </c>
      <c r="E26" s="16">
        <f t="shared" si="22"/>
        <v>114.28571428571428</v>
      </c>
      <c r="F26" s="16">
        <f t="shared" si="22"/>
        <v>131.42857142857142</v>
      </c>
      <c r="G26" s="16">
        <f t="shared" si="22"/>
        <v>148.57142857142856</v>
      </c>
      <c r="H26" s="16">
        <f t="shared" si="22"/>
        <v>165.71428571428569</v>
      </c>
      <c r="I26" s="16">
        <f t="shared" si="22"/>
        <v>182.85714285714283</v>
      </c>
      <c r="J26" s="7">
        <v>200</v>
      </c>
      <c r="K26" s="7">
        <v>200</v>
      </c>
      <c r="L26" s="7">
        <v>200</v>
      </c>
      <c r="M26" s="7">
        <v>100</v>
      </c>
      <c r="N26" s="7">
        <v>100</v>
      </c>
      <c r="O26" s="7">
        <v>100</v>
      </c>
      <c r="P26" s="16">
        <f t="shared" ref="P26:Q38" si="23">(($R26-$O26)/3)+O26</f>
        <v>125</v>
      </c>
      <c r="Q26" s="16">
        <f t="shared" si="23"/>
        <v>150</v>
      </c>
      <c r="R26" s="7">
        <v>175</v>
      </c>
      <c r="S26" s="16">
        <f t="shared" ref="S26:Z38" si="24">(($AA26-$R26)/9)+R26</f>
        <v>166.88888888888889</v>
      </c>
      <c r="T26" s="16">
        <f t="shared" si="24"/>
        <v>158.77777777777777</v>
      </c>
      <c r="U26" s="16">
        <f t="shared" si="24"/>
        <v>150.66666666666666</v>
      </c>
      <c r="V26" s="16">
        <f t="shared" si="24"/>
        <v>142.55555555555554</v>
      </c>
      <c r="W26" s="16">
        <f t="shared" si="24"/>
        <v>134.44444444444443</v>
      </c>
      <c r="X26" s="16">
        <f t="shared" si="24"/>
        <v>126.33333333333331</v>
      </c>
      <c r="Y26" s="16">
        <f t="shared" si="24"/>
        <v>118.2222222222222</v>
      </c>
      <c r="Z26" s="16">
        <f t="shared" si="24"/>
        <v>110.11111111111109</v>
      </c>
      <c r="AA26" s="7">
        <v>102</v>
      </c>
      <c r="AB26" s="14">
        <f t="shared" ref="AB26:AB38" si="25">((AC26-AA26)/2)+AA26</f>
        <v>140</v>
      </c>
      <c r="AC26" s="7">
        <v>178</v>
      </c>
      <c r="AD26" s="7">
        <v>178</v>
      </c>
      <c r="AE26" s="7">
        <v>213</v>
      </c>
      <c r="AF26" s="14">
        <f t="shared" ref="AF26:AF38" si="26">((AG26-AE26)/2)+AE26</f>
        <v>195.5</v>
      </c>
      <c r="AG26" s="7">
        <v>178</v>
      </c>
      <c r="AH26" s="10">
        <v>157</v>
      </c>
      <c r="AI26" s="7">
        <v>161</v>
      </c>
      <c r="AJ26" s="14">
        <f t="shared" ref="AJ26:AJ38" si="27">((AK26-AI26)/2)+AI26</f>
        <v>203</v>
      </c>
      <c r="AK26" s="2">
        <v>245</v>
      </c>
      <c r="AL26" s="2">
        <v>188</v>
      </c>
      <c r="AM26" s="7">
        <v>247</v>
      </c>
      <c r="AN26" s="14">
        <f t="shared" ref="AN26:AN38" si="28">((AO26-AM26)/2)+AM26</f>
        <v>263.5</v>
      </c>
      <c r="AO26" s="7">
        <v>280</v>
      </c>
      <c r="AP26" s="14">
        <f t="shared" ref="AP26:AP38" si="29">((AQ26-AO26)/2)+AO26</f>
        <v>285</v>
      </c>
      <c r="AQ26" s="2">
        <v>290</v>
      </c>
      <c r="AR26" s="14">
        <f t="shared" ref="AR26:AR38" si="30">((AS26-AQ26)/2)+AQ26</f>
        <v>245</v>
      </c>
      <c r="AS26" s="2">
        <v>200</v>
      </c>
      <c r="AT26" s="14">
        <f t="shared" ref="AT26:AT38" si="31">((AU26-AS26)/2)+AS26</f>
        <v>195</v>
      </c>
      <c r="AU26" s="2">
        <v>190</v>
      </c>
      <c r="AV26" s="14">
        <f t="shared" ref="AV26:AZ38" si="32">((AW26-AU26)/2)+AU26</f>
        <v>205</v>
      </c>
      <c r="AW26" s="2">
        <v>220</v>
      </c>
      <c r="AX26" s="14">
        <f t="shared" si="32"/>
        <v>210</v>
      </c>
      <c r="AY26" s="2">
        <v>200</v>
      </c>
      <c r="AZ26" s="14">
        <f t="shared" si="32"/>
        <v>210</v>
      </c>
      <c r="BA26" s="2">
        <v>220</v>
      </c>
      <c r="BB26" s="2" t="s">
        <v>131</v>
      </c>
      <c r="BC26" s="2" t="s">
        <v>131</v>
      </c>
      <c r="BD26" s="2">
        <v>140</v>
      </c>
      <c r="BE26" s="2">
        <v>120</v>
      </c>
      <c r="BF26" s="2">
        <v>110</v>
      </c>
    </row>
    <row r="27" spans="1:58">
      <c r="A27" s="2" t="s">
        <v>52</v>
      </c>
      <c r="B27" s="7">
        <v>1208</v>
      </c>
      <c r="C27" s="7">
        <v>1200</v>
      </c>
      <c r="D27" s="16">
        <f t="shared" si="22"/>
        <v>1228.5714285714287</v>
      </c>
      <c r="E27" s="16">
        <f t="shared" si="22"/>
        <v>1257.1428571428573</v>
      </c>
      <c r="F27" s="16">
        <f t="shared" si="22"/>
        <v>1285.714285714286</v>
      </c>
      <c r="G27" s="16">
        <f t="shared" si="22"/>
        <v>1314.2857142857147</v>
      </c>
      <c r="H27" s="16">
        <f t="shared" si="22"/>
        <v>1342.8571428571433</v>
      </c>
      <c r="I27" s="16">
        <f t="shared" si="22"/>
        <v>1371.428571428572</v>
      </c>
      <c r="J27" s="7">
        <v>1400</v>
      </c>
      <c r="K27" s="7">
        <v>1400</v>
      </c>
      <c r="L27" s="7">
        <v>1400</v>
      </c>
      <c r="M27" s="7">
        <v>1800</v>
      </c>
      <c r="N27" s="7">
        <v>2000</v>
      </c>
      <c r="O27" s="7">
        <v>2000</v>
      </c>
      <c r="P27" s="16">
        <f t="shared" si="23"/>
        <v>1934</v>
      </c>
      <c r="Q27" s="16">
        <f t="shared" si="23"/>
        <v>1868</v>
      </c>
      <c r="R27" s="7">
        <v>1802</v>
      </c>
      <c r="S27" s="16">
        <f t="shared" si="24"/>
        <v>1775.6666666666667</v>
      </c>
      <c r="T27" s="16">
        <f t="shared" si="24"/>
        <v>1749.3333333333335</v>
      </c>
      <c r="U27" s="16">
        <f t="shared" si="24"/>
        <v>1723.0000000000002</v>
      </c>
      <c r="V27" s="16">
        <f t="shared" si="24"/>
        <v>1696.666666666667</v>
      </c>
      <c r="W27" s="16">
        <f t="shared" si="24"/>
        <v>1670.3333333333337</v>
      </c>
      <c r="X27" s="16">
        <f t="shared" si="24"/>
        <v>1644.0000000000005</v>
      </c>
      <c r="Y27" s="16">
        <f t="shared" si="24"/>
        <v>1617.6666666666672</v>
      </c>
      <c r="Z27" s="16">
        <f t="shared" si="24"/>
        <v>1591.3333333333339</v>
      </c>
      <c r="AA27" s="7">
        <v>1565</v>
      </c>
      <c r="AB27" s="14">
        <f t="shared" si="25"/>
        <v>1802</v>
      </c>
      <c r="AC27" s="7">
        <v>2039</v>
      </c>
      <c r="AD27" s="7">
        <v>2039</v>
      </c>
      <c r="AE27" s="7">
        <v>2415</v>
      </c>
      <c r="AF27" s="14">
        <f t="shared" si="26"/>
        <v>2318</v>
      </c>
      <c r="AG27" s="7">
        <v>2221</v>
      </c>
      <c r="AH27" s="10">
        <v>1498</v>
      </c>
      <c r="AI27" s="7">
        <v>2348</v>
      </c>
      <c r="AJ27" s="14">
        <f t="shared" si="27"/>
        <v>2373.5</v>
      </c>
      <c r="AK27" s="2">
        <v>2399</v>
      </c>
      <c r="AL27" s="2">
        <v>2324</v>
      </c>
      <c r="AM27" s="7">
        <v>2079</v>
      </c>
      <c r="AN27" s="14">
        <f t="shared" si="28"/>
        <v>2244.5</v>
      </c>
      <c r="AO27" s="7">
        <v>2410</v>
      </c>
      <c r="AP27" s="14">
        <f t="shared" si="29"/>
        <v>2520</v>
      </c>
      <c r="AQ27" s="2">
        <v>2630</v>
      </c>
      <c r="AR27" s="14">
        <f t="shared" si="30"/>
        <v>2610</v>
      </c>
      <c r="AS27" s="2">
        <v>2590</v>
      </c>
      <c r="AT27" s="14">
        <f t="shared" si="31"/>
        <v>2675</v>
      </c>
      <c r="AU27" s="2">
        <v>2760</v>
      </c>
      <c r="AV27" s="14">
        <f t="shared" si="32"/>
        <v>2705</v>
      </c>
      <c r="AW27" s="2">
        <v>2650</v>
      </c>
      <c r="AX27" s="14">
        <f t="shared" si="32"/>
        <v>2830</v>
      </c>
      <c r="AY27" s="2">
        <v>3010</v>
      </c>
      <c r="AZ27" s="14">
        <f t="shared" si="32"/>
        <v>3020</v>
      </c>
      <c r="BA27" s="2">
        <v>3030</v>
      </c>
      <c r="BB27" s="14">
        <f t="shared" si="18"/>
        <v>3300</v>
      </c>
      <c r="BC27" s="2">
        <v>3570</v>
      </c>
      <c r="BD27" s="2">
        <v>3890</v>
      </c>
      <c r="BE27" s="2">
        <v>3850</v>
      </c>
      <c r="BF27" s="2">
        <v>3960</v>
      </c>
    </row>
    <row r="28" spans="1:58">
      <c r="A28" s="2" t="s">
        <v>53</v>
      </c>
      <c r="B28" s="7">
        <v>17949</v>
      </c>
      <c r="C28" s="7">
        <v>17810</v>
      </c>
      <c r="D28" s="16">
        <f t="shared" si="22"/>
        <v>18051.428571428572</v>
      </c>
      <c r="E28" s="16">
        <f t="shared" si="22"/>
        <v>18292.857142857145</v>
      </c>
      <c r="F28" s="16">
        <f t="shared" si="22"/>
        <v>18534.285714285717</v>
      </c>
      <c r="G28" s="16">
        <f t="shared" si="22"/>
        <v>18775.71428571429</v>
      </c>
      <c r="H28" s="16">
        <f t="shared" si="22"/>
        <v>19017.142857142862</v>
      </c>
      <c r="I28" s="16">
        <f t="shared" si="22"/>
        <v>19258.571428571435</v>
      </c>
      <c r="J28" s="7">
        <v>19500</v>
      </c>
      <c r="K28" s="7">
        <v>19500</v>
      </c>
      <c r="L28" s="7">
        <v>19500</v>
      </c>
      <c r="M28" s="7">
        <v>21900</v>
      </c>
      <c r="N28" s="7">
        <v>22000</v>
      </c>
      <c r="O28" s="7">
        <v>22000</v>
      </c>
      <c r="P28" s="16">
        <f t="shared" si="23"/>
        <v>22954</v>
      </c>
      <c r="Q28" s="16">
        <f t="shared" si="23"/>
        <v>23908</v>
      </c>
      <c r="R28" s="7">
        <v>24862</v>
      </c>
      <c r="S28" s="16">
        <f t="shared" si="24"/>
        <v>25391.555555555555</v>
      </c>
      <c r="T28" s="16">
        <f t="shared" si="24"/>
        <v>25921.111111111109</v>
      </c>
      <c r="U28" s="16">
        <f t="shared" si="24"/>
        <v>26450.666666666664</v>
      </c>
      <c r="V28" s="16">
        <f t="shared" si="24"/>
        <v>26980.222222222219</v>
      </c>
      <c r="W28" s="16">
        <f t="shared" si="24"/>
        <v>27509.777777777774</v>
      </c>
      <c r="X28" s="16">
        <f t="shared" si="24"/>
        <v>28039.333333333328</v>
      </c>
      <c r="Y28" s="16">
        <f t="shared" si="24"/>
        <v>28568.888888888883</v>
      </c>
      <c r="Z28" s="16">
        <f t="shared" si="24"/>
        <v>29098.444444444438</v>
      </c>
      <c r="AA28" s="7">
        <v>29628</v>
      </c>
      <c r="AB28" s="14">
        <f t="shared" si="25"/>
        <v>28665</v>
      </c>
      <c r="AC28" s="7">
        <v>27702</v>
      </c>
      <c r="AD28" s="7">
        <v>27702</v>
      </c>
      <c r="AE28" s="7">
        <v>24436</v>
      </c>
      <c r="AF28" s="14">
        <f t="shared" si="26"/>
        <v>25394.5</v>
      </c>
      <c r="AG28" s="7">
        <v>26353</v>
      </c>
      <c r="AH28" s="10">
        <v>26998</v>
      </c>
      <c r="AI28" s="7">
        <v>26869</v>
      </c>
      <c r="AJ28" s="14">
        <f t="shared" si="27"/>
        <v>27483</v>
      </c>
      <c r="AK28" s="2">
        <v>28097</v>
      </c>
      <c r="AL28" s="2">
        <v>30146</v>
      </c>
      <c r="AM28" s="7">
        <v>30285</v>
      </c>
      <c r="AN28" s="14">
        <f t="shared" si="28"/>
        <v>31142.5</v>
      </c>
      <c r="AO28" s="7">
        <v>32000</v>
      </c>
      <c r="AP28" s="14">
        <f t="shared" si="29"/>
        <v>32770</v>
      </c>
      <c r="AQ28" s="2">
        <v>33540</v>
      </c>
      <c r="AR28" s="14">
        <f t="shared" si="30"/>
        <v>34210</v>
      </c>
      <c r="AS28" s="2">
        <v>34880</v>
      </c>
      <c r="AT28" s="14">
        <f t="shared" si="31"/>
        <v>35065</v>
      </c>
      <c r="AU28" s="2">
        <v>35250</v>
      </c>
      <c r="AV28" s="14">
        <f t="shared" si="32"/>
        <v>34815</v>
      </c>
      <c r="AW28" s="2">
        <v>34380</v>
      </c>
      <c r="AX28" s="14">
        <f t="shared" si="32"/>
        <v>33540</v>
      </c>
      <c r="AY28" s="2">
        <v>32700</v>
      </c>
      <c r="AZ28" s="14">
        <f t="shared" si="32"/>
        <v>34815</v>
      </c>
      <c r="BA28" s="2">
        <v>36930</v>
      </c>
      <c r="BB28" s="14">
        <f t="shared" si="18"/>
        <v>39120</v>
      </c>
      <c r="BC28" s="2">
        <v>41310</v>
      </c>
      <c r="BD28" s="2">
        <v>42990</v>
      </c>
      <c r="BE28" s="2">
        <v>45980</v>
      </c>
      <c r="BF28" s="2">
        <v>48020</v>
      </c>
    </row>
    <row r="29" spans="1:58">
      <c r="A29" s="2" t="s">
        <v>54</v>
      </c>
      <c r="B29" s="7">
        <v>1814</v>
      </c>
      <c r="C29" s="7">
        <v>1800</v>
      </c>
      <c r="D29" s="16">
        <f t="shared" si="22"/>
        <v>1842.8571428571429</v>
      </c>
      <c r="E29" s="16">
        <f t="shared" si="22"/>
        <v>1885.7142857142858</v>
      </c>
      <c r="F29" s="16">
        <f t="shared" si="22"/>
        <v>1928.5714285714287</v>
      </c>
      <c r="G29" s="16">
        <f t="shared" si="22"/>
        <v>1971.4285714285716</v>
      </c>
      <c r="H29" s="16">
        <f t="shared" si="22"/>
        <v>2014.2857142857144</v>
      </c>
      <c r="I29" s="16">
        <f t="shared" si="22"/>
        <v>2057.1428571428573</v>
      </c>
      <c r="J29" s="7">
        <v>2100</v>
      </c>
      <c r="K29" s="7">
        <v>2100</v>
      </c>
      <c r="L29" s="7">
        <v>2100</v>
      </c>
      <c r="M29" s="7">
        <v>1900</v>
      </c>
      <c r="N29" s="7">
        <v>2000</v>
      </c>
      <c r="O29" s="7">
        <v>2000</v>
      </c>
      <c r="P29" s="16">
        <f t="shared" si="23"/>
        <v>1953.3333333333333</v>
      </c>
      <c r="Q29" s="16">
        <f t="shared" si="23"/>
        <v>1906.6666666666665</v>
      </c>
      <c r="R29" s="7">
        <v>1860</v>
      </c>
      <c r="S29" s="16">
        <f t="shared" si="24"/>
        <v>1891.3333333333333</v>
      </c>
      <c r="T29" s="16">
        <f t="shared" si="24"/>
        <v>1922.6666666666665</v>
      </c>
      <c r="U29" s="16">
        <f t="shared" si="24"/>
        <v>1953.9999999999998</v>
      </c>
      <c r="V29" s="16">
        <f t="shared" si="24"/>
        <v>1985.333333333333</v>
      </c>
      <c r="W29" s="16">
        <f t="shared" si="24"/>
        <v>2016.6666666666663</v>
      </c>
      <c r="X29" s="16">
        <f t="shared" si="24"/>
        <v>2047.9999999999995</v>
      </c>
      <c r="Y29" s="16">
        <f t="shared" si="24"/>
        <v>2079.333333333333</v>
      </c>
      <c r="Z29" s="16">
        <f t="shared" si="24"/>
        <v>2110.6666666666665</v>
      </c>
      <c r="AA29" s="7">
        <v>2142</v>
      </c>
      <c r="AB29" s="14">
        <f t="shared" si="25"/>
        <v>2263</v>
      </c>
      <c r="AC29" s="7">
        <v>2384</v>
      </c>
      <c r="AD29" s="7">
        <v>2384</v>
      </c>
      <c r="AE29" s="7">
        <v>1826</v>
      </c>
      <c r="AF29" s="14">
        <f t="shared" si="26"/>
        <v>1877</v>
      </c>
      <c r="AG29" s="7">
        <v>1928</v>
      </c>
      <c r="AH29" s="10">
        <v>2078</v>
      </c>
      <c r="AI29" s="7">
        <v>2422</v>
      </c>
      <c r="AJ29" s="14">
        <f t="shared" si="27"/>
        <v>2446</v>
      </c>
      <c r="AK29" s="2">
        <v>2470</v>
      </c>
      <c r="AL29" s="2">
        <v>2798</v>
      </c>
      <c r="AM29" s="7">
        <v>2418</v>
      </c>
      <c r="AN29" s="14">
        <f t="shared" si="28"/>
        <v>2389</v>
      </c>
      <c r="AO29" s="7">
        <v>2360</v>
      </c>
      <c r="AP29" s="14">
        <f t="shared" si="29"/>
        <v>2600</v>
      </c>
      <c r="AQ29" s="2">
        <v>2840</v>
      </c>
      <c r="AR29" s="14">
        <f t="shared" si="30"/>
        <v>2680</v>
      </c>
      <c r="AS29" s="2">
        <v>2520</v>
      </c>
      <c r="AT29" s="14">
        <f t="shared" si="31"/>
        <v>2680</v>
      </c>
      <c r="AU29" s="2">
        <v>2840</v>
      </c>
      <c r="AV29" s="14">
        <f t="shared" si="32"/>
        <v>2865</v>
      </c>
      <c r="AW29" s="2">
        <v>2890</v>
      </c>
      <c r="AX29" s="14">
        <f t="shared" si="32"/>
        <v>2705</v>
      </c>
      <c r="AY29" s="2">
        <v>2520</v>
      </c>
      <c r="AZ29" s="14">
        <f t="shared" si="32"/>
        <v>2655</v>
      </c>
      <c r="BA29" s="2">
        <v>2790</v>
      </c>
      <c r="BB29" s="14">
        <f t="shared" si="18"/>
        <v>2875</v>
      </c>
      <c r="BC29" s="2">
        <v>2960</v>
      </c>
      <c r="BD29" s="2">
        <v>3030</v>
      </c>
      <c r="BE29" s="2">
        <v>3190</v>
      </c>
      <c r="BF29" s="2">
        <v>3170</v>
      </c>
    </row>
    <row r="30" spans="1:58">
      <c r="A30" s="2" t="s">
        <v>55</v>
      </c>
      <c r="B30" s="7">
        <v>1862</v>
      </c>
      <c r="C30" s="7">
        <v>1850</v>
      </c>
      <c r="D30" s="16">
        <f t="shared" si="22"/>
        <v>1842.8571428571429</v>
      </c>
      <c r="E30" s="16">
        <f t="shared" si="22"/>
        <v>1835.7142857142858</v>
      </c>
      <c r="F30" s="16">
        <f t="shared" si="22"/>
        <v>1828.5714285714287</v>
      </c>
      <c r="G30" s="16">
        <f t="shared" si="22"/>
        <v>1821.4285714285716</v>
      </c>
      <c r="H30" s="16">
        <f t="shared" si="22"/>
        <v>1814.2857142857144</v>
      </c>
      <c r="I30" s="16">
        <f t="shared" si="22"/>
        <v>1807.1428571428573</v>
      </c>
      <c r="J30" s="7">
        <v>1800</v>
      </c>
      <c r="K30" s="7">
        <v>1800</v>
      </c>
      <c r="L30" s="7">
        <v>1800</v>
      </c>
      <c r="M30" s="7">
        <v>2300</v>
      </c>
      <c r="N30" s="7">
        <v>2000</v>
      </c>
      <c r="O30" s="7">
        <v>2000</v>
      </c>
      <c r="P30" s="16">
        <f t="shared" si="23"/>
        <v>2209.3333333333335</v>
      </c>
      <c r="Q30" s="16">
        <f t="shared" si="23"/>
        <v>2418.666666666667</v>
      </c>
      <c r="R30" s="7">
        <v>2628</v>
      </c>
      <c r="S30" s="16">
        <f t="shared" si="24"/>
        <v>2622.4444444444443</v>
      </c>
      <c r="T30" s="16">
        <f t="shared" si="24"/>
        <v>2616.8888888888887</v>
      </c>
      <c r="U30" s="16">
        <f t="shared" si="24"/>
        <v>2611.333333333333</v>
      </c>
      <c r="V30" s="16">
        <f t="shared" si="24"/>
        <v>2605.7777777777774</v>
      </c>
      <c r="W30" s="16">
        <f t="shared" si="24"/>
        <v>2600.2222222222217</v>
      </c>
      <c r="X30" s="16">
        <f t="shared" si="24"/>
        <v>2594.6666666666661</v>
      </c>
      <c r="Y30" s="16">
        <f t="shared" si="24"/>
        <v>2589.1111111111104</v>
      </c>
      <c r="Z30" s="16">
        <f t="shared" si="24"/>
        <v>2583.5555555555547</v>
      </c>
      <c r="AA30" s="7">
        <v>2578</v>
      </c>
      <c r="AB30" s="14">
        <f t="shared" si="25"/>
        <v>2674.5</v>
      </c>
      <c r="AC30" s="7">
        <v>2771</v>
      </c>
      <c r="AD30" s="7">
        <v>2771</v>
      </c>
      <c r="AE30" s="7">
        <v>1886</v>
      </c>
      <c r="AF30" s="14">
        <f t="shared" si="26"/>
        <v>2244.5</v>
      </c>
      <c r="AG30" s="7">
        <v>2603</v>
      </c>
      <c r="AH30" s="10">
        <v>2449</v>
      </c>
      <c r="AI30" s="7">
        <v>2618</v>
      </c>
      <c r="AJ30" s="14">
        <f t="shared" si="27"/>
        <v>2575.5</v>
      </c>
      <c r="AK30" s="2">
        <v>2533</v>
      </c>
      <c r="AL30" s="2">
        <v>2692</v>
      </c>
      <c r="AM30" s="7">
        <v>3388</v>
      </c>
      <c r="AN30" s="14">
        <f t="shared" si="28"/>
        <v>3064</v>
      </c>
      <c r="AO30" s="7">
        <v>2740</v>
      </c>
      <c r="AP30" s="14">
        <f t="shared" si="29"/>
        <v>2205</v>
      </c>
      <c r="AQ30" s="2">
        <v>1670</v>
      </c>
      <c r="AR30" s="14">
        <f t="shared" si="30"/>
        <v>2030</v>
      </c>
      <c r="AS30" s="2">
        <v>2390</v>
      </c>
      <c r="AT30" s="14">
        <f t="shared" si="31"/>
        <v>2525</v>
      </c>
      <c r="AU30" s="2">
        <v>2660</v>
      </c>
      <c r="AV30" s="14">
        <f t="shared" si="32"/>
        <v>2710</v>
      </c>
      <c r="AW30" s="2">
        <v>2760</v>
      </c>
      <c r="AX30" s="14">
        <f t="shared" si="32"/>
        <v>2685</v>
      </c>
      <c r="AY30" s="2">
        <v>2610</v>
      </c>
      <c r="AZ30" s="14">
        <f t="shared" si="32"/>
        <v>3060</v>
      </c>
      <c r="BA30" s="2">
        <v>3510</v>
      </c>
      <c r="BB30" s="14">
        <f t="shared" si="18"/>
        <v>3510</v>
      </c>
      <c r="BC30" s="2">
        <v>3510</v>
      </c>
      <c r="BD30" s="2">
        <v>3590</v>
      </c>
      <c r="BE30" s="2">
        <v>3630</v>
      </c>
      <c r="BF30" s="2">
        <v>3650</v>
      </c>
    </row>
    <row r="31" spans="1:58">
      <c r="A31" s="2" t="s">
        <v>56</v>
      </c>
      <c r="B31" s="7">
        <v>193</v>
      </c>
      <c r="C31" s="7">
        <v>190</v>
      </c>
      <c r="D31" s="16">
        <f t="shared" si="22"/>
        <v>205.71428571428572</v>
      </c>
      <c r="E31" s="16">
        <f t="shared" si="22"/>
        <v>221.42857142857144</v>
      </c>
      <c r="F31" s="16">
        <f t="shared" si="22"/>
        <v>237.14285714285717</v>
      </c>
      <c r="G31" s="16">
        <f t="shared" si="22"/>
        <v>252.85714285714289</v>
      </c>
      <c r="H31" s="16">
        <f t="shared" si="22"/>
        <v>268.57142857142861</v>
      </c>
      <c r="I31" s="16">
        <f t="shared" si="22"/>
        <v>284.28571428571433</v>
      </c>
      <c r="J31" s="7">
        <v>300</v>
      </c>
      <c r="K31" s="7">
        <v>300</v>
      </c>
      <c r="L31" s="7">
        <v>300</v>
      </c>
      <c r="M31" s="7">
        <v>200</v>
      </c>
      <c r="N31" s="7">
        <v>200</v>
      </c>
      <c r="O31" s="7">
        <v>200</v>
      </c>
      <c r="P31" s="16">
        <f t="shared" si="23"/>
        <v>238</v>
      </c>
      <c r="Q31" s="16">
        <f t="shared" si="23"/>
        <v>276</v>
      </c>
      <c r="R31" s="7">
        <v>314</v>
      </c>
      <c r="S31" s="16">
        <f t="shared" si="24"/>
        <v>331.55555555555554</v>
      </c>
      <c r="T31" s="16">
        <f t="shared" si="24"/>
        <v>349.11111111111109</v>
      </c>
      <c r="U31" s="16">
        <f t="shared" si="24"/>
        <v>366.66666666666663</v>
      </c>
      <c r="V31" s="16">
        <f t="shared" si="24"/>
        <v>384.22222222222217</v>
      </c>
      <c r="W31" s="16">
        <f t="shared" si="24"/>
        <v>401.77777777777771</v>
      </c>
      <c r="X31" s="16">
        <f t="shared" si="24"/>
        <v>419.33333333333326</v>
      </c>
      <c r="Y31" s="16">
        <f t="shared" si="24"/>
        <v>436.8888888888888</v>
      </c>
      <c r="Z31" s="16">
        <f t="shared" si="24"/>
        <v>454.44444444444434</v>
      </c>
      <c r="AA31" s="7">
        <v>472</v>
      </c>
      <c r="AB31" s="14">
        <f t="shared" si="25"/>
        <v>394.5</v>
      </c>
      <c r="AC31" s="7">
        <v>317</v>
      </c>
      <c r="AD31" s="7">
        <v>317</v>
      </c>
      <c r="AE31" s="7">
        <v>341</v>
      </c>
      <c r="AF31" s="14">
        <f t="shared" si="26"/>
        <v>360.5</v>
      </c>
      <c r="AG31" s="7">
        <v>380</v>
      </c>
      <c r="AH31" s="10">
        <v>410</v>
      </c>
      <c r="AI31" s="7">
        <v>430</v>
      </c>
      <c r="AJ31" s="14">
        <f t="shared" si="27"/>
        <v>444.5</v>
      </c>
      <c r="AK31" s="2">
        <v>459</v>
      </c>
      <c r="AL31" s="2">
        <v>629</v>
      </c>
      <c r="AM31" s="7">
        <v>461</v>
      </c>
      <c r="AN31" s="14">
        <f t="shared" si="28"/>
        <v>485.5</v>
      </c>
      <c r="AO31" s="7">
        <v>510</v>
      </c>
      <c r="AP31" s="14">
        <f t="shared" si="29"/>
        <v>530</v>
      </c>
      <c r="AQ31" s="2">
        <v>550</v>
      </c>
      <c r="AR31" s="14">
        <f t="shared" si="30"/>
        <v>730</v>
      </c>
      <c r="AS31" s="2">
        <v>910</v>
      </c>
      <c r="AT31" s="14">
        <f t="shared" si="31"/>
        <v>730</v>
      </c>
      <c r="AU31" s="2">
        <v>550</v>
      </c>
      <c r="AV31" s="14">
        <f t="shared" si="32"/>
        <v>565</v>
      </c>
      <c r="AW31" s="2">
        <v>580</v>
      </c>
      <c r="AX31" s="14">
        <f t="shared" si="32"/>
        <v>625</v>
      </c>
      <c r="AY31" s="2">
        <v>670</v>
      </c>
      <c r="AZ31" s="14">
        <f t="shared" si="32"/>
        <v>655</v>
      </c>
      <c r="BA31" s="2">
        <v>640</v>
      </c>
      <c r="BB31" s="14">
        <f t="shared" si="18"/>
        <v>765</v>
      </c>
      <c r="BC31" s="2">
        <v>890</v>
      </c>
      <c r="BD31" s="2">
        <v>820</v>
      </c>
      <c r="BE31" s="2">
        <v>860</v>
      </c>
      <c r="BF31" s="2">
        <v>940</v>
      </c>
    </row>
    <row r="32" spans="1:58">
      <c r="A32" s="2" t="s">
        <v>57</v>
      </c>
      <c r="B32" s="7">
        <v>866</v>
      </c>
      <c r="C32" s="7">
        <v>860</v>
      </c>
      <c r="D32" s="16">
        <f t="shared" si="22"/>
        <v>894.28571428571433</v>
      </c>
      <c r="E32" s="16">
        <f t="shared" si="22"/>
        <v>928.57142857142867</v>
      </c>
      <c r="F32" s="16">
        <f t="shared" si="22"/>
        <v>962.857142857143</v>
      </c>
      <c r="G32" s="16">
        <f t="shared" si="22"/>
        <v>997.14285714285734</v>
      </c>
      <c r="H32" s="16">
        <f t="shared" si="22"/>
        <v>1031.4285714285716</v>
      </c>
      <c r="I32" s="16">
        <f t="shared" si="22"/>
        <v>1065.7142857142858</v>
      </c>
      <c r="J32" s="7">
        <v>1100</v>
      </c>
      <c r="K32" s="7">
        <v>1100</v>
      </c>
      <c r="L32" s="7">
        <v>1100</v>
      </c>
      <c r="M32" s="7">
        <v>1200</v>
      </c>
      <c r="N32" s="7">
        <v>500</v>
      </c>
      <c r="O32" s="7">
        <v>500</v>
      </c>
      <c r="P32" s="16">
        <f t="shared" si="23"/>
        <v>484.33333333333331</v>
      </c>
      <c r="Q32" s="16">
        <f t="shared" si="23"/>
        <v>468.66666666666663</v>
      </c>
      <c r="R32" s="7">
        <v>453</v>
      </c>
      <c r="S32" s="16">
        <f t="shared" si="24"/>
        <v>459.22222222222223</v>
      </c>
      <c r="T32" s="16">
        <f t="shared" si="24"/>
        <v>465.44444444444446</v>
      </c>
      <c r="U32" s="16">
        <f t="shared" si="24"/>
        <v>471.66666666666669</v>
      </c>
      <c r="V32" s="16">
        <f t="shared" si="24"/>
        <v>477.88888888888891</v>
      </c>
      <c r="W32" s="16">
        <f t="shared" si="24"/>
        <v>484.11111111111114</v>
      </c>
      <c r="X32" s="16">
        <f t="shared" si="24"/>
        <v>490.33333333333337</v>
      </c>
      <c r="Y32" s="16">
        <f t="shared" si="24"/>
        <v>496.5555555555556</v>
      </c>
      <c r="Z32" s="16">
        <f t="shared" si="24"/>
        <v>502.77777777777783</v>
      </c>
      <c r="AA32" s="10">
        <v>509</v>
      </c>
      <c r="AB32" s="14">
        <f t="shared" si="25"/>
        <v>470</v>
      </c>
      <c r="AC32" s="10">
        <v>431</v>
      </c>
      <c r="AD32" s="10">
        <v>431</v>
      </c>
      <c r="AE32" s="7">
        <v>355</v>
      </c>
      <c r="AF32" s="14">
        <f t="shared" si="26"/>
        <v>355.5</v>
      </c>
      <c r="AG32" s="10">
        <v>356</v>
      </c>
      <c r="AH32" s="10">
        <v>455</v>
      </c>
      <c r="AI32" s="10">
        <v>362</v>
      </c>
      <c r="AJ32" s="14">
        <f t="shared" si="27"/>
        <v>378.5</v>
      </c>
      <c r="AK32" s="2">
        <v>395</v>
      </c>
      <c r="AL32" s="2">
        <v>507</v>
      </c>
      <c r="AM32" s="7">
        <v>543</v>
      </c>
      <c r="AN32" s="14">
        <f t="shared" si="28"/>
        <v>686.5</v>
      </c>
      <c r="AO32" s="7">
        <v>830</v>
      </c>
      <c r="AP32" s="14">
        <f t="shared" si="29"/>
        <v>5030</v>
      </c>
      <c r="AQ32" s="2">
        <v>9230</v>
      </c>
      <c r="AR32" s="14">
        <f t="shared" si="30"/>
        <v>5465</v>
      </c>
      <c r="AS32" s="2">
        <v>1700</v>
      </c>
      <c r="AT32" s="14">
        <f t="shared" si="31"/>
        <v>1035</v>
      </c>
      <c r="AU32" s="2">
        <v>370</v>
      </c>
      <c r="AV32" s="14">
        <f t="shared" si="32"/>
        <v>400</v>
      </c>
      <c r="AW32" s="2">
        <v>430</v>
      </c>
      <c r="AX32" s="14">
        <f t="shared" si="32"/>
        <v>410</v>
      </c>
      <c r="AY32" s="2">
        <v>390</v>
      </c>
      <c r="AZ32" s="14">
        <f t="shared" si="32"/>
        <v>395</v>
      </c>
      <c r="BA32" s="2">
        <v>400</v>
      </c>
      <c r="BB32" s="14">
        <f t="shared" si="18"/>
        <v>465</v>
      </c>
      <c r="BC32" s="2">
        <v>530</v>
      </c>
      <c r="BD32" s="2">
        <v>610</v>
      </c>
      <c r="BE32" s="2">
        <v>640</v>
      </c>
      <c r="BF32" s="2">
        <v>640</v>
      </c>
    </row>
    <row r="33" spans="1:58">
      <c r="A33" s="2" t="s">
        <v>58</v>
      </c>
      <c r="B33" s="7">
        <v>233</v>
      </c>
      <c r="C33" s="7">
        <v>230</v>
      </c>
      <c r="D33" s="16">
        <f t="shared" si="22"/>
        <v>225.71428571428572</v>
      </c>
      <c r="E33" s="16">
        <f t="shared" si="22"/>
        <v>221.42857142857144</v>
      </c>
      <c r="F33" s="16">
        <f t="shared" si="22"/>
        <v>217.14285714285717</v>
      </c>
      <c r="G33" s="16">
        <f t="shared" si="22"/>
        <v>212.85714285714289</v>
      </c>
      <c r="H33" s="16">
        <f t="shared" si="22"/>
        <v>208.57142857142861</v>
      </c>
      <c r="I33" s="16">
        <f t="shared" si="22"/>
        <v>204.28571428571433</v>
      </c>
      <c r="J33" s="7">
        <v>200</v>
      </c>
      <c r="K33" s="7">
        <v>200</v>
      </c>
      <c r="L33" s="7">
        <v>200</v>
      </c>
      <c r="M33" s="7">
        <v>300</v>
      </c>
      <c r="N33" s="7">
        <v>300</v>
      </c>
      <c r="O33" s="7">
        <v>300</v>
      </c>
      <c r="P33" s="16">
        <f t="shared" si="23"/>
        <v>299.66666666666669</v>
      </c>
      <c r="Q33" s="16">
        <f t="shared" si="23"/>
        <v>299.33333333333337</v>
      </c>
      <c r="R33" s="7">
        <v>299</v>
      </c>
      <c r="S33" s="16">
        <f t="shared" si="24"/>
        <v>308.88888888888891</v>
      </c>
      <c r="T33" s="16">
        <f t="shared" si="24"/>
        <v>318.77777777777783</v>
      </c>
      <c r="U33" s="16">
        <f t="shared" si="24"/>
        <v>328.66666666666674</v>
      </c>
      <c r="V33" s="16">
        <f t="shared" si="24"/>
        <v>338.55555555555566</v>
      </c>
      <c r="W33" s="16">
        <f t="shared" si="24"/>
        <v>348.44444444444457</v>
      </c>
      <c r="X33" s="16">
        <f t="shared" si="24"/>
        <v>358.33333333333348</v>
      </c>
      <c r="Y33" s="16">
        <f t="shared" si="24"/>
        <v>368.2222222222224</v>
      </c>
      <c r="Z33" s="16">
        <f t="shared" si="24"/>
        <v>378.11111111111131</v>
      </c>
      <c r="AA33" s="10">
        <v>388</v>
      </c>
      <c r="AB33" s="14">
        <f t="shared" si="25"/>
        <v>348</v>
      </c>
      <c r="AC33" s="10">
        <v>308</v>
      </c>
      <c r="AD33" s="10">
        <v>308</v>
      </c>
      <c r="AE33" s="7">
        <v>646</v>
      </c>
      <c r="AF33" s="14">
        <f t="shared" si="26"/>
        <v>513.5</v>
      </c>
      <c r="AG33" s="10">
        <v>381</v>
      </c>
      <c r="AH33" s="10">
        <v>397</v>
      </c>
      <c r="AI33" s="10">
        <v>439</v>
      </c>
      <c r="AJ33" s="14">
        <f t="shared" si="27"/>
        <v>539</v>
      </c>
      <c r="AK33" s="2">
        <v>639</v>
      </c>
      <c r="AL33" s="2">
        <v>567</v>
      </c>
      <c r="AM33" s="7">
        <v>605</v>
      </c>
      <c r="AN33" s="14">
        <f t="shared" si="28"/>
        <v>637.5</v>
      </c>
      <c r="AO33" s="7">
        <v>670</v>
      </c>
      <c r="AP33" s="14">
        <f t="shared" si="29"/>
        <v>665</v>
      </c>
      <c r="AQ33" s="2">
        <v>660</v>
      </c>
      <c r="AR33" s="14">
        <f t="shared" si="30"/>
        <v>680</v>
      </c>
      <c r="AS33" s="2">
        <v>700</v>
      </c>
      <c r="AT33" s="14">
        <f t="shared" si="31"/>
        <v>760</v>
      </c>
      <c r="AU33" s="2">
        <v>820</v>
      </c>
      <c r="AV33" s="14">
        <f t="shared" si="32"/>
        <v>860</v>
      </c>
      <c r="AW33" s="2">
        <v>900</v>
      </c>
      <c r="AX33" s="14">
        <f t="shared" si="32"/>
        <v>870</v>
      </c>
      <c r="AY33" s="2">
        <v>840</v>
      </c>
      <c r="AZ33" s="14">
        <f t="shared" si="32"/>
        <v>1040</v>
      </c>
      <c r="BA33" s="2">
        <v>1240</v>
      </c>
      <c r="BB33" s="14">
        <f t="shared" si="18"/>
        <v>1285</v>
      </c>
      <c r="BC33" s="2">
        <v>1330</v>
      </c>
      <c r="BD33" s="2">
        <v>1430</v>
      </c>
      <c r="BE33" s="2">
        <v>1470</v>
      </c>
      <c r="BF33" s="2">
        <v>1580</v>
      </c>
    </row>
    <row r="34" spans="1:58">
      <c r="A34" s="2" t="s">
        <v>59</v>
      </c>
      <c r="B34" s="7">
        <v>902</v>
      </c>
      <c r="C34" s="7">
        <v>890</v>
      </c>
      <c r="D34" s="16">
        <f t="shared" si="22"/>
        <v>877.14285714285711</v>
      </c>
      <c r="E34" s="16">
        <f t="shared" si="22"/>
        <v>864.28571428571422</v>
      </c>
      <c r="F34" s="16">
        <f t="shared" si="22"/>
        <v>851.42857142857133</v>
      </c>
      <c r="G34" s="16">
        <f t="shared" si="22"/>
        <v>838.57142857142844</v>
      </c>
      <c r="H34" s="16">
        <f t="shared" si="22"/>
        <v>825.71428571428555</v>
      </c>
      <c r="I34" s="16">
        <f t="shared" si="22"/>
        <v>812.85714285714266</v>
      </c>
      <c r="J34" s="7">
        <v>800</v>
      </c>
      <c r="K34" s="7">
        <v>800</v>
      </c>
      <c r="L34" s="7">
        <v>800</v>
      </c>
      <c r="M34" s="7">
        <v>800</v>
      </c>
      <c r="N34" s="7">
        <v>900</v>
      </c>
      <c r="O34" s="7">
        <v>900</v>
      </c>
      <c r="P34" s="16">
        <f t="shared" si="23"/>
        <v>910.33333333333337</v>
      </c>
      <c r="Q34" s="16">
        <f t="shared" si="23"/>
        <v>920.66666666666674</v>
      </c>
      <c r="R34" s="7">
        <v>931</v>
      </c>
      <c r="S34" s="16">
        <f t="shared" si="24"/>
        <v>972.77777777777783</v>
      </c>
      <c r="T34" s="16">
        <f t="shared" si="24"/>
        <v>1014.5555555555557</v>
      </c>
      <c r="U34" s="16">
        <f t="shared" si="24"/>
        <v>1056.3333333333335</v>
      </c>
      <c r="V34" s="16">
        <f t="shared" si="24"/>
        <v>1098.1111111111113</v>
      </c>
      <c r="W34" s="16">
        <f t="shared" si="24"/>
        <v>1139.8888888888891</v>
      </c>
      <c r="X34" s="16">
        <f t="shared" si="24"/>
        <v>1181.666666666667</v>
      </c>
      <c r="Y34" s="16">
        <f t="shared" si="24"/>
        <v>1223.4444444444448</v>
      </c>
      <c r="Z34" s="16">
        <f t="shared" si="24"/>
        <v>1265.2222222222226</v>
      </c>
      <c r="AA34" s="10">
        <v>1307</v>
      </c>
      <c r="AB34" s="14">
        <f t="shared" si="25"/>
        <v>1176</v>
      </c>
      <c r="AC34" s="10">
        <v>1045</v>
      </c>
      <c r="AD34" s="10">
        <v>1045</v>
      </c>
      <c r="AE34" s="10">
        <v>1029</v>
      </c>
      <c r="AF34" s="14">
        <f t="shared" si="26"/>
        <v>988</v>
      </c>
      <c r="AG34" s="10">
        <v>947</v>
      </c>
      <c r="AH34" s="10">
        <v>1257</v>
      </c>
      <c r="AI34" s="10">
        <v>840</v>
      </c>
      <c r="AJ34" s="14">
        <f t="shared" si="27"/>
        <v>1100.5</v>
      </c>
      <c r="AK34" s="2">
        <v>1361</v>
      </c>
      <c r="AL34" s="2">
        <v>1555</v>
      </c>
      <c r="AM34" s="7">
        <v>1362</v>
      </c>
      <c r="AN34" s="14">
        <f t="shared" si="28"/>
        <v>1301</v>
      </c>
      <c r="AO34" s="7">
        <v>1240</v>
      </c>
      <c r="AP34" s="14">
        <f t="shared" si="29"/>
        <v>1320</v>
      </c>
      <c r="AQ34" s="2">
        <v>1400</v>
      </c>
      <c r="AR34" s="14">
        <f t="shared" si="30"/>
        <v>1450</v>
      </c>
      <c r="AS34" s="2">
        <v>1500</v>
      </c>
      <c r="AT34" s="14">
        <f t="shared" si="31"/>
        <v>1445</v>
      </c>
      <c r="AU34" s="2">
        <v>1390</v>
      </c>
      <c r="AV34" s="14">
        <f t="shared" si="32"/>
        <v>1335</v>
      </c>
      <c r="AW34" s="2">
        <v>1280</v>
      </c>
      <c r="AX34" s="14">
        <f t="shared" si="32"/>
        <v>1170</v>
      </c>
      <c r="AY34" s="2">
        <v>1060</v>
      </c>
      <c r="AZ34" s="14">
        <f t="shared" si="32"/>
        <v>1250</v>
      </c>
      <c r="BA34" s="2">
        <v>1440</v>
      </c>
      <c r="BB34" s="14">
        <f t="shared" si="18"/>
        <v>1260</v>
      </c>
      <c r="BC34" s="2">
        <v>1080</v>
      </c>
      <c r="BD34" s="2">
        <v>1110</v>
      </c>
      <c r="BE34" s="2">
        <v>1090</v>
      </c>
      <c r="BF34" s="2">
        <v>1030</v>
      </c>
    </row>
    <row r="35" spans="1:58">
      <c r="A35" s="2" t="s">
        <v>60</v>
      </c>
      <c r="B35" s="7">
        <v>1576</v>
      </c>
      <c r="C35" s="7">
        <v>1570</v>
      </c>
      <c r="D35" s="16">
        <f t="shared" si="22"/>
        <v>1588.5714285714287</v>
      </c>
      <c r="E35" s="16">
        <f t="shared" si="22"/>
        <v>1607.1428571428573</v>
      </c>
      <c r="F35" s="16">
        <f t="shared" si="22"/>
        <v>1625.714285714286</v>
      </c>
      <c r="G35" s="16">
        <f t="shared" si="22"/>
        <v>1644.2857142857147</v>
      </c>
      <c r="H35" s="16">
        <f t="shared" si="22"/>
        <v>1662.8571428571433</v>
      </c>
      <c r="I35" s="16">
        <f t="shared" si="22"/>
        <v>1681.428571428572</v>
      </c>
      <c r="J35" s="7">
        <v>1700</v>
      </c>
      <c r="K35" s="7">
        <v>1700</v>
      </c>
      <c r="L35" s="7">
        <v>1700</v>
      </c>
      <c r="M35" s="7">
        <v>1500</v>
      </c>
      <c r="N35" s="12">
        <v>2000</v>
      </c>
      <c r="O35" s="12">
        <v>2000</v>
      </c>
      <c r="P35" s="16">
        <f t="shared" si="23"/>
        <v>1894.6666666666667</v>
      </c>
      <c r="Q35" s="16">
        <f t="shared" si="23"/>
        <v>1789.3333333333335</v>
      </c>
      <c r="R35" s="7">
        <v>1684</v>
      </c>
      <c r="S35" s="16">
        <f t="shared" si="24"/>
        <v>1668.5555555555557</v>
      </c>
      <c r="T35" s="16">
        <f t="shared" si="24"/>
        <v>1653.1111111111113</v>
      </c>
      <c r="U35" s="16">
        <f t="shared" si="24"/>
        <v>1637.666666666667</v>
      </c>
      <c r="V35" s="16">
        <f t="shared" si="24"/>
        <v>1622.2222222222226</v>
      </c>
      <c r="W35" s="16">
        <f t="shared" si="24"/>
        <v>1606.7777777777783</v>
      </c>
      <c r="X35" s="16">
        <f t="shared" si="24"/>
        <v>1591.3333333333339</v>
      </c>
      <c r="Y35" s="16">
        <f t="shared" si="24"/>
        <v>1575.8888888888896</v>
      </c>
      <c r="Z35" s="16">
        <f t="shared" si="24"/>
        <v>1560.4444444444453</v>
      </c>
      <c r="AA35" s="10">
        <v>1545</v>
      </c>
      <c r="AB35" s="14">
        <f t="shared" si="25"/>
        <v>1528</v>
      </c>
      <c r="AC35" s="10">
        <v>1511</v>
      </c>
      <c r="AD35" s="10">
        <v>1511</v>
      </c>
      <c r="AE35" s="10">
        <v>1700</v>
      </c>
      <c r="AF35" s="14">
        <f t="shared" si="26"/>
        <v>1871</v>
      </c>
      <c r="AG35" s="10">
        <v>2042</v>
      </c>
      <c r="AH35" s="10">
        <v>1907</v>
      </c>
      <c r="AI35" s="10">
        <v>2539</v>
      </c>
      <c r="AJ35" s="14">
        <f t="shared" si="27"/>
        <v>2457.5</v>
      </c>
      <c r="AK35" s="2">
        <v>2376</v>
      </c>
      <c r="AL35" s="2">
        <v>2624</v>
      </c>
      <c r="AM35" s="7">
        <v>2517</v>
      </c>
      <c r="AN35" s="14">
        <f t="shared" si="28"/>
        <v>2563.5</v>
      </c>
      <c r="AO35" s="7">
        <v>2610</v>
      </c>
      <c r="AP35" s="14">
        <f t="shared" si="29"/>
        <v>2730</v>
      </c>
      <c r="AQ35" s="2">
        <v>2850</v>
      </c>
      <c r="AR35" s="14">
        <f t="shared" si="30"/>
        <v>2830</v>
      </c>
      <c r="AS35" s="2">
        <v>2810</v>
      </c>
      <c r="AT35" s="14">
        <f t="shared" si="31"/>
        <v>2975</v>
      </c>
      <c r="AU35" s="2">
        <v>3140</v>
      </c>
      <c r="AV35" s="14">
        <f t="shared" si="32"/>
        <v>3055</v>
      </c>
      <c r="AW35" s="2">
        <v>2970</v>
      </c>
      <c r="AX35" s="14">
        <f t="shared" si="32"/>
        <v>3005</v>
      </c>
      <c r="AY35" s="2">
        <v>3040</v>
      </c>
      <c r="AZ35" s="14">
        <f t="shared" si="32"/>
        <v>3255</v>
      </c>
      <c r="BA35" s="2">
        <v>3470</v>
      </c>
      <c r="BB35" s="14">
        <f t="shared" si="18"/>
        <v>3365</v>
      </c>
      <c r="BC35" s="2">
        <v>3260</v>
      </c>
      <c r="BD35" s="2">
        <v>3160</v>
      </c>
      <c r="BE35" s="2">
        <v>2950</v>
      </c>
      <c r="BF35" s="2">
        <v>2940</v>
      </c>
    </row>
    <row r="36" spans="1:58">
      <c r="A36" s="2" t="s">
        <v>61</v>
      </c>
      <c r="B36" s="7">
        <v>386</v>
      </c>
      <c r="C36" s="7">
        <v>380</v>
      </c>
      <c r="D36" s="16">
        <f t="shared" si="22"/>
        <v>382.85714285714283</v>
      </c>
      <c r="E36" s="16">
        <f t="shared" si="22"/>
        <v>385.71428571428567</v>
      </c>
      <c r="F36" s="16">
        <f t="shared" si="22"/>
        <v>388.5714285714285</v>
      </c>
      <c r="G36" s="16">
        <f t="shared" si="22"/>
        <v>391.42857142857133</v>
      </c>
      <c r="H36" s="16">
        <f t="shared" si="22"/>
        <v>394.28571428571416</v>
      </c>
      <c r="I36" s="16">
        <f t="shared" si="22"/>
        <v>397.142857142857</v>
      </c>
      <c r="J36" s="7">
        <v>400</v>
      </c>
      <c r="K36" s="7">
        <v>400</v>
      </c>
      <c r="L36" s="7">
        <v>400</v>
      </c>
      <c r="M36" s="12">
        <v>300</v>
      </c>
      <c r="N36" s="12">
        <v>500</v>
      </c>
      <c r="O36" s="12">
        <v>500</v>
      </c>
      <c r="P36" s="16">
        <f t="shared" si="23"/>
        <v>493</v>
      </c>
      <c r="Q36" s="16">
        <f t="shared" si="23"/>
        <v>486</v>
      </c>
      <c r="R36" s="7">
        <v>479</v>
      </c>
      <c r="S36" s="16">
        <f t="shared" si="24"/>
        <v>470</v>
      </c>
      <c r="T36" s="16">
        <f t="shared" si="24"/>
        <v>461</v>
      </c>
      <c r="U36" s="16">
        <f t="shared" si="24"/>
        <v>452</v>
      </c>
      <c r="V36" s="16">
        <f t="shared" si="24"/>
        <v>443</v>
      </c>
      <c r="W36" s="16">
        <f t="shared" si="24"/>
        <v>434</v>
      </c>
      <c r="X36" s="16">
        <f t="shared" si="24"/>
        <v>425</v>
      </c>
      <c r="Y36" s="16">
        <f t="shared" si="24"/>
        <v>416</v>
      </c>
      <c r="Z36" s="16">
        <f t="shared" si="24"/>
        <v>407</v>
      </c>
      <c r="AA36" s="10">
        <v>398</v>
      </c>
      <c r="AB36" s="14">
        <f t="shared" si="25"/>
        <v>467.5</v>
      </c>
      <c r="AC36" s="10">
        <v>537</v>
      </c>
      <c r="AD36" s="10">
        <v>537</v>
      </c>
      <c r="AE36" s="10">
        <v>590</v>
      </c>
      <c r="AF36" s="14">
        <f t="shared" si="26"/>
        <v>590</v>
      </c>
      <c r="AG36" s="10">
        <v>590</v>
      </c>
      <c r="AH36" s="10">
        <v>534</v>
      </c>
      <c r="AI36" s="10">
        <v>706</v>
      </c>
      <c r="AJ36" s="14">
        <f t="shared" si="27"/>
        <v>749</v>
      </c>
      <c r="AK36" s="2">
        <v>792</v>
      </c>
      <c r="AL36" s="2">
        <v>706</v>
      </c>
      <c r="AM36" s="7">
        <v>820</v>
      </c>
      <c r="AN36" s="14">
        <f t="shared" si="28"/>
        <v>925</v>
      </c>
      <c r="AO36" s="7">
        <v>1030</v>
      </c>
      <c r="AP36" s="14">
        <f t="shared" si="29"/>
        <v>1060</v>
      </c>
      <c r="AQ36" s="2">
        <v>1090</v>
      </c>
      <c r="AR36" s="14">
        <f t="shared" si="30"/>
        <v>1220</v>
      </c>
      <c r="AS36" s="2">
        <v>1350</v>
      </c>
      <c r="AT36" s="14">
        <f t="shared" si="31"/>
        <v>1310</v>
      </c>
      <c r="AU36" s="2">
        <v>1270</v>
      </c>
      <c r="AV36" s="14">
        <f t="shared" si="32"/>
        <v>1240</v>
      </c>
      <c r="AW36" s="2">
        <v>1210</v>
      </c>
      <c r="AX36" s="14">
        <f t="shared" si="32"/>
        <v>1405</v>
      </c>
      <c r="AY36" s="2">
        <v>1600</v>
      </c>
      <c r="AZ36" s="14">
        <f t="shared" si="32"/>
        <v>1545</v>
      </c>
      <c r="BA36" s="2">
        <v>1490</v>
      </c>
      <c r="BB36" s="14">
        <f t="shared" si="18"/>
        <v>1590</v>
      </c>
      <c r="BC36" s="2">
        <v>1690</v>
      </c>
      <c r="BD36" s="2">
        <v>1700</v>
      </c>
      <c r="BE36" s="2">
        <v>1740</v>
      </c>
      <c r="BF36" s="2">
        <v>1730</v>
      </c>
    </row>
    <row r="37" spans="1:58">
      <c r="A37" s="2" t="s">
        <v>62</v>
      </c>
      <c r="B37" s="7">
        <v>2455</v>
      </c>
      <c r="C37" s="7">
        <v>2440</v>
      </c>
      <c r="D37" s="16">
        <f t="shared" si="22"/>
        <v>2477.1428571428573</v>
      </c>
      <c r="E37" s="16">
        <f t="shared" si="22"/>
        <v>2514.2857142857147</v>
      </c>
      <c r="F37" s="16">
        <f t="shared" si="22"/>
        <v>2551.428571428572</v>
      </c>
      <c r="G37" s="16">
        <f t="shared" si="22"/>
        <v>2588.5714285714294</v>
      </c>
      <c r="H37" s="16">
        <f t="shared" si="22"/>
        <v>2625.7142857142867</v>
      </c>
      <c r="I37" s="16">
        <f t="shared" si="22"/>
        <v>2662.857142857144</v>
      </c>
      <c r="J37" s="7">
        <v>2700</v>
      </c>
      <c r="K37" s="7">
        <v>2700</v>
      </c>
      <c r="L37" s="7">
        <v>2700</v>
      </c>
      <c r="M37" s="12">
        <v>2700</v>
      </c>
      <c r="N37" s="12">
        <v>3000</v>
      </c>
      <c r="O37" s="12">
        <v>3000</v>
      </c>
      <c r="P37" s="16">
        <f t="shared" si="23"/>
        <v>3032.3333333333335</v>
      </c>
      <c r="Q37" s="16">
        <f t="shared" si="23"/>
        <v>3064.666666666667</v>
      </c>
      <c r="R37" s="7">
        <v>3097</v>
      </c>
      <c r="S37" s="16">
        <f t="shared" si="24"/>
        <v>3089.6666666666665</v>
      </c>
      <c r="T37" s="16">
        <f t="shared" si="24"/>
        <v>3082.333333333333</v>
      </c>
      <c r="U37" s="16">
        <f t="shared" si="24"/>
        <v>3074.9999999999995</v>
      </c>
      <c r="V37" s="16">
        <f t="shared" si="24"/>
        <v>3067.6666666666661</v>
      </c>
      <c r="W37" s="16">
        <f t="shared" si="24"/>
        <v>3060.3333333333326</v>
      </c>
      <c r="X37" s="16">
        <f t="shared" si="24"/>
        <v>3052.9999999999991</v>
      </c>
      <c r="Y37" s="16">
        <f t="shared" si="24"/>
        <v>3045.6666666666656</v>
      </c>
      <c r="Z37" s="16">
        <f t="shared" si="24"/>
        <v>3038.3333333333321</v>
      </c>
      <c r="AA37" s="10">
        <v>3031</v>
      </c>
      <c r="AB37" s="14">
        <f t="shared" si="25"/>
        <v>2882.5</v>
      </c>
      <c r="AC37" s="10">
        <v>2734</v>
      </c>
      <c r="AD37" s="10">
        <v>2734</v>
      </c>
      <c r="AE37" s="10">
        <v>2644</v>
      </c>
      <c r="AF37" s="14">
        <f t="shared" si="26"/>
        <v>2821</v>
      </c>
      <c r="AG37" s="10">
        <v>2998</v>
      </c>
      <c r="AH37" s="10">
        <v>2810</v>
      </c>
      <c r="AI37" s="10">
        <v>3190</v>
      </c>
      <c r="AJ37" s="14">
        <f t="shared" si="27"/>
        <v>3226</v>
      </c>
      <c r="AK37" s="2">
        <v>3262</v>
      </c>
      <c r="AL37" s="2">
        <v>3482</v>
      </c>
      <c r="AM37" s="7">
        <v>3526</v>
      </c>
      <c r="AN37" s="14">
        <f t="shared" si="28"/>
        <v>3638</v>
      </c>
      <c r="AO37" s="7">
        <v>3750</v>
      </c>
      <c r="AP37" s="14">
        <f t="shared" si="29"/>
        <v>4175</v>
      </c>
      <c r="AQ37" s="2">
        <v>4600</v>
      </c>
      <c r="AR37" s="14">
        <f t="shared" si="30"/>
        <v>4585</v>
      </c>
      <c r="AS37" s="2">
        <v>4570</v>
      </c>
      <c r="AT37" s="14">
        <f t="shared" si="31"/>
        <v>4510</v>
      </c>
      <c r="AU37" s="2">
        <v>4450</v>
      </c>
      <c r="AV37" s="14">
        <f t="shared" si="32"/>
        <v>4330</v>
      </c>
      <c r="AW37" s="2">
        <v>4210</v>
      </c>
      <c r="AX37" s="14">
        <f t="shared" si="32"/>
        <v>5085</v>
      </c>
      <c r="AY37" s="2">
        <v>5960</v>
      </c>
      <c r="AZ37" s="14">
        <f t="shared" si="32"/>
        <v>5805</v>
      </c>
      <c r="BA37" s="2">
        <v>5650</v>
      </c>
      <c r="BB37" s="14">
        <f t="shared" si="18"/>
        <v>4990</v>
      </c>
      <c r="BC37" s="2">
        <v>4330</v>
      </c>
      <c r="BD37" s="2">
        <v>4100</v>
      </c>
      <c r="BE37" s="2">
        <v>4050</v>
      </c>
      <c r="BF37" s="2">
        <v>3820</v>
      </c>
    </row>
    <row r="38" spans="1:58">
      <c r="A38" s="6" t="s">
        <v>63</v>
      </c>
      <c r="B38" s="126">
        <v>62</v>
      </c>
      <c r="C38" s="126">
        <v>60</v>
      </c>
      <c r="D38" s="147">
        <f t="shared" si="22"/>
        <v>80</v>
      </c>
      <c r="E38" s="147">
        <f t="shared" si="22"/>
        <v>100</v>
      </c>
      <c r="F38" s="147">
        <f t="shared" si="22"/>
        <v>120</v>
      </c>
      <c r="G38" s="147">
        <f t="shared" si="22"/>
        <v>140</v>
      </c>
      <c r="H38" s="147">
        <f t="shared" si="22"/>
        <v>160</v>
      </c>
      <c r="I38" s="147">
        <f t="shared" si="22"/>
        <v>180</v>
      </c>
      <c r="J38" s="126">
        <v>200</v>
      </c>
      <c r="K38" s="126">
        <v>200</v>
      </c>
      <c r="L38" s="126">
        <v>200</v>
      </c>
      <c r="M38" s="150">
        <v>100</v>
      </c>
      <c r="N38" s="126">
        <v>100</v>
      </c>
      <c r="O38" s="150">
        <v>100</v>
      </c>
      <c r="P38" s="147">
        <f t="shared" si="23"/>
        <v>119</v>
      </c>
      <c r="Q38" s="147">
        <f t="shared" si="23"/>
        <v>138</v>
      </c>
      <c r="R38" s="126">
        <v>157</v>
      </c>
      <c r="S38" s="147">
        <f t="shared" si="24"/>
        <v>142.22222222222223</v>
      </c>
      <c r="T38" s="147">
        <f t="shared" si="24"/>
        <v>127.44444444444446</v>
      </c>
      <c r="U38" s="147">
        <f t="shared" si="24"/>
        <v>112.66666666666669</v>
      </c>
      <c r="V38" s="147">
        <f t="shared" si="24"/>
        <v>97.888888888888914</v>
      </c>
      <c r="W38" s="147">
        <f t="shared" si="24"/>
        <v>83.111111111111143</v>
      </c>
      <c r="X38" s="147">
        <f t="shared" si="24"/>
        <v>68.333333333333371</v>
      </c>
      <c r="Y38" s="147">
        <f t="shared" si="24"/>
        <v>53.555555555555593</v>
      </c>
      <c r="Z38" s="147">
        <f t="shared" si="24"/>
        <v>38.777777777777814</v>
      </c>
      <c r="AA38" s="126">
        <v>24</v>
      </c>
      <c r="AB38" s="148">
        <f t="shared" si="25"/>
        <v>17.5</v>
      </c>
      <c r="AC38" s="126">
        <v>11</v>
      </c>
      <c r="AD38" s="126">
        <v>11</v>
      </c>
      <c r="AE38" s="126">
        <v>31</v>
      </c>
      <c r="AF38" s="148">
        <f t="shared" si="26"/>
        <v>27.5</v>
      </c>
      <c r="AG38" s="126">
        <v>24</v>
      </c>
      <c r="AH38" s="126">
        <v>52</v>
      </c>
      <c r="AI38" s="126">
        <v>31</v>
      </c>
      <c r="AJ38" s="148">
        <f t="shared" si="27"/>
        <v>36</v>
      </c>
      <c r="AK38" s="6">
        <v>41</v>
      </c>
      <c r="AL38" s="6">
        <v>137</v>
      </c>
      <c r="AM38" s="126">
        <v>54</v>
      </c>
      <c r="AN38" s="148">
        <f t="shared" si="28"/>
        <v>47</v>
      </c>
      <c r="AO38" s="126">
        <v>40</v>
      </c>
      <c r="AP38" s="148">
        <f t="shared" si="29"/>
        <v>20</v>
      </c>
      <c r="AQ38" s="248"/>
      <c r="AR38" s="148">
        <f t="shared" si="30"/>
        <v>0</v>
      </c>
      <c r="AS38" s="248"/>
      <c r="AT38" s="148">
        <f t="shared" si="31"/>
        <v>15</v>
      </c>
      <c r="AU38" s="6">
        <v>30</v>
      </c>
      <c r="AV38" s="148">
        <f t="shared" si="32"/>
        <v>30</v>
      </c>
      <c r="AW38" s="6">
        <v>30</v>
      </c>
      <c r="AX38" s="148">
        <f t="shared" si="32"/>
        <v>40</v>
      </c>
      <c r="AY38" s="6">
        <v>50</v>
      </c>
      <c r="AZ38" s="148">
        <f t="shared" si="32"/>
        <v>40</v>
      </c>
      <c r="BA38" s="6">
        <v>30</v>
      </c>
      <c r="BB38" s="6" t="s">
        <v>131</v>
      </c>
      <c r="BC38" s="6" t="s">
        <v>131</v>
      </c>
      <c r="BD38" s="2">
        <v>60</v>
      </c>
      <c r="BE38" s="2">
        <v>40</v>
      </c>
      <c r="BF38" s="2">
        <v>60</v>
      </c>
    </row>
    <row r="39" spans="1:58">
      <c r="A39" s="3" t="s">
        <v>64</v>
      </c>
      <c r="B39" s="136">
        <f>SUM(B41:B52)</f>
        <v>92001</v>
      </c>
      <c r="C39" s="136">
        <f t="shared" ref="C39:BF39" si="33">SUM(C41:C52)</f>
        <v>91390</v>
      </c>
      <c r="D39" s="136">
        <f t="shared" si="33"/>
        <v>93162.857142857145</v>
      </c>
      <c r="E39" s="136">
        <f t="shared" si="33"/>
        <v>94935.714285714275</v>
      </c>
      <c r="F39" s="136">
        <f t="shared" si="33"/>
        <v>96708.571428571435</v>
      </c>
      <c r="G39" s="136">
        <f t="shared" si="33"/>
        <v>98481.42857142858</v>
      </c>
      <c r="H39" s="136">
        <f t="shared" si="33"/>
        <v>100254.28571428571</v>
      </c>
      <c r="I39" s="136">
        <f t="shared" si="33"/>
        <v>102027.14285714286</v>
      </c>
      <c r="J39" s="136">
        <f t="shared" si="33"/>
        <v>103800</v>
      </c>
      <c r="K39" s="136">
        <f t="shared" si="33"/>
        <v>103800</v>
      </c>
      <c r="L39" s="136">
        <f t="shared" si="33"/>
        <v>103800</v>
      </c>
      <c r="M39" s="136">
        <f t="shared" si="33"/>
        <v>97400</v>
      </c>
      <c r="N39" s="136">
        <f t="shared" si="33"/>
        <v>92600</v>
      </c>
      <c r="O39" s="136">
        <f t="shared" si="33"/>
        <v>92600</v>
      </c>
      <c r="P39" s="136">
        <f t="shared" si="33"/>
        <v>89420.333333333343</v>
      </c>
      <c r="Q39" s="136">
        <f t="shared" si="33"/>
        <v>86240.666666666672</v>
      </c>
      <c r="R39" s="136">
        <f t="shared" si="33"/>
        <v>83061</v>
      </c>
      <c r="S39" s="136">
        <f t="shared" si="33"/>
        <v>82181.999999999985</v>
      </c>
      <c r="T39" s="136">
        <f t="shared" si="33"/>
        <v>81303</v>
      </c>
      <c r="U39" s="136">
        <f t="shared" si="33"/>
        <v>80424</v>
      </c>
      <c r="V39" s="136">
        <f t="shared" si="33"/>
        <v>79545</v>
      </c>
      <c r="W39" s="136">
        <f t="shared" si="33"/>
        <v>78666</v>
      </c>
      <c r="X39" s="136">
        <f t="shared" si="33"/>
        <v>77787</v>
      </c>
      <c r="Y39" s="136">
        <f t="shared" si="33"/>
        <v>76908</v>
      </c>
      <c r="Z39" s="136">
        <f t="shared" si="33"/>
        <v>76029</v>
      </c>
      <c r="AA39" s="136">
        <f t="shared" si="33"/>
        <v>75150</v>
      </c>
      <c r="AB39" s="136">
        <f t="shared" si="33"/>
        <v>69145.5</v>
      </c>
      <c r="AC39" s="136">
        <f t="shared" si="33"/>
        <v>63141</v>
      </c>
      <c r="AD39" s="136">
        <f t="shared" si="33"/>
        <v>63141</v>
      </c>
      <c r="AE39" s="136">
        <f t="shared" si="33"/>
        <v>61182</v>
      </c>
      <c r="AF39" s="136">
        <f t="shared" si="33"/>
        <v>61285</v>
      </c>
      <c r="AG39" s="136">
        <f t="shared" si="33"/>
        <v>61388</v>
      </c>
      <c r="AH39" s="136">
        <f t="shared" si="33"/>
        <v>58988</v>
      </c>
      <c r="AI39" s="136">
        <f t="shared" si="33"/>
        <v>63348</v>
      </c>
      <c r="AJ39" s="136">
        <f t="shared" si="33"/>
        <v>65724</v>
      </c>
      <c r="AK39" s="136">
        <f t="shared" si="33"/>
        <v>68100</v>
      </c>
      <c r="AL39" s="136">
        <f t="shared" si="33"/>
        <v>63980</v>
      </c>
      <c r="AM39" s="136">
        <f t="shared" si="33"/>
        <v>67971</v>
      </c>
      <c r="AN39" s="136">
        <f t="shared" si="33"/>
        <v>68855.5</v>
      </c>
      <c r="AO39" s="136">
        <f t="shared" si="33"/>
        <v>69740</v>
      </c>
      <c r="AP39" s="136">
        <f t="shared" si="33"/>
        <v>68660</v>
      </c>
      <c r="AQ39" s="136">
        <f t="shared" si="33"/>
        <v>67580</v>
      </c>
      <c r="AR39" s="136">
        <f t="shared" si="33"/>
        <v>67260</v>
      </c>
      <c r="AS39" s="136">
        <f t="shared" si="33"/>
        <v>66940</v>
      </c>
      <c r="AT39" s="136">
        <f t="shared" si="33"/>
        <v>66690</v>
      </c>
      <c r="AU39" s="136">
        <f t="shared" si="33"/>
        <v>66440</v>
      </c>
      <c r="AV39" s="136">
        <f t="shared" si="33"/>
        <v>63870</v>
      </c>
      <c r="AW39" s="136">
        <f t="shared" si="33"/>
        <v>63550</v>
      </c>
      <c r="AX39" s="136">
        <f t="shared" si="33"/>
        <v>65545</v>
      </c>
      <c r="AY39" s="136">
        <f t="shared" si="33"/>
        <v>69940</v>
      </c>
      <c r="AZ39" s="136">
        <f t="shared" si="33"/>
        <v>72300</v>
      </c>
      <c r="BA39" s="136">
        <f t="shared" si="33"/>
        <v>74660</v>
      </c>
      <c r="BB39" s="14">
        <f t="shared" si="18"/>
        <v>74615</v>
      </c>
      <c r="BC39" s="136">
        <f t="shared" si="33"/>
        <v>74570</v>
      </c>
      <c r="BD39" s="136">
        <f t="shared" si="33"/>
        <v>75790</v>
      </c>
      <c r="BE39" s="136">
        <f t="shared" si="33"/>
        <v>79110</v>
      </c>
      <c r="BF39" s="136">
        <f t="shared" si="33"/>
        <v>79720</v>
      </c>
    </row>
    <row r="40" spans="1:58">
      <c r="A40" s="3" t="s">
        <v>129</v>
      </c>
      <c r="BB40" s="14"/>
    </row>
    <row r="41" spans="1:58">
      <c r="A41" s="2" t="s">
        <v>65</v>
      </c>
      <c r="B41" s="7">
        <v>23150</v>
      </c>
      <c r="C41" s="7">
        <v>22970</v>
      </c>
      <c r="D41" s="16">
        <f t="shared" ref="D41:I52" si="34">(($J41-$C41)/7)+C41</f>
        <v>23160</v>
      </c>
      <c r="E41" s="16">
        <f t="shared" si="34"/>
        <v>23350</v>
      </c>
      <c r="F41" s="16">
        <f t="shared" si="34"/>
        <v>23540</v>
      </c>
      <c r="G41" s="16">
        <f t="shared" si="34"/>
        <v>23730</v>
      </c>
      <c r="H41" s="16">
        <f t="shared" si="34"/>
        <v>23920</v>
      </c>
      <c r="I41" s="16">
        <f t="shared" si="34"/>
        <v>24110</v>
      </c>
      <c r="J41" s="7">
        <v>24300</v>
      </c>
      <c r="K41" s="7">
        <v>24300</v>
      </c>
      <c r="L41" s="7">
        <v>24300</v>
      </c>
      <c r="M41" s="7">
        <v>25500</v>
      </c>
      <c r="N41" s="7">
        <v>24000</v>
      </c>
      <c r="O41" s="7">
        <v>24000</v>
      </c>
      <c r="P41" s="16">
        <f t="shared" ref="P41:Q52" si="35">(($R41-$O41)/3)+O41</f>
        <v>22779.333333333332</v>
      </c>
      <c r="Q41" s="16">
        <f t="shared" si="35"/>
        <v>21558.666666666664</v>
      </c>
      <c r="R41" s="7">
        <v>20338</v>
      </c>
      <c r="S41" s="16">
        <f t="shared" ref="S41:Z52" si="36">(($AA41-$R41)/9)+R41</f>
        <v>19888</v>
      </c>
      <c r="T41" s="16">
        <f t="shared" si="36"/>
        <v>19438</v>
      </c>
      <c r="U41" s="16">
        <f t="shared" si="36"/>
        <v>18988</v>
      </c>
      <c r="V41" s="16">
        <f t="shared" si="36"/>
        <v>18538</v>
      </c>
      <c r="W41" s="16">
        <f t="shared" si="36"/>
        <v>18088</v>
      </c>
      <c r="X41" s="16">
        <f t="shared" si="36"/>
        <v>17638</v>
      </c>
      <c r="Y41" s="16">
        <f t="shared" si="36"/>
        <v>17188</v>
      </c>
      <c r="Z41" s="16">
        <f t="shared" si="36"/>
        <v>16738</v>
      </c>
      <c r="AA41" s="7">
        <v>16288</v>
      </c>
      <c r="AB41" s="14">
        <f t="shared" ref="AB41:AB52" si="37">((AC41-AA41)/2)+AA41</f>
        <v>15913</v>
      </c>
      <c r="AC41" s="7">
        <v>15538</v>
      </c>
      <c r="AD41" s="7">
        <v>15538</v>
      </c>
      <c r="AE41" s="7">
        <v>14724</v>
      </c>
      <c r="AF41" s="14">
        <f t="shared" ref="AF41:AF52" si="38">((AG41-AE41)/2)+AE41</f>
        <v>14702.5</v>
      </c>
      <c r="AG41" s="7">
        <v>14681</v>
      </c>
      <c r="AH41" s="10">
        <v>14520</v>
      </c>
      <c r="AI41" s="7">
        <v>15116</v>
      </c>
      <c r="AJ41" s="14">
        <f t="shared" ref="AJ41:AJ52" si="39">((AK41-AI41)/2)+AI41</f>
        <v>15884</v>
      </c>
      <c r="AK41" s="2">
        <v>16652</v>
      </c>
      <c r="AL41" s="2">
        <v>14511</v>
      </c>
      <c r="AM41" s="7">
        <v>15621</v>
      </c>
      <c r="AN41" s="14">
        <f t="shared" ref="AN41:AN52" si="40">((AO41-AM41)/2)+AM41</f>
        <v>15355.5</v>
      </c>
      <c r="AO41" s="7">
        <v>15090</v>
      </c>
      <c r="AP41" s="14">
        <f t="shared" ref="AP41:AP52" si="41">((AQ41-AO41)/2)+AO41</f>
        <v>14720</v>
      </c>
      <c r="AQ41" s="2">
        <v>14350</v>
      </c>
      <c r="AR41" s="14">
        <f t="shared" ref="AR41:AR52" si="42">((AS41-AQ41)/2)+AQ41</f>
        <v>14730</v>
      </c>
      <c r="AS41" s="2">
        <v>15110</v>
      </c>
      <c r="AT41" s="14">
        <f t="shared" ref="AT41:AT52" si="43">((AU41-AS41)/2)+AS41</f>
        <v>15110</v>
      </c>
      <c r="AU41" s="2">
        <v>15110</v>
      </c>
      <c r="AV41" s="14">
        <f t="shared" ref="AV41:AZ52" si="44">((AW41-AU41)/2)+AU41</f>
        <v>14805</v>
      </c>
      <c r="AW41" s="2">
        <v>14500</v>
      </c>
      <c r="AX41" s="14">
        <f t="shared" si="44"/>
        <v>14265</v>
      </c>
      <c r="AY41" s="2">
        <v>14030</v>
      </c>
      <c r="AZ41" s="14">
        <f t="shared" si="44"/>
        <v>15415</v>
      </c>
      <c r="BA41" s="2">
        <v>16800</v>
      </c>
      <c r="BB41" s="14">
        <f t="shared" si="18"/>
        <v>15625</v>
      </c>
      <c r="BC41" s="2">
        <v>14450</v>
      </c>
      <c r="BD41" s="2">
        <v>14550</v>
      </c>
      <c r="BE41" s="2">
        <v>15250</v>
      </c>
      <c r="BF41" s="2">
        <v>14550</v>
      </c>
    </row>
    <row r="42" spans="1:58">
      <c r="A42" s="2" t="s">
        <v>66</v>
      </c>
      <c r="B42" s="7">
        <v>5178</v>
      </c>
      <c r="C42" s="7">
        <v>5140</v>
      </c>
      <c r="D42" s="16">
        <f t="shared" si="34"/>
        <v>5205.7142857142853</v>
      </c>
      <c r="E42" s="16">
        <f t="shared" si="34"/>
        <v>5271.4285714285706</v>
      </c>
      <c r="F42" s="16">
        <f t="shared" si="34"/>
        <v>5337.142857142856</v>
      </c>
      <c r="G42" s="16">
        <f t="shared" si="34"/>
        <v>5402.8571428571413</v>
      </c>
      <c r="H42" s="16">
        <f t="shared" si="34"/>
        <v>5468.5714285714266</v>
      </c>
      <c r="I42" s="16">
        <f t="shared" si="34"/>
        <v>5534.2857142857119</v>
      </c>
      <c r="J42" s="7">
        <v>5600</v>
      </c>
      <c r="K42" s="7">
        <v>5600</v>
      </c>
      <c r="L42" s="7">
        <v>5600</v>
      </c>
      <c r="M42" s="7">
        <v>5400</v>
      </c>
      <c r="N42" s="7">
        <v>5000</v>
      </c>
      <c r="O42" s="7">
        <v>5000</v>
      </c>
      <c r="P42" s="16">
        <f t="shared" si="35"/>
        <v>5119.666666666667</v>
      </c>
      <c r="Q42" s="16">
        <f t="shared" si="35"/>
        <v>5239.3333333333339</v>
      </c>
      <c r="R42" s="7">
        <v>5359</v>
      </c>
      <c r="S42" s="16">
        <f t="shared" si="36"/>
        <v>5243.1111111111113</v>
      </c>
      <c r="T42" s="16">
        <f t="shared" si="36"/>
        <v>5127.2222222222226</v>
      </c>
      <c r="U42" s="16">
        <f t="shared" si="36"/>
        <v>5011.3333333333339</v>
      </c>
      <c r="V42" s="16">
        <f t="shared" si="36"/>
        <v>4895.4444444444453</v>
      </c>
      <c r="W42" s="16">
        <f t="shared" si="36"/>
        <v>4779.5555555555566</v>
      </c>
      <c r="X42" s="16">
        <f t="shared" si="36"/>
        <v>4663.6666666666679</v>
      </c>
      <c r="Y42" s="16">
        <f t="shared" si="36"/>
        <v>4547.7777777777792</v>
      </c>
      <c r="Z42" s="16">
        <f t="shared" si="36"/>
        <v>4431.8888888888905</v>
      </c>
      <c r="AA42" s="7">
        <v>4316</v>
      </c>
      <c r="AB42" s="14">
        <f t="shared" si="37"/>
        <v>4309.5</v>
      </c>
      <c r="AC42" s="7">
        <v>4303</v>
      </c>
      <c r="AD42" s="7">
        <v>4303</v>
      </c>
      <c r="AE42" s="7">
        <v>4061</v>
      </c>
      <c r="AF42" s="14">
        <f t="shared" si="38"/>
        <v>4058</v>
      </c>
      <c r="AG42" s="7">
        <v>4055</v>
      </c>
      <c r="AH42" s="10">
        <v>3336</v>
      </c>
      <c r="AI42" s="7">
        <v>4301</v>
      </c>
      <c r="AJ42" s="14">
        <f t="shared" si="39"/>
        <v>4449</v>
      </c>
      <c r="AK42" s="2">
        <v>4597</v>
      </c>
      <c r="AL42" s="2">
        <v>4192</v>
      </c>
      <c r="AM42" s="7">
        <v>4593</v>
      </c>
      <c r="AN42" s="14">
        <f t="shared" si="40"/>
        <v>4706.5</v>
      </c>
      <c r="AO42" s="7">
        <v>4820</v>
      </c>
      <c r="AP42" s="14">
        <f t="shared" si="41"/>
        <v>5045</v>
      </c>
      <c r="AQ42" s="2">
        <v>5270</v>
      </c>
      <c r="AR42" s="14">
        <f t="shared" si="42"/>
        <v>5030</v>
      </c>
      <c r="AS42" s="2">
        <v>4790</v>
      </c>
      <c r="AT42" s="14">
        <f t="shared" si="43"/>
        <v>5010</v>
      </c>
      <c r="AU42" s="2">
        <v>5230</v>
      </c>
      <c r="AV42" s="14">
        <f t="shared" si="44"/>
        <v>5425</v>
      </c>
      <c r="AW42" s="2">
        <v>5620</v>
      </c>
      <c r="AX42" s="14">
        <f t="shared" si="44"/>
        <v>5360</v>
      </c>
      <c r="AY42" s="2">
        <v>5100</v>
      </c>
      <c r="AZ42" s="14">
        <f t="shared" si="44"/>
        <v>6115</v>
      </c>
      <c r="BA42" s="2">
        <v>7130</v>
      </c>
      <c r="BB42" s="14">
        <f t="shared" si="18"/>
        <v>6870</v>
      </c>
      <c r="BC42" s="2">
        <v>6610</v>
      </c>
      <c r="BD42" s="2">
        <v>6940</v>
      </c>
      <c r="BE42" s="2">
        <v>7120</v>
      </c>
      <c r="BF42" s="2">
        <v>7010</v>
      </c>
    </row>
    <row r="43" spans="1:58">
      <c r="A43" s="2" t="s">
        <v>67</v>
      </c>
      <c r="B43" s="7">
        <v>4493</v>
      </c>
      <c r="C43" s="7">
        <v>4460</v>
      </c>
      <c r="D43" s="16">
        <f t="shared" si="34"/>
        <v>4594.2857142857147</v>
      </c>
      <c r="E43" s="16">
        <f t="shared" si="34"/>
        <v>4728.5714285714294</v>
      </c>
      <c r="F43" s="16">
        <f t="shared" si="34"/>
        <v>4862.857142857144</v>
      </c>
      <c r="G43" s="16">
        <f t="shared" si="34"/>
        <v>4997.1428571428587</v>
      </c>
      <c r="H43" s="16">
        <f t="shared" si="34"/>
        <v>5131.4285714285734</v>
      </c>
      <c r="I43" s="16">
        <f t="shared" si="34"/>
        <v>5265.7142857142881</v>
      </c>
      <c r="J43" s="7">
        <v>5400</v>
      </c>
      <c r="K43" s="7">
        <v>5400</v>
      </c>
      <c r="L43" s="7">
        <v>5400</v>
      </c>
      <c r="M43" s="7">
        <v>4500</v>
      </c>
      <c r="N43" s="7">
        <v>4000</v>
      </c>
      <c r="O43" s="7">
        <v>4000</v>
      </c>
      <c r="P43" s="16">
        <f t="shared" si="35"/>
        <v>3945.6666666666665</v>
      </c>
      <c r="Q43" s="16">
        <f t="shared" si="35"/>
        <v>3891.333333333333</v>
      </c>
      <c r="R43" s="7">
        <v>3837</v>
      </c>
      <c r="S43" s="16">
        <f t="shared" si="36"/>
        <v>3916.3333333333335</v>
      </c>
      <c r="T43" s="16">
        <f t="shared" si="36"/>
        <v>3995.666666666667</v>
      </c>
      <c r="U43" s="16">
        <f t="shared" si="36"/>
        <v>4075.0000000000005</v>
      </c>
      <c r="V43" s="16">
        <f t="shared" si="36"/>
        <v>4154.3333333333339</v>
      </c>
      <c r="W43" s="16">
        <f t="shared" si="36"/>
        <v>4233.666666666667</v>
      </c>
      <c r="X43" s="16">
        <f t="shared" si="36"/>
        <v>4313</v>
      </c>
      <c r="Y43" s="16">
        <f t="shared" si="36"/>
        <v>4392.333333333333</v>
      </c>
      <c r="Z43" s="16">
        <f t="shared" si="36"/>
        <v>4471.6666666666661</v>
      </c>
      <c r="AA43" s="7">
        <v>4551</v>
      </c>
      <c r="AB43" s="14">
        <f t="shared" si="37"/>
        <v>3468.5</v>
      </c>
      <c r="AC43" s="7">
        <v>2386</v>
      </c>
      <c r="AD43" s="7">
        <v>2386</v>
      </c>
      <c r="AE43" s="7">
        <v>2495</v>
      </c>
      <c r="AF43" s="14">
        <f t="shared" si="38"/>
        <v>2548</v>
      </c>
      <c r="AG43" s="7">
        <v>2601</v>
      </c>
      <c r="AH43" s="10">
        <v>1954</v>
      </c>
      <c r="AI43" s="7">
        <v>2613</v>
      </c>
      <c r="AJ43" s="14">
        <f t="shared" si="39"/>
        <v>2653</v>
      </c>
      <c r="AK43" s="2">
        <v>2693</v>
      </c>
      <c r="AL43" s="2">
        <v>2097</v>
      </c>
      <c r="AM43" s="7">
        <v>2667</v>
      </c>
      <c r="AN43" s="14">
        <f t="shared" si="40"/>
        <v>2643.5</v>
      </c>
      <c r="AO43" s="7">
        <v>2620</v>
      </c>
      <c r="AP43" s="14">
        <f t="shared" si="41"/>
        <v>2945</v>
      </c>
      <c r="AQ43" s="2">
        <v>3270</v>
      </c>
      <c r="AR43" s="14">
        <f t="shared" si="42"/>
        <v>2765</v>
      </c>
      <c r="AS43" s="2">
        <v>2260</v>
      </c>
      <c r="AT43" s="14">
        <f t="shared" si="43"/>
        <v>2255</v>
      </c>
      <c r="AU43" s="2">
        <v>2250</v>
      </c>
      <c r="AV43" s="2" t="s">
        <v>131</v>
      </c>
      <c r="AW43" s="2" t="s">
        <v>285</v>
      </c>
      <c r="AX43" s="2" t="s">
        <v>131</v>
      </c>
      <c r="AY43" s="2">
        <v>2400</v>
      </c>
      <c r="AZ43" s="14">
        <f t="shared" si="44"/>
        <v>2490</v>
      </c>
      <c r="BA43" s="2">
        <v>2580</v>
      </c>
      <c r="BB43" s="14">
        <f t="shared" si="18"/>
        <v>2695</v>
      </c>
      <c r="BC43" s="2">
        <v>2810</v>
      </c>
      <c r="BD43" s="2">
        <v>2930</v>
      </c>
      <c r="BE43" s="2">
        <v>2800</v>
      </c>
      <c r="BF43" s="2">
        <v>2770</v>
      </c>
    </row>
    <row r="44" spans="1:58">
      <c r="A44" s="2" t="s">
        <v>68</v>
      </c>
      <c r="B44" s="7">
        <v>2319</v>
      </c>
      <c r="C44" s="7">
        <v>2300</v>
      </c>
      <c r="D44" s="16">
        <f t="shared" si="34"/>
        <v>2342.8571428571427</v>
      </c>
      <c r="E44" s="16">
        <f t="shared" si="34"/>
        <v>2385.7142857142853</v>
      </c>
      <c r="F44" s="16">
        <f t="shared" si="34"/>
        <v>2428.571428571428</v>
      </c>
      <c r="G44" s="16">
        <f t="shared" si="34"/>
        <v>2471.4285714285706</v>
      </c>
      <c r="H44" s="16">
        <f t="shared" si="34"/>
        <v>2514.2857142857133</v>
      </c>
      <c r="I44" s="16">
        <f t="shared" si="34"/>
        <v>2557.142857142856</v>
      </c>
      <c r="J44" s="7">
        <v>2600</v>
      </c>
      <c r="K44" s="7">
        <v>2600</v>
      </c>
      <c r="L44" s="7">
        <v>2600</v>
      </c>
      <c r="M44" s="7">
        <v>2000</v>
      </c>
      <c r="N44" s="7">
        <v>2000</v>
      </c>
      <c r="O44" s="7">
        <v>2000</v>
      </c>
      <c r="P44" s="16">
        <f t="shared" si="35"/>
        <v>1937</v>
      </c>
      <c r="Q44" s="16">
        <f t="shared" si="35"/>
        <v>1874</v>
      </c>
      <c r="R44" s="7">
        <v>1811</v>
      </c>
      <c r="S44" s="16">
        <f t="shared" si="36"/>
        <v>1782</v>
      </c>
      <c r="T44" s="16">
        <f t="shared" si="36"/>
        <v>1753</v>
      </c>
      <c r="U44" s="16">
        <f t="shared" si="36"/>
        <v>1724</v>
      </c>
      <c r="V44" s="16">
        <f t="shared" si="36"/>
        <v>1695</v>
      </c>
      <c r="W44" s="16">
        <f t="shared" si="36"/>
        <v>1666</v>
      </c>
      <c r="X44" s="16">
        <f t="shared" si="36"/>
        <v>1637</v>
      </c>
      <c r="Y44" s="16">
        <f t="shared" si="36"/>
        <v>1608</v>
      </c>
      <c r="Z44" s="16">
        <f t="shared" si="36"/>
        <v>1579</v>
      </c>
      <c r="AA44" s="7">
        <v>1550</v>
      </c>
      <c r="AB44" s="14">
        <f t="shared" si="37"/>
        <v>1509</v>
      </c>
      <c r="AC44" s="7">
        <v>1468</v>
      </c>
      <c r="AD44" s="7">
        <v>1468</v>
      </c>
      <c r="AE44" s="7">
        <v>1668</v>
      </c>
      <c r="AF44" s="14">
        <f t="shared" si="38"/>
        <v>1644.5</v>
      </c>
      <c r="AG44" s="7">
        <v>1621</v>
      </c>
      <c r="AH44" s="10">
        <v>1274</v>
      </c>
      <c r="AI44" s="7">
        <v>1747</v>
      </c>
      <c r="AJ44" s="14">
        <f t="shared" si="39"/>
        <v>1909</v>
      </c>
      <c r="AK44" s="2">
        <v>2071</v>
      </c>
      <c r="AL44" s="2">
        <v>1669</v>
      </c>
      <c r="AM44" s="7">
        <v>1903</v>
      </c>
      <c r="AN44" s="14">
        <f t="shared" si="40"/>
        <v>2031.5</v>
      </c>
      <c r="AO44" s="7">
        <v>2160</v>
      </c>
      <c r="AP44" s="14">
        <f t="shared" si="41"/>
        <v>2120</v>
      </c>
      <c r="AQ44" s="2">
        <v>2080</v>
      </c>
      <c r="AR44" s="14">
        <f t="shared" si="42"/>
        <v>2230</v>
      </c>
      <c r="AS44" s="2">
        <v>2380</v>
      </c>
      <c r="AT44" s="14">
        <f t="shared" si="43"/>
        <v>2275</v>
      </c>
      <c r="AU44" s="2">
        <v>2170</v>
      </c>
      <c r="AV44" s="14">
        <f t="shared" si="44"/>
        <v>2215</v>
      </c>
      <c r="AW44" s="2">
        <v>2260</v>
      </c>
      <c r="AX44" s="14">
        <f t="shared" si="44"/>
        <v>2220</v>
      </c>
      <c r="AY44" s="2">
        <v>2180</v>
      </c>
      <c r="AZ44" s="14">
        <f t="shared" si="44"/>
        <v>2365</v>
      </c>
      <c r="BA44" s="2">
        <v>2550</v>
      </c>
      <c r="BB44" s="14">
        <f t="shared" si="18"/>
        <v>2710</v>
      </c>
      <c r="BC44" s="2">
        <v>2870</v>
      </c>
      <c r="BD44" s="2">
        <v>2910</v>
      </c>
      <c r="BE44" s="2">
        <v>3320</v>
      </c>
      <c r="BF44" s="2">
        <v>3490</v>
      </c>
    </row>
    <row r="45" spans="1:58">
      <c r="A45" s="2" t="s">
        <v>69</v>
      </c>
      <c r="B45" s="7">
        <v>14765</v>
      </c>
      <c r="C45" s="7">
        <v>14660</v>
      </c>
      <c r="D45" s="16">
        <f t="shared" si="34"/>
        <v>15022.857142857143</v>
      </c>
      <c r="E45" s="16">
        <f t="shared" si="34"/>
        <v>15385.714285714286</v>
      </c>
      <c r="F45" s="16">
        <f t="shared" si="34"/>
        <v>15748.571428571429</v>
      </c>
      <c r="G45" s="16">
        <f t="shared" si="34"/>
        <v>16111.428571428572</v>
      </c>
      <c r="H45" s="16">
        <f t="shared" si="34"/>
        <v>16474.285714285714</v>
      </c>
      <c r="I45" s="16">
        <f t="shared" si="34"/>
        <v>16837.142857142855</v>
      </c>
      <c r="J45" s="7">
        <v>17200</v>
      </c>
      <c r="K45" s="7">
        <v>17200</v>
      </c>
      <c r="L45" s="7">
        <v>17200</v>
      </c>
      <c r="M45" s="7">
        <v>15900</v>
      </c>
      <c r="N45" s="7">
        <v>15000</v>
      </c>
      <c r="O45" s="7">
        <v>15000</v>
      </c>
      <c r="P45" s="16">
        <f t="shared" si="35"/>
        <v>14354.333333333334</v>
      </c>
      <c r="Q45" s="16">
        <f t="shared" si="35"/>
        <v>13708.666666666668</v>
      </c>
      <c r="R45" s="7">
        <v>13063</v>
      </c>
      <c r="S45" s="16">
        <f t="shared" si="36"/>
        <v>12952.777777777777</v>
      </c>
      <c r="T45" s="16">
        <f t="shared" si="36"/>
        <v>12842.555555555555</v>
      </c>
      <c r="U45" s="16">
        <f t="shared" si="36"/>
        <v>12732.333333333332</v>
      </c>
      <c r="V45" s="16">
        <f t="shared" si="36"/>
        <v>12622.111111111109</v>
      </c>
      <c r="W45" s="16">
        <f t="shared" si="36"/>
        <v>12511.888888888887</v>
      </c>
      <c r="X45" s="16">
        <f t="shared" si="36"/>
        <v>12401.666666666664</v>
      </c>
      <c r="Y45" s="16">
        <f t="shared" si="36"/>
        <v>12291.444444444442</v>
      </c>
      <c r="Z45" s="16">
        <f t="shared" si="36"/>
        <v>12181.222222222219</v>
      </c>
      <c r="AA45" s="7">
        <v>12071</v>
      </c>
      <c r="AB45" s="14">
        <f t="shared" si="37"/>
        <v>10872.5</v>
      </c>
      <c r="AC45" s="7">
        <v>9674</v>
      </c>
      <c r="AD45" s="7">
        <v>9674</v>
      </c>
      <c r="AE45" s="7">
        <v>8925</v>
      </c>
      <c r="AF45" s="14">
        <f t="shared" si="38"/>
        <v>8865</v>
      </c>
      <c r="AG45" s="10">
        <v>8805</v>
      </c>
      <c r="AH45" s="10">
        <v>8734</v>
      </c>
      <c r="AI45" s="10">
        <v>8886</v>
      </c>
      <c r="AJ45" s="14">
        <f t="shared" si="39"/>
        <v>9000</v>
      </c>
      <c r="AK45" s="2">
        <v>9114</v>
      </c>
      <c r="AL45" s="2">
        <v>10016</v>
      </c>
      <c r="AM45" s="7">
        <v>9226</v>
      </c>
      <c r="AN45" s="14">
        <f t="shared" si="40"/>
        <v>9273</v>
      </c>
      <c r="AO45" s="7">
        <v>9320</v>
      </c>
      <c r="AP45" s="14">
        <f t="shared" si="41"/>
        <v>8685</v>
      </c>
      <c r="AQ45" s="2">
        <v>8050</v>
      </c>
      <c r="AR45" s="14">
        <f t="shared" si="42"/>
        <v>8285</v>
      </c>
      <c r="AS45" s="2">
        <v>8520</v>
      </c>
      <c r="AT45" s="14">
        <f t="shared" si="43"/>
        <v>8520</v>
      </c>
      <c r="AU45" s="2">
        <v>8520</v>
      </c>
      <c r="AV45" s="14">
        <f t="shared" si="44"/>
        <v>7905</v>
      </c>
      <c r="AW45" s="2">
        <v>7290</v>
      </c>
      <c r="AX45" s="14">
        <f t="shared" si="44"/>
        <v>8550</v>
      </c>
      <c r="AY45" s="2">
        <v>9810</v>
      </c>
      <c r="AZ45" s="14">
        <f t="shared" si="44"/>
        <v>10385</v>
      </c>
      <c r="BA45" s="2">
        <v>10960</v>
      </c>
      <c r="BB45" s="14">
        <f t="shared" si="18"/>
        <v>9445</v>
      </c>
      <c r="BC45" s="2">
        <v>7930</v>
      </c>
      <c r="BD45" s="2">
        <v>8360</v>
      </c>
      <c r="BE45" s="2">
        <v>8110</v>
      </c>
      <c r="BF45" s="2">
        <v>7880</v>
      </c>
    </row>
    <row r="46" spans="1:58">
      <c r="A46" s="2" t="s">
        <v>70</v>
      </c>
      <c r="B46" s="7">
        <v>6342</v>
      </c>
      <c r="C46" s="7">
        <v>6300</v>
      </c>
      <c r="D46" s="16">
        <f t="shared" si="34"/>
        <v>6314.2857142857147</v>
      </c>
      <c r="E46" s="16">
        <f t="shared" si="34"/>
        <v>6328.5714285714294</v>
      </c>
      <c r="F46" s="16">
        <f t="shared" si="34"/>
        <v>6342.857142857144</v>
      </c>
      <c r="G46" s="16">
        <f t="shared" si="34"/>
        <v>6357.1428571428587</v>
      </c>
      <c r="H46" s="16">
        <f t="shared" si="34"/>
        <v>6371.4285714285734</v>
      </c>
      <c r="I46" s="16">
        <f t="shared" si="34"/>
        <v>6385.7142857142881</v>
      </c>
      <c r="J46" s="7">
        <v>6400</v>
      </c>
      <c r="K46" s="7">
        <v>6400</v>
      </c>
      <c r="L46" s="7">
        <v>6400</v>
      </c>
      <c r="M46" s="7">
        <v>4800</v>
      </c>
      <c r="N46" s="7">
        <v>5000</v>
      </c>
      <c r="O46" s="7">
        <v>5000</v>
      </c>
      <c r="P46" s="16">
        <f t="shared" si="35"/>
        <v>4801</v>
      </c>
      <c r="Q46" s="16">
        <f t="shared" si="35"/>
        <v>4602</v>
      </c>
      <c r="R46" s="7">
        <v>4403</v>
      </c>
      <c r="S46" s="16">
        <f t="shared" si="36"/>
        <v>4434.5555555555557</v>
      </c>
      <c r="T46" s="16">
        <f t="shared" si="36"/>
        <v>4466.1111111111113</v>
      </c>
      <c r="U46" s="16">
        <f t="shared" si="36"/>
        <v>4497.666666666667</v>
      </c>
      <c r="V46" s="16">
        <f t="shared" si="36"/>
        <v>4529.2222222222226</v>
      </c>
      <c r="W46" s="16">
        <f t="shared" si="36"/>
        <v>4560.7777777777783</v>
      </c>
      <c r="X46" s="16">
        <f t="shared" si="36"/>
        <v>4592.3333333333339</v>
      </c>
      <c r="Y46" s="16">
        <f t="shared" si="36"/>
        <v>4623.8888888888896</v>
      </c>
      <c r="Z46" s="16">
        <f t="shared" si="36"/>
        <v>4655.4444444444453</v>
      </c>
      <c r="AA46" s="10">
        <v>4687</v>
      </c>
      <c r="AB46" s="14">
        <f t="shared" si="37"/>
        <v>4251</v>
      </c>
      <c r="AC46" s="10">
        <v>3815</v>
      </c>
      <c r="AD46" s="10">
        <v>3815</v>
      </c>
      <c r="AE46" s="7">
        <v>3453</v>
      </c>
      <c r="AF46" s="14">
        <f t="shared" si="38"/>
        <v>3413</v>
      </c>
      <c r="AG46" s="10">
        <v>3373</v>
      </c>
      <c r="AH46" s="10">
        <v>3157</v>
      </c>
      <c r="AI46" s="10">
        <v>3610</v>
      </c>
      <c r="AJ46" s="14">
        <f t="shared" si="39"/>
        <v>3810</v>
      </c>
      <c r="AK46" s="2">
        <v>4010</v>
      </c>
      <c r="AL46" s="2">
        <v>3588</v>
      </c>
      <c r="AM46" s="7">
        <v>4563</v>
      </c>
      <c r="AN46" s="14">
        <f t="shared" si="40"/>
        <v>4656.5</v>
      </c>
      <c r="AO46" s="7">
        <v>4750</v>
      </c>
      <c r="AP46" s="14">
        <f t="shared" si="41"/>
        <v>4510</v>
      </c>
      <c r="AQ46" s="2">
        <v>4270</v>
      </c>
      <c r="AR46" s="14">
        <f t="shared" si="42"/>
        <v>4600</v>
      </c>
      <c r="AS46" s="2">
        <v>4930</v>
      </c>
      <c r="AT46" s="14">
        <f t="shared" si="43"/>
        <v>4585</v>
      </c>
      <c r="AU46" s="2">
        <v>4240</v>
      </c>
      <c r="AV46" s="14">
        <f t="shared" si="44"/>
        <v>4475</v>
      </c>
      <c r="AW46" s="2">
        <v>4710</v>
      </c>
      <c r="AX46" s="14">
        <f t="shared" si="44"/>
        <v>4550</v>
      </c>
      <c r="AY46" s="2">
        <v>4390</v>
      </c>
      <c r="AZ46" s="14">
        <f t="shared" si="44"/>
        <v>4410</v>
      </c>
      <c r="BA46" s="2">
        <v>4430</v>
      </c>
      <c r="BB46" s="14">
        <f t="shared" si="18"/>
        <v>5345</v>
      </c>
      <c r="BC46" s="2">
        <v>6260</v>
      </c>
      <c r="BD46" s="2">
        <v>6620</v>
      </c>
      <c r="BE46" s="2">
        <v>7410</v>
      </c>
      <c r="BF46" s="2">
        <v>7970</v>
      </c>
    </row>
    <row r="47" spans="1:58">
      <c r="A47" s="2" t="s">
        <v>71</v>
      </c>
      <c r="B47" s="7">
        <v>7939</v>
      </c>
      <c r="C47" s="7">
        <v>7880</v>
      </c>
      <c r="D47" s="16">
        <f t="shared" si="34"/>
        <v>7882.8571428571431</v>
      </c>
      <c r="E47" s="16">
        <f t="shared" si="34"/>
        <v>7885.7142857142862</v>
      </c>
      <c r="F47" s="16">
        <f t="shared" si="34"/>
        <v>7888.5714285714294</v>
      </c>
      <c r="G47" s="16">
        <f t="shared" si="34"/>
        <v>7891.4285714285725</v>
      </c>
      <c r="H47" s="16">
        <f t="shared" si="34"/>
        <v>7894.2857142857156</v>
      </c>
      <c r="I47" s="16">
        <f t="shared" si="34"/>
        <v>7897.1428571428587</v>
      </c>
      <c r="J47" s="7">
        <v>7900</v>
      </c>
      <c r="K47" s="7">
        <v>7900</v>
      </c>
      <c r="L47" s="7">
        <v>7900</v>
      </c>
      <c r="M47" s="7">
        <v>9000</v>
      </c>
      <c r="N47" s="7">
        <v>8000</v>
      </c>
      <c r="O47" s="7">
        <v>8000</v>
      </c>
      <c r="P47" s="16">
        <f t="shared" si="35"/>
        <v>7790.333333333333</v>
      </c>
      <c r="Q47" s="16">
        <f t="shared" si="35"/>
        <v>7580.6666666666661</v>
      </c>
      <c r="R47" s="7">
        <v>7371</v>
      </c>
      <c r="S47" s="16">
        <f t="shared" si="36"/>
        <v>7349</v>
      </c>
      <c r="T47" s="16">
        <f t="shared" si="36"/>
        <v>7327</v>
      </c>
      <c r="U47" s="16">
        <f t="shared" si="36"/>
        <v>7305</v>
      </c>
      <c r="V47" s="16">
        <f t="shared" si="36"/>
        <v>7283</v>
      </c>
      <c r="W47" s="16">
        <f t="shared" si="36"/>
        <v>7261</v>
      </c>
      <c r="X47" s="16">
        <f t="shared" si="36"/>
        <v>7239</v>
      </c>
      <c r="Y47" s="16">
        <f t="shared" si="36"/>
        <v>7217</v>
      </c>
      <c r="Z47" s="16">
        <f t="shared" si="36"/>
        <v>7195</v>
      </c>
      <c r="AA47" s="10">
        <v>7173</v>
      </c>
      <c r="AB47" s="14">
        <f t="shared" si="37"/>
        <v>6515</v>
      </c>
      <c r="AC47" s="10">
        <v>5857</v>
      </c>
      <c r="AD47" s="10">
        <v>5857</v>
      </c>
      <c r="AE47" s="7">
        <v>5839</v>
      </c>
      <c r="AF47" s="14">
        <f t="shared" si="38"/>
        <v>5866.5</v>
      </c>
      <c r="AG47" s="10">
        <v>5894</v>
      </c>
      <c r="AH47" s="10">
        <v>5852</v>
      </c>
      <c r="AI47" s="10">
        <v>6214</v>
      </c>
      <c r="AJ47" s="14">
        <f t="shared" si="39"/>
        <v>6532.5</v>
      </c>
      <c r="AK47" s="2">
        <v>6851</v>
      </c>
      <c r="AL47" s="2">
        <v>6236</v>
      </c>
      <c r="AM47" s="7">
        <v>6883</v>
      </c>
      <c r="AN47" s="14">
        <f t="shared" si="40"/>
        <v>7276.5</v>
      </c>
      <c r="AO47" s="7">
        <v>7670</v>
      </c>
      <c r="AP47" s="14">
        <f t="shared" si="41"/>
        <v>8010</v>
      </c>
      <c r="AQ47" s="2">
        <v>8350</v>
      </c>
      <c r="AR47" s="14">
        <f t="shared" si="42"/>
        <v>7840</v>
      </c>
      <c r="AS47" s="2">
        <v>7330</v>
      </c>
      <c r="AT47" s="14">
        <f t="shared" si="43"/>
        <v>7185</v>
      </c>
      <c r="AU47" s="2">
        <v>7040</v>
      </c>
      <c r="AV47" s="14">
        <f t="shared" si="44"/>
        <v>7285</v>
      </c>
      <c r="AW47" s="2">
        <v>7530</v>
      </c>
      <c r="AX47" s="14">
        <f t="shared" si="44"/>
        <v>7635</v>
      </c>
      <c r="AY47" s="2">
        <v>7740</v>
      </c>
      <c r="AZ47" s="14">
        <f t="shared" si="44"/>
        <v>8140</v>
      </c>
      <c r="BA47" s="2">
        <v>8540</v>
      </c>
      <c r="BB47" s="14">
        <f t="shared" si="18"/>
        <v>8395</v>
      </c>
      <c r="BC47" s="2">
        <v>8250</v>
      </c>
      <c r="BD47" s="2">
        <v>9180</v>
      </c>
      <c r="BE47" s="2">
        <v>9900</v>
      </c>
      <c r="BF47" s="2">
        <v>10300</v>
      </c>
    </row>
    <row r="48" spans="1:58">
      <c r="A48" s="2" t="s">
        <v>72</v>
      </c>
      <c r="B48" s="7">
        <v>2414</v>
      </c>
      <c r="C48" s="7">
        <v>2390</v>
      </c>
      <c r="D48" s="16">
        <f t="shared" si="34"/>
        <v>2448.5714285714284</v>
      </c>
      <c r="E48" s="16">
        <f t="shared" si="34"/>
        <v>2507.1428571428569</v>
      </c>
      <c r="F48" s="16">
        <f t="shared" si="34"/>
        <v>2565.7142857142853</v>
      </c>
      <c r="G48" s="16">
        <f t="shared" si="34"/>
        <v>2624.2857142857138</v>
      </c>
      <c r="H48" s="16">
        <f t="shared" si="34"/>
        <v>2682.8571428571422</v>
      </c>
      <c r="I48" s="16">
        <f t="shared" si="34"/>
        <v>2741.4285714285706</v>
      </c>
      <c r="J48" s="7">
        <v>2800</v>
      </c>
      <c r="K48" s="7">
        <v>2800</v>
      </c>
      <c r="L48" s="7">
        <v>2800</v>
      </c>
      <c r="M48" s="7">
        <v>2700</v>
      </c>
      <c r="N48" s="7">
        <v>3000</v>
      </c>
      <c r="O48" s="7">
        <v>3000</v>
      </c>
      <c r="P48" s="16">
        <f t="shared" si="35"/>
        <v>2947.3333333333335</v>
      </c>
      <c r="Q48" s="16">
        <f t="shared" si="35"/>
        <v>2894.666666666667</v>
      </c>
      <c r="R48" s="7">
        <v>2842</v>
      </c>
      <c r="S48" s="16">
        <f t="shared" si="36"/>
        <v>2738.6666666666665</v>
      </c>
      <c r="T48" s="16">
        <f t="shared" si="36"/>
        <v>2635.333333333333</v>
      </c>
      <c r="U48" s="16">
        <f t="shared" si="36"/>
        <v>2531.9999999999995</v>
      </c>
      <c r="V48" s="16">
        <f t="shared" si="36"/>
        <v>2428.6666666666661</v>
      </c>
      <c r="W48" s="16">
        <f t="shared" si="36"/>
        <v>2325.3333333333326</v>
      </c>
      <c r="X48" s="16">
        <f t="shared" si="36"/>
        <v>2221.9999999999991</v>
      </c>
      <c r="Y48" s="16">
        <f t="shared" si="36"/>
        <v>2118.6666666666656</v>
      </c>
      <c r="Z48" s="16">
        <f t="shared" si="36"/>
        <v>2015.3333333333323</v>
      </c>
      <c r="AA48" s="10">
        <v>1912</v>
      </c>
      <c r="AB48" s="14">
        <f t="shared" si="37"/>
        <v>1953.5</v>
      </c>
      <c r="AC48" s="10">
        <v>1995</v>
      </c>
      <c r="AD48" s="10">
        <v>1995</v>
      </c>
      <c r="AE48" s="7">
        <v>1904</v>
      </c>
      <c r="AF48" s="14">
        <f t="shared" si="38"/>
        <v>1843.5</v>
      </c>
      <c r="AG48" s="10">
        <v>1783</v>
      </c>
      <c r="AH48" s="10">
        <v>1774</v>
      </c>
      <c r="AI48" s="10">
        <v>1960</v>
      </c>
      <c r="AJ48" s="14">
        <f t="shared" si="39"/>
        <v>2131.5</v>
      </c>
      <c r="AK48" s="2">
        <v>2303</v>
      </c>
      <c r="AL48" s="2">
        <v>2055</v>
      </c>
      <c r="AM48" s="7">
        <v>2375</v>
      </c>
      <c r="AN48" s="14">
        <f t="shared" si="40"/>
        <v>2367.5</v>
      </c>
      <c r="AO48" s="7">
        <v>2360</v>
      </c>
      <c r="AP48" s="14">
        <f t="shared" si="41"/>
        <v>2315</v>
      </c>
      <c r="AQ48" s="2">
        <v>2270</v>
      </c>
      <c r="AR48" s="14">
        <f t="shared" si="42"/>
        <v>2215</v>
      </c>
      <c r="AS48" s="2">
        <v>2160</v>
      </c>
      <c r="AT48" s="14">
        <f t="shared" si="43"/>
        <v>2080</v>
      </c>
      <c r="AU48" s="2">
        <v>2000</v>
      </c>
      <c r="AV48" s="14">
        <f t="shared" si="44"/>
        <v>2150</v>
      </c>
      <c r="AW48" s="2">
        <v>2300</v>
      </c>
      <c r="AX48" s="14">
        <f t="shared" si="44"/>
        <v>2340</v>
      </c>
      <c r="AY48" s="2">
        <v>2380</v>
      </c>
      <c r="AZ48" s="14">
        <f t="shared" si="44"/>
        <v>2420</v>
      </c>
      <c r="BA48" s="2">
        <v>2460</v>
      </c>
      <c r="BB48" s="14">
        <f t="shared" si="18"/>
        <v>3180</v>
      </c>
      <c r="BC48" s="2">
        <v>3900</v>
      </c>
      <c r="BD48" s="2">
        <v>2810</v>
      </c>
      <c r="BE48" s="2">
        <v>2870</v>
      </c>
      <c r="BF48" s="2">
        <v>2680</v>
      </c>
    </row>
    <row r="49" spans="1:58">
      <c r="A49" s="2" t="s">
        <v>73</v>
      </c>
      <c r="B49" s="7">
        <v>931</v>
      </c>
      <c r="C49" s="7">
        <v>920</v>
      </c>
      <c r="D49" s="16">
        <f t="shared" si="34"/>
        <v>960</v>
      </c>
      <c r="E49" s="16">
        <f t="shared" si="34"/>
        <v>1000</v>
      </c>
      <c r="F49" s="16">
        <f t="shared" si="34"/>
        <v>1040</v>
      </c>
      <c r="G49" s="16">
        <f t="shared" si="34"/>
        <v>1080</v>
      </c>
      <c r="H49" s="16">
        <f t="shared" si="34"/>
        <v>1120</v>
      </c>
      <c r="I49" s="16">
        <f t="shared" si="34"/>
        <v>1160</v>
      </c>
      <c r="J49" s="7">
        <v>1200</v>
      </c>
      <c r="K49" s="7">
        <v>1200</v>
      </c>
      <c r="L49" s="7">
        <v>1200</v>
      </c>
      <c r="M49" s="7">
        <v>700</v>
      </c>
      <c r="N49" s="12">
        <v>800</v>
      </c>
      <c r="O49" s="12">
        <v>800</v>
      </c>
      <c r="P49" s="16">
        <f t="shared" si="35"/>
        <v>771.33333333333337</v>
      </c>
      <c r="Q49" s="16">
        <f t="shared" si="35"/>
        <v>742.66666666666674</v>
      </c>
      <c r="R49" s="7">
        <v>714</v>
      </c>
      <c r="S49" s="16">
        <f t="shared" si="36"/>
        <v>687</v>
      </c>
      <c r="T49" s="16">
        <f t="shared" si="36"/>
        <v>660</v>
      </c>
      <c r="U49" s="16">
        <f t="shared" si="36"/>
        <v>633</v>
      </c>
      <c r="V49" s="16">
        <f t="shared" si="36"/>
        <v>606</v>
      </c>
      <c r="W49" s="16">
        <f t="shared" si="36"/>
        <v>579</v>
      </c>
      <c r="X49" s="16">
        <f t="shared" si="36"/>
        <v>552</v>
      </c>
      <c r="Y49" s="16">
        <f t="shared" si="36"/>
        <v>525</v>
      </c>
      <c r="Z49" s="16">
        <f t="shared" si="36"/>
        <v>498</v>
      </c>
      <c r="AA49" s="10">
        <v>471</v>
      </c>
      <c r="AB49" s="14">
        <f t="shared" si="37"/>
        <v>431</v>
      </c>
      <c r="AC49" s="10">
        <v>391</v>
      </c>
      <c r="AD49" s="10">
        <v>391</v>
      </c>
      <c r="AE49" s="10">
        <v>332</v>
      </c>
      <c r="AF49" s="14">
        <f t="shared" si="38"/>
        <v>356.5</v>
      </c>
      <c r="AG49" s="10">
        <v>381</v>
      </c>
      <c r="AH49" s="10">
        <v>475</v>
      </c>
      <c r="AI49" s="10">
        <v>430</v>
      </c>
      <c r="AJ49" s="14">
        <f t="shared" si="39"/>
        <v>439</v>
      </c>
      <c r="AK49" s="2">
        <v>448</v>
      </c>
      <c r="AL49" s="2">
        <v>522</v>
      </c>
      <c r="AM49" s="7">
        <v>374</v>
      </c>
      <c r="AN49" s="14">
        <f t="shared" si="40"/>
        <v>417</v>
      </c>
      <c r="AO49" s="7">
        <v>460</v>
      </c>
      <c r="AP49" s="14">
        <f t="shared" si="41"/>
        <v>440</v>
      </c>
      <c r="AQ49" s="2">
        <v>420</v>
      </c>
      <c r="AR49" s="14">
        <f t="shared" si="42"/>
        <v>415</v>
      </c>
      <c r="AS49" s="250">
        <v>410</v>
      </c>
      <c r="AT49" s="14">
        <f t="shared" si="43"/>
        <v>430</v>
      </c>
      <c r="AU49" s="2">
        <v>450</v>
      </c>
      <c r="AV49" s="14">
        <f t="shared" si="44"/>
        <v>430</v>
      </c>
      <c r="AW49" s="2">
        <v>410</v>
      </c>
      <c r="AX49" s="14">
        <f t="shared" si="44"/>
        <v>395</v>
      </c>
      <c r="AY49" s="2">
        <v>380</v>
      </c>
      <c r="AZ49" s="14">
        <f t="shared" si="44"/>
        <v>375</v>
      </c>
      <c r="BA49" s="2">
        <v>370</v>
      </c>
      <c r="BB49" s="2" t="s">
        <v>131</v>
      </c>
      <c r="BC49" s="2" t="s">
        <v>131</v>
      </c>
      <c r="BD49" s="2">
        <v>390</v>
      </c>
      <c r="BE49" s="2">
        <v>410</v>
      </c>
      <c r="BF49" s="2">
        <v>420</v>
      </c>
    </row>
    <row r="50" spans="1:58">
      <c r="A50" s="2" t="s">
        <v>74</v>
      </c>
      <c r="B50" s="7">
        <v>15120</v>
      </c>
      <c r="C50" s="7">
        <v>15080</v>
      </c>
      <c r="D50" s="16">
        <f t="shared" si="34"/>
        <v>15582.857142857143</v>
      </c>
      <c r="E50" s="16">
        <f t="shared" si="34"/>
        <v>16085.714285714286</v>
      </c>
      <c r="F50" s="16">
        <f t="shared" si="34"/>
        <v>16588.571428571428</v>
      </c>
      <c r="G50" s="16">
        <f t="shared" si="34"/>
        <v>17091.428571428569</v>
      </c>
      <c r="H50" s="16">
        <f t="shared" si="34"/>
        <v>17594.28571428571</v>
      </c>
      <c r="I50" s="16">
        <f t="shared" si="34"/>
        <v>18097.142857142851</v>
      </c>
      <c r="J50" s="7">
        <v>18600</v>
      </c>
      <c r="K50" s="7">
        <v>18600</v>
      </c>
      <c r="L50" s="7">
        <v>18600</v>
      </c>
      <c r="M50" s="7">
        <v>18700</v>
      </c>
      <c r="N50" s="12">
        <v>18000</v>
      </c>
      <c r="O50" s="12">
        <v>18000</v>
      </c>
      <c r="P50" s="16">
        <f t="shared" si="35"/>
        <v>17244.666666666668</v>
      </c>
      <c r="Q50" s="16">
        <f t="shared" si="35"/>
        <v>16489.333333333336</v>
      </c>
      <c r="R50" s="7">
        <v>15734</v>
      </c>
      <c r="S50" s="16">
        <f t="shared" si="36"/>
        <v>15764.888888888889</v>
      </c>
      <c r="T50" s="16">
        <f t="shared" si="36"/>
        <v>15795.777777777777</v>
      </c>
      <c r="U50" s="16">
        <f t="shared" si="36"/>
        <v>15826.666666666666</v>
      </c>
      <c r="V50" s="16">
        <f t="shared" si="36"/>
        <v>15857.555555555555</v>
      </c>
      <c r="W50" s="16">
        <f t="shared" si="36"/>
        <v>15888.444444444443</v>
      </c>
      <c r="X50" s="16">
        <f t="shared" si="36"/>
        <v>15919.333333333332</v>
      </c>
      <c r="Y50" s="16">
        <f t="shared" si="36"/>
        <v>15950.222222222221</v>
      </c>
      <c r="Z50" s="16">
        <f t="shared" si="36"/>
        <v>15981.111111111109</v>
      </c>
      <c r="AA50" s="10">
        <v>16012</v>
      </c>
      <c r="AB50" s="14">
        <f t="shared" si="37"/>
        <v>14163</v>
      </c>
      <c r="AC50" s="10">
        <v>12314</v>
      </c>
      <c r="AD50" s="10">
        <v>12314</v>
      </c>
      <c r="AE50" s="10">
        <v>12398</v>
      </c>
      <c r="AF50" s="14">
        <f t="shared" si="38"/>
        <v>12518.5</v>
      </c>
      <c r="AG50" s="10">
        <v>12639</v>
      </c>
      <c r="AH50" s="10">
        <v>12046</v>
      </c>
      <c r="AI50" s="10">
        <v>12784</v>
      </c>
      <c r="AJ50" s="14">
        <f t="shared" si="39"/>
        <v>13089</v>
      </c>
      <c r="AK50" s="2">
        <v>13394</v>
      </c>
      <c r="AL50" s="2">
        <v>13430</v>
      </c>
      <c r="AM50" s="7">
        <v>13869</v>
      </c>
      <c r="AN50" s="14">
        <f t="shared" si="40"/>
        <v>13979.5</v>
      </c>
      <c r="AO50" s="7">
        <v>14090</v>
      </c>
      <c r="AP50" s="14">
        <f t="shared" si="41"/>
        <v>13580</v>
      </c>
      <c r="AQ50" s="2">
        <v>13070</v>
      </c>
      <c r="AR50" s="14">
        <f t="shared" si="42"/>
        <v>13065</v>
      </c>
      <c r="AS50" s="2">
        <v>13060</v>
      </c>
      <c r="AT50" s="14">
        <f t="shared" si="43"/>
        <v>13180</v>
      </c>
      <c r="AU50" s="2">
        <v>13300</v>
      </c>
      <c r="AV50" s="14">
        <f t="shared" si="44"/>
        <v>13080</v>
      </c>
      <c r="AW50" s="2">
        <v>12860</v>
      </c>
      <c r="AX50" s="14">
        <f t="shared" si="44"/>
        <v>12805</v>
      </c>
      <c r="AY50" s="2">
        <v>12750</v>
      </c>
      <c r="AZ50" s="14">
        <f t="shared" si="44"/>
        <v>12835</v>
      </c>
      <c r="BA50" s="2">
        <v>12920</v>
      </c>
      <c r="BB50" s="14">
        <f t="shared" si="18"/>
        <v>13780</v>
      </c>
      <c r="BC50" s="2">
        <v>14640</v>
      </c>
      <c r="BD50" s="2">
        <v>14270</v>
      </c>
      <c r="BE50" s="2">
        <v>14720</v>
      </c>
      <c r="BF50" s="2">
        <v>15230</v>
      </c>
    </row>
    <row r="51" spans="1:58">
      <c r="A51" s="2" t="s">
        <v>75</v>
      </c>
      <c r="B51" s="7">
        <v>698</v>
      </c>
      <c r="C51" s="7">
        <v>690</v>
      </c>
      <c r="D51" s="16">
        <f t="shared" si="34"/>
        <v>691.42857142857144</v>
      </c>
      <c r="E51" s="16">
        <f t="shared" si="34"/>
        <v>692.85714285714289</v>
      </c>
      <c r="F51" s="16">
        <f t="shared" si="34"/>
        <v>694.28571428571433</v>
      </c>
      <c r="G51" s="16">
        <f t="shared" si="34"/>
        <v>695.71428571428578</v>
      </c>
      <c r="H51" s="16">
        <f t="shared" si="34"/>
        <v>697.14285714285722</v>
      </c>
      <c r="I51" s="16">
        <f t="shared" si="34"/>
        <v>698.57142857142867</v>
      </c>
      <c r="J51" s="7">
        <v>700</v>
      </c>
      <c r="K51" s="7">
        <v>700</v>
      </c>
      <c r="L51" s="7">
        <v>700</v>
      </c>
      <c r="M51" s="12">
        <v>700</v>
      </c>
      <c r="N51" s="12">
        <v>800</v>
      </c>
      <c r="O51" s="12">
        <v>800</v>
      </c>
      <c r="P51" s="16">
        <f t="shared" si="35"/>
        <v>746.33333333333337</v>
      </c>
      <c r="Q51" s="16">
        <f t="shared" si="35"/>
        <v>692.66666666666674</v>
      </c>
      <c r="R51" s="7">
        <v>639</v>
      </c>
      <c r="S51" s="16">
        <f t="shared" si="36"/>
        <v>620.22222222222217</v>
      </c>
      <c r="T51" s="16">
        <f t="shared" si="36"/>
        <v>601.44444444444434</v>
      </c>
      <c r="U51" s="16">
        <f t="shared" si="36"/>
        <v>582.66666666666652</v>
      </c>
      <c r="V51" s="16">
        <f t="shared" si="36"/>
        <v>563.88888888888869</v>
      </c>
      <c r="W51" s="16">
        <f t="shared" si="36"/>
        <v>545.11111111111086</v>
      </c>
      <c r="X51" s="16">
        <f t="shared" si="36"/>
        <v>526.33333333333303</v>
      </c>
      <c r="Y51" s="16">
        <f t="shared" si="36"/>
        <v>507.55555555555526</v>
      </c>
      <c r="Z51" s="16">
        <f t="shared" si="36"/>
        <v>488.77777777777749</v>
      </c>
      <c r="AA51" s="10">
        <v>470</v>
      </c>
      <c r="AB51" s="14">
        <f t="shared" si="37"/>
        <v>430</v>
      </c>
      <c r="AC51" s="10">
        <v>390</v>
      </c>
      <c r="AD51" s="10">
        <v>390</v>
      </c>
      <c r="AE51" s="10">
        <v>254</v>
      </c>
      <c r="AF51" s="14">
        <f t="shared" si="38"/>
        <v>345</v>
      </c>
      <c r="AG51" s="10">
        <v>436</v>
      </c>
      <c r="AH51" s="10">
        <v>778</v>
      </c>
      <c r="AI51" s="10">
        <v>415</v>
      </c>
      <c r="AJ51" s="14">
        <f t="shared" si="39"/>
        <v>428.5</v>
      </c>
      <c r="AK51" s="2">
        <v>442</v>
      </c>
      <c r="AL51" s="2">
        <v>953</v>
      </c>
      <c r="AM51" s="7">
        <v>510</v>
      </c>
      <c r="AN51" s="14">
        <f t="shared" si="40"/>
        <v>495</v>
      </c>
      <c r="AO51" s="7">
        <v>480</v>
      </c>
      <c r="AP51" s="14">
        <f t="shared" si="41"/>
        <v>495</v>
      </c>
      <c r="AQ51" s="2">
        <v>510</v>
      </c>
      <c r="AR51" s="14">
        <f t="shared" si="42"/>
        <v>535</v>
      </c>
      <c r="AS51" s="2">
        <v>560</v>
      </c>
      <c r="AT51" s="14">
        <f t="shared" si="43"/>
        <v>540</v>
      </c>
      <c r="AU51" s="2">
        <v>520</v>
      </c>
      <c r="AV51" s="14">
        <f t="shared" si="44"/>
        <v>585</v>
      </c>
      <c r="AW51" s="2">
        <v>650</v>
      </c>
      <c r="AX51" s="14">
        <f t="shared" si="44"/>
        <v>455</v>
      </c>
      <c r="AY51" s="2">
        <v>260</v>
      </c>
      <c r="AZ51" s="14">
        <f t="shared" si="44"/>
        <v>320</v>
      </c>
      <c r="BA51" s="2">
        <v>380</v>
      </c>
      <c r="BB51" s="14">
        <f t="shared" si="18"/>
        <v>535</v>
      </c>
      <c r="BC51" s="2">
        <v>690</v>
      </c>
      <c r="BD51" s="2">
        <v>670</v>
      </c>
      <c r="BE51" s="2">
        <v>890</v>
      </c>
      <c r="BF51" s="2">
        <v>1100</v>
      </c>
    </row>
    <row r="52" spans="1:58">
      <c r="A52" s="6" t="s">
        <v>76</v>
      </c>
      <c r="B52" s="126">
        <v>8652</v>
      </c>
      <c r="C52" s="126">
        <v>8600</v>
      </c>
      <c r="D52" s="147">
        <f t="shared" si="34"/>
        <v>8957.1428571428569</v>
      </c>
      <c r="E52" s="147">
        <f t="shared" si="34"/>
        <v>9314.2857142857138</v>
      </c>
      <c r="F52" s="147">
        <f t="shared" si="34"/>
        <v>9671.4285714285706</v>
      </c>
      <c r="G52" s="147">
        <f t="shared" si="34"/>
        <v>10028.571428571428</v>
      </c>
      <c r="H52" s="147">
        <f t="shared" si="34"/>
        <v>10385.714285714284</v>
      </c>
      <c r="I52" s="147">
        <f t="shared" si="34"/>
        <v>10742.857142857141</v>
      </c>
      <c r="J52" s="126">
        <v>11100</v>
      </c>
      <c r="K52" s="126">
        <v>11100</v>
      </c>
      <c r="L52" s="126">
        <v>11100</v>
      </c>
      <c r="M52" s="150">
        <v>7500</v>
      </c>
      <c r="N52" s="150">
        <v>7000</v>
      </c>
      <c r="O52" s="150">
        <v>7000</v>
      </c>
      <c r="P52" s="147">
        <f t="shared" si="35"/>
        <v>6983.333333333333</v>
      </c>
      <c r="Q52" s="147">
        <f t="shared" si="35"/>
        <v>6966.6666666666661</v>
      </c>
      <c r="R52" s="126">
        <v>6950</v>
      </c>
      <c r="S52" s="147">
        <f t="shared" si="36"/>
        <v>6805.4444444444443</v>
      </c>
      <c r="T52" s="147">
        <f t="shared" si="36"/>
        <v>6660.8888888888887</v>
      </c>
      <c r="U52" s="147">
        <f t="shared" si="36"/>
        <v>6516.333333333333</v>
      </c>
      <c r="V52" s="147">
        <f t="shared" si="36"/>
        <v>6371.7777777777774</v>
      </c>
      <c r="W52" s="147">
        <f t="shared" si="36"/>
        <v>6227.2222222222217</v>
      </c>
      <c r="X52" s="147">
        <f t="shared" si="36"/>
        <v>6082.6666666666661</v>
      </c>
      <c r="Y52" s="147">
        <f t="shared" si="36"/>
        <v>5938.1111111111104</v>
      </c>
      <c r="Z52" s="147">
        <f t="shared" si="36"/>
        <v>5793.5555555555547</v>
      </c>
      <c r="AA52" s="126">
        <v>5649</v>
      </c>
      <c r="AB52" s="148">
        <f t="shared" si="37"/>
        <v>5329.5</v>
      </c>
      <c r="AC52" s="126">
        <v>5010</v>
      </c>
      <c r="AD52" s="126">
        <v>5010</v>
      </c>
      <c r="AE52" s="126">
        <v>5129</v>
      </c>
      <c r="AF52" s="148">
        <f t="shared" si="38"/>
        <v>5124</v>
      </c>
      <c r="AG52" s="126">
        <v>5119</v>
      </c>
      <c r="AH52" s="126">
        <v>5088</v>
      </c>
      <c r="AI52" s="126">
        <v>5272</v>
      </c>
      <c r="AJ52" s="148">
        <f t="shared" si="39"/>
        <v>5398.5</v>
      </c>
      <c r="AK52" s="6">
        <v>5525</v>
      </c>
      <c r="AL52" s="6">
        <v>4711</v>
      </c>
      <c r="AM52" s="126">
        <v>5387</v>
      </c>
      <c r="AN52" s="148">
        <f t="shared" si="40"/>
        <v>5653.5</v>
      </c>
      <c r="AO52" s="126">
        <v>5920</v>
      </c>
      <c r="AP52" s="148">
        <f t="shared" si="41"/>
        <v>5795</v>
      </c>
      <c r="AQ52" s="6">
        <v>5670</v>
      </c>
      <c r="AR52" s="148">
        <f t="shared" si="42"/>
        <v>5550</v>
      </c>
      <c r="AS52" s="6">
        <v>5430</v>
      </c>
      <c r="AT52" s="148">
        <f t="shared" si="43"/>
        <v>5520</v>
      </c>
      <c r="AU52" s="6">
        <v>5610</v>
      </c>
      <c r="AV52" s="148">
        <f t="shared" si="44"/>
        <v>5515</v>
      </c>
      <c r="AW52" s="6">
        <v>5420</v>
      </c>
      <c r="AX52" s="148">
        <f t="shared" si="44"/>
        <v>6970</v>
      </c>
      <c r="AY52" s="6">
        <v>8520</v>
      </c>
      <c r="AZ52" s="148">
        <f t="shared" si="44"/>
        <v>7030</v>
      </c>
      <c r="BA52" s="6">
        <v>5540</v>
      </c>
      <c r="BB52" s="148">
        <f t="shared" si="18"/>
        <v>5850</v>
      </c>
      <c r="BC52" s="6">
        <v>6160</v>
      </c>
      <c r="BD52" s="2">
        <v>6160</v>
      </c>
      <c r="BE52" s="2">
        <v>6310</v>
      </c>
      <c r="BF52" s="2">
        <v>6320</v>
      </c>
    </row>
    <row r="53" spans="1:58">
      <c r="A53" s="3" t="s">
        <v>77</v>
      </c>
      <c r="B53" s="136">
        <f>SUM(B55:B63)</f>
        <v>112501</v>
      </c>
      <c r="C53" s="136">
        <f t="shared" ref="C53:BF53" si="45">SUM(C55:C63)</f>
        <v>111640</v>
      </c>
      <c r="D53" s="136">
        <f t="shared" si="45"/>
        <v>112777.14285714287</v>
      </c>
      <c r="E53" s="136">
        <f t="shared" si="45"/>
        <v>113914.28571428572</v>
      </c>
      <c r="F53" s="136">
        <f t="shared" si="45"/>
        <v>115051.42857142857</v>
      </c>
      <c r="G53" s="136">
        <f t="shared" si="45"/>
        <v>116188.57142857142</v>
      </c>
      <c r="H53" s="136">
        <f t="shared" si="45"/>
        <v>117325.71428571429</v>
      </c>
      <c r="I53" s="136">
        <f t="shared" si="45"/>
        <v>118462.85714285712</v>
      </c>
      <c r="J53" s="136">
        <f t="shared" si="45"/>
        <v>119600</v>
      </c>
      <c r="K53" s="136">
        <f t="shared" si="45"/>
        <v>119600</v>
      </c>
      <c r="L53" s="136">
        <f t="shared" si="45"/>
        <v>119600</v>
      </c>
      <c r="M53" s="136">
        <f t="shared" si="45"/>
        <v>119900</v>
      </c>
      <c r="N53" s="136">
        <f t="shared" si="45"/>
        <v>116400</v>
      </c>
      <c r="O53" s="136">
        <f t="shared" si="45"/>
        <v>116400</v>
      </c>
      <c r="P53" s="136">
        <f t="shared" si="45"/>
        <v>111150.33333333333</v>
      </c>
      <c r="Q53" s="136">
        <f t="shared" si="45"/>
        <v>105900.66666666667</v>
      </c>
      <c r="R53" s="136">
        <f t="shared" si="45"/>
        <v>100651</v>
      </c>
      <c r="S53" s="136">
        <f t="shared" si="45"/>
        <v>99337.888888888876</v>
      </c>
      <c r="T53" s="136">
        <f t="shared" si="45"/>
        <v>98024.777777777766</v>
      </c>
      <c r="U53" s="136">
        <f t="shared" si="45"/>
        <v>96711.666666666657</v>
      </c>
      <c r="V53" s="136">
        <f t="shared" si="45"/>
        <v>95398.555555555547</v>
      </c>
      <c r="W53" s="136">
        <f t="shared" si="45"/>
        <v>94085.444444444438</v>
      </c>
      <c r="X53" s="136">
        <f t="shared" si="45"/>
        <v>92772.333333333343</v>
      </c>
      <c r="Y53" s="136">
        <f t="shared" si="45"/>
        <v>91459.222222222219</v>
      </c>
      <c r="Z53" s="136">
        <f t="shared" si="45"/>
        <v>90146.111111111109</v>
      </c>
      <c r="AA53" s="136">
        <f t="shared" si="45"/>
        <v>88833</v>
      </c>
      <c r="AB53" s="136">
        <f t="shared" si="45"/>
        <v>86428</v>
      </c>
      <c r="AC53" s="136">
        <f t="shared" si="45"/>
        <v>84023</v>
      </c>
      <c r="AD53" s="136">
        <f t="shared" si="45"/>
        <v>84023</v>
      </c>
      <c r="AE53" s="136">
        <f t="shared" si="45"/>
        <v>78926</v>
      </c>
      <c r="AF53" s="136">
        <f t="shared" si="45"/>
        <v>77117</v>
      </c>
      <c r="AG53" s="136">
        <f t="shared" si="45"/>
        <v>75308</v>
      </c>
      <c r="AH53" s="136">
        <f t="shared" si="45"/>
        <v>73731</v>
      </c>
      <c r="AI53" s="136">
        <f t="shared" si="45"/>
        <v>74223</v>
      </c>
      <c r="AJ53" s="136">
        <f t="shared" si="45"/>
        <v>75502.5</v>
      </c>
      <c r="AK53" s="136">
        <f t="shared" si="45"/>
        <v>76782</v>
      </c>
      <c r="AL53" s="136">
        <f t="shared" si="45"/>
        <v>77223</v>
      </c>
      <c r="AM53" s="136">
        <f t="shared" si="45"/>
        <v>79042</v>
      </c>
      <c r="AN53" s="136">
        <f t="shared" si="45"/>
        <v>82631</v>
      </c>
      <c r="AO53" s="136">
        <f t="shared" si="45"/>
        <v>86220</v>
      </c>
      <c r="AP53" s="136">
        <f t="shared" si="45"/>
        <v>84745</v>
      </c>
      <c r="AQ53" s="136">
        <f t="shared" si="45"/>
        <v>83270</v>
      </c>
      <c r="AR53" s="136">
        <f t="shared" si="45"/>
        <v>85325</v>
      </c>
      <c r="AS53" s="136">
        <f t="shared" si="45"/>
        <v>87380</v>
      </c>
      <c r="AT53" s="136">
        <f t="shared" si="45"/>
        <v>88170</v>
      </c>
      <c r="AU53" s="136">
        <f t="shared" si="45"/>
        <v>88960</v>
      </c>
      <c r="AV53" s="136">
        <f t="shared" si="45"/>
        <v>86490</v>
      </c>
      <c r="AW53" s="136">
        <f t="shared" si="45"/>
        <v>84020</v>
      </c>
      <c r="AX53" s="136">
        <f t="shared" si="45"/>
        <v>82575</v>
      </c>
      <c r="AY53" s="136">
        <f t="shared" si="45"/>
        <v>81130</v>
      </c>
      <c r="AZ53" s="136">
        <f t="shared" si="45"/>
        <v>87385</v>
      </c>
      <c r="BA53" s="136">
        <f t="shared" si="45"/>
        <v>93640</v>
      </c>
      <c r="BB53" s="14">
        <f t="shared" si="18"/>
        <v>91230</v>
      </c>
      <c r="BC53" s="136">
        <f t="shared" si="45"/>
        <v>88820</v>
      </c>
      <c r="BD53" s="136">
        <f t="shared" si="45"/>
        <v>89580</v>
      </c>
      <c r="BE53" s="136">
        <f t="shared" si="45"/>
        <v>92280</v>
      </c>
      <c r="BF53" s="136">
        <f t="shared" si="45"/>
        <v>92970</v>
      </c>
    </row>
    <row r="54" spans="1:58">
      <c r="A54" s="3" t="s">
        <v>129</v>
      </c>
      <c r="BB54" s="14"/>
    </row>
    <row r="55" spans="1:58">
      <c r="A55" s="2" t="s">
        <v>78</v>
      </c>
      <c r="B55" s="7">
        <v>6781</v>
      </c>
      <c r="C55" s="7">
        <v>6740</v>
      </c>
      <c r="D55" s="16">
        <f t="shared" ref="D55:I64" si="46">(($J55-$C55)/7)+C55</f>
        <v>6877.1428571428569</v>
      </c>
      <c r="E55" s="16">
        <f t="shared" si="46"/>
        <v>7014.2857142857138</v>
      </c>
      <c r="F55" s="16">
        <f t="shared" si="46"/>
        <v>7151.4285714285706</v>
      </c>
      <c r="G55" s="16">
        <f t="shared" si="46"/>
        <v>7288.5714285714275</v>
      </c>
      <c r="H55" s="16">
        <f t="shared" si="46"/>
        <v>7425.7142857142844</v>
      </c>
      <c r="I55" s="16">
        <f t="shared" si="46"/>
        <v>7562.8571428571413</v>
      </c>
      <c r="J55" s="7">
        <v>7700</v>
      </c>
      <c r="K55" s="7">
        <v>7700</v>
      </c>
      <c r="L55" s="7">
        <v>7700</v>
      </c>
      <c r="M55" s="7">
        <v>7300</v>
      </c>
      <c r="N55" s="7">
        <v>8000</v>
      </c>
      <c r="O55" s="7">
        <v>8000</v>
      </c>
      <c r="P55" s="16">
        <f t="shared" ref="P55:Q64" si="47">(($R55-$O55)/3)+O55</f>
        <v>8189.333333333333</v>
      </c>
      <c r="Q55" s="16">
        <f t="shared" si="47"/>
        <v>8378.6666666666661</v>
      </c>
      <c r="R55" s="7">
        <v>8568</v>
      </c>
      <c r="S55" s="16">
        <f t="shared" ref="S55:Z64" si="48">(($AA55-$R55)/9)+R55</f>
        <v>8470.1111111111113</v>
      </c>
      <c r="T55" s="16">
        <f t="shared" si="48"/>
        <v>8372.2222222222226</v>
      </c>
      <c r="U55" s="16">
        <f t="shared" si="48"/>
        <v>8274.3333333333339</v>
      </c>
      <c r="V55" s="16">
        <f t="shared" si="48"/>
        <v>8176.4444444444453</v>
      </c>
      <c r="W55" s="16">
        <f t="shared" si="48"/>
        <v>8078.5555555555566</v>
      </c>
      <c r="X55" s="16">
        <f t="shared" si="48"/>
        <v>7980.6666666666679</v>
      </c>
      <c r="Y55" s="16">
        <f t="shared" si="48"/>
        <v>7882.7777777777792</v>
      </c>
      <c r="Z55" s="16">
        <f t="shared" si="48"/>
        <v>7784.8888888888905</v>
      </c>
      <c r="AA55" s="7">
        <v>7687</v>
      </c>
      <c r="AB55" s="14">
        <f t="shared" ref="AB55:AB64" si="49">((AC55-AA55)/2)+AA55</f>
        <v>7024</v>
      </c>
      <c r="AC55" s="7">
        <v>6361</v>
      </c>
      <c r="AD55" s="7">
        <v>6361</v>
      </c>
      <c r="AE55" s="7">
        <v>6291</v>
      </c>
      <c r="AF55" s="14">
        <f t="shared" ref="AF55:AF64" si="50">((AG55-AE55)/2)+AE55</f>
        <v>5728.5</v>
      </c>
      <c r="AG55" s="7">
        <v>5166</v>
      </c>
      <c r="AH55" s="10">
        <v>5075</v>
      </c>
      <c r="AI55" s="7">
        <v>5108</v>
      </c>
      <c r="AJ55" s="14">
        <f t="shared" ref="AJ55:AJ64" si="51">((AK55-AI55)/2)+AI55</f>
        <v>5124.5</v>
      </c>
      <c r="AK55" s="2">
        <v>5141</v>
      </c>
      <c r="AL55" s="2">
        <v>5603</v>
      </c>
      <c r="AM55" s="7">
        <v>5126</v>
      </c>
      <c r="AN55" s="14">
        <f t="shared" ref="AN55:AN64" si="52">((AO55-AM55)/2)+AM55</f>
        <v>7843</v>
      </c>
      <c r="AO55" s="7">
        <v>10560</v>
      </c>
      <c r="AP55" s="14">
        <f t="shared" ref="AP55:AP64" si="53">((AQ55-AO55)/2)+AO55</f>
        <v>8075</v>
      </c>
      <c r="AQ55" s="2">
        <v>5590</v>
      </c>
      <c r="AR55" s="14">
        <f t="shared" ref="AR55:AR64" si="54">((AS55-AQ55)/2)+AQ55</f>
        <v>6790</v>
      </c>
      <c r="AS55" s="2">
        <v>7990</v>
      </c>
      <c r="AT55" s="14">
        <f t="shared" ref="AT55:AT64" si="55">((AU55-AS55)/2)+AS55</f>
        <v>7110</v>
      </c>
      <c r="AU55" s="2">
        <v>6230</v>
      </c>
      <c r="AV55" s="14">
        <f t="shared" ref="AV55:AZ64" si="56">((AW55-AU55)/2)+AU55</f>
        <v>6095</v>
      </c>
      <c r="AW55" s="2">
        <v>5960</v>
      </c>
      <c r="AX55" s="14">
        <f t="shared" si="56"/>
        <v>6015</v>
      </c>
      <c r="AY55" s="2">
        <v>6070</v>
      </c>
      <c r="AZ55" s="14">
        <f t="shared" si="56"/>
        <v>6605</v>
      </c>
      <c r="BA55" s="2">
        <v>7140</v>
      </c>
      <c r="BB55" s="14">
        <f t="shared" si="18"/>
        <v>6545</v>
      </c>
      <c r="BC55" s="2">
        <v>5950</v>
      </c>
      <c r="BD55" s="2">
        <v>6000</v>
      </c>
      <c r="BE55" s="2">
        <v>5960</v>
      </c>
      <c r="BF55" s="2">
        <v>5740</v>
      </c>
    </row>
    <row r="56" spans="1:58">
      <c r="A56" s="2" t="s">
        <v>79</v>
      </c>
      <c r="B56" s="7">
        <v>2383</v>
      </c>
      <c r="C56" s="7">
        <v>2370</v>
      </c>
      <c r="D56" s="16">
        <f t="shared" si="46"/>
        <v>2460</v>
      </c>
      <c r="E56" s="16">
        <f t="shared" si="46"/>
        <v>2550</v>
      </c>
      <c r="F56" s="16">
        <f t="shared" si="46"/>
        <v>2640</v>
      </c>
      <c r="G56" s="16">
        <f t="shared" si="46"/>
        <v>2730</v>
      </c>
      <c r="H56" s="16">
        <f t="shared" si="46"/>
        <v>2820</v>
      </c>
      <c r="I56" s="16">
        <f t="shared" si="46"/>
        <v>2910</v>
      </c>
      <c r="J56" s="7">
        <v>3000</v>
      </c>
      <c r="K56" s="7">
        <v>3000</v>
      </c>
      <c r="L56" s="7">
        <v>3000</v>
      </c>
      <c r="M56" s="7">
        <v>1800</v>
      </c>
      <c r="N56" s="7">
        <v>2000</v>
      </c>
      <c r="O56" s="7">
        <v>2000</v>
      </c>
      <c r="P56" s="16">
        <f t="shared" si="47"/>
        <v>1945</v>
      </c>
      <c r="Q56" s="16">
        <f t="shared" si="47"/>
        <v>1890</v>
      </c>
      <c r="R56" s="7">
        <v>1835</v>
      </c>
      <c r="S56" s="16">
        <f t="shared" si="48"/>
        <v>1856.1111111111111</v>
      </c>
      <c r="T56" s="16">
        <f t="shared" si="48"/>
        <v>1877.2222222222222</v>
      </c>
      <c r="U56" s="16">
        <f t="shared" si="48"/>
        <v>1898.3333333333333</v>
      </c>
      <c r="V56" s="16">
        <f t="shared" si="48"/>
        <v>1919.4444444444443</v>
      </c>
      <c r="W56" s="16">
        <f t="shared" si="48"/>
        <v>1940.5555555555554</v>
      </c>
      <c r="X56" s="16">
        <f t="shared" si="48"/>
        <v>1961.6666666666665</v>
      </c>
      <c r="Y56" s="16">
        <f t="shared" si="48"/>
        <v>1982.7777777777776</v>
      </c>
      <c r="Z56" s="16">
        <f t="shared" si="48"/>
        <v>2003.8888888888887</v>
      </c>
      <c r="AA56" s="7">
        <v>2025</v>
      </c>
      <c r="AB56" s="14">
        <f t="shared" si="49"/>
        <v>1854.5</v>
      </c>
      <c r="AC56" s="7">
        <v>1684</v>
      </c>
      <c r="AD56" s="7">
        <v>1684</v>
      </c>
      <c r="AE56" s="7">
        <v>1914</v>
      </c>
      <c r="AF56" s="14">
        <f t="shared" si="50"/>
        <v>1836.5</v>
      </c>
      <c r="AG56" s="7">
        <v>1759</v>
      </c>
      <c r="AH56" s="10">
        <v>2053</v>
      </c>
      <c r="AI56" s="7">
        <v>1745</v>
      </c>
      <c r="AJ56" s="14">
        <f t="shared" si="51"/>
        <v>1897.5</v>
      </c>
      <c r="AK56" s="2">
        <v>2050</v>
      </c>
      <c r="AL56" s="2">
        <v>2284</v>
      </c>
      <c r="AM56" s="7">
        <v>2045</v>
      </c>
      <c r="AN56" s="14">
        <f t="shared" si="52"/>
        <v>2642.5</v>
      </c>
      <c r="AO56" s="7">
        <v>3240</v>
      </c>
      <c r="AP56" s="14">
        <f t="shared" si="53"/>
        <v>2795</v>
      </c>
      <c r="AQ56" s="2">
        <v>2350</v>
      </c>
      <c r="AR56" s="14">
        <f t="shared" si="54"/>
        <v>2485</v>
      </c>
      <c r="AS56" s="2">
        <v>2620</v>
      </c>
      <c r="AT56" s="14">
        <f t="shared" si="55"/>
        <v>2490</v>
      </c>
      <c r="AU56" s="2">
        <v>2360</v>
      </c>
      <c r="AV56" s="14">
        <f t="shared" si="56"/>
        <v>2480</v>
      </c>
      <c r="AW56" s="2">
        <v>2600</v>
      </c>
      <c r="AX56" s="14">
        <f t="shared" si="56"/>
        <v>2615</v>
      </c>
      <c r="AY56" s="2">
        <v>2630</v>
      </c>
      <c r="AZ56" s="14">
        <f t="shared" si="56"/>
        <v>2665</v>
      </c>
      <c r="BA56" s="2">
        <v>2700</v>
      </c>
      <c r="BB56" s="14">
        <f t="shared" si="18"/>
        <v>2615</v>
      </c>
      <c r="BC56" s="2">
        <v>2530</v>
      </c>
      <c r="BD56" s="2">
        <v>2630</v>
      </c>
      <c r="BE56" s="2">
        <v>2580</v>
      </c>
      <c r="BF56" s="2">
        <v>2450</v>
      </c>
    </row>
    <row r="57" spans="1:58">
      <c r="A57" s="2" t="s">
        <v>80</v>
      </c>
      <c r="B57" s="7">
        <v>15738</v>
      </c>
      <c r="C57" s="7">
        <v>15590</v>
      </c>
      <c r="D57" s="16">
        <f t="shared" si="46"/>
        <v>15748.571428571429</v>
      </c>
      <c r="E57" s="16">
        <f t="shared" si="46"/>
        <v>15907.142857142859</v>
      </c>
      <c r="F57" s="16">
        <f t="shared" si="46"/>
        <v>16065.714285714288</v>
      </c>
      <c r="G57" s="16">
        <f t="shared" si="46"/>
        <v>16224.285714285717</v>
      </c>
      <c r="H57" s="16">
        <f t="shared" si="46"/>
        <v>16382.857142857147</v>
      </c>
      <c r="I57" s="16">
        <f t="shared" si="46"/>
        <v>16541.428571428576</v>
      </c>
      <c r="J57" s="7">
        <v>16700</v>
      </c>
      <c r="K57" s="7">
        <v>16700</v>
      </c>
      <c r="L57" s="7">
        <v>16700</v>
      </c>
      <c r="M57" s="7">
        <v>15000</v>
      </c>
      <c r="N57" s="7">
        <v>15000</v>
      </c>
      <c r="O57" s="7">
        <v>15000</v>
      </c>
      <c r="P57" s="16">
        <f t="shared" si="47"/>
        <v>14210.666666666666</v>
      </c>
      <c r="Q57" s="16">
        <f t="shared" si="47"/>
        <v>13421.333333333332</v>
      </c>
      <c r="R57" s="7">
        <v>12632</v>
      </c>
      <c r="S57" s="16">
        <f t="shared" si="48"/>
        <v>12343.444444444445</v>
      </c>
      <c r="T57" s="16">
        <f t="shared" si="48"/>
        <v>12054.888888888891</v>
      </c>
      <c r="U57" s="16">
        <f t="shared" si="48"/>
        <v>11766.333333333336</v>
      </c>
      <c r="V57" s="16">
        <f t="shared" si="48"/>
        <v>11477.777777777781</v>
      </c>
      <c r="W57" s="16">
        <f t="shared" si="48"/>
        <v>11189.222222222226</v>
      </c>
      <c r="X57" s="16">
        <f t="shared" si="48"/>
        <v>10900.666666666672</v>
      </c>
      <c r="Y57" s="16">
        <f t="shared" si="48"/>
        <v>10612.111111111117</v>
      </c>
      <c r="Z57" s="16">
        <f t="shared" si="48"/>
        <v>10323.555555555562</v>
      </c>
      <c r="AA57" s="7">
        <v>10035</v>
      </c>
      <c r="AB57" s="14">
        <f t="shared" si="49"/>
        <v>10152</v>
      </c>
      <c r="AC57" s="7">
        <v>10269</v>
      </c>
      <c r="AD57" s="7">
        <v>10269</v>
      </c>
      <c r="AE57" s="7">
        <v>10281</v>
      </c>
      <c r="AF57" s="14">
        <f t="shared" si="50"/>
        <v>9421</v>
      </c>
      <c r="AG57" s="7">
        <v>8561</v>
      </c>
      <c r="AH57" s="10">
        <v>10586</v>
      </c>
      <c r="AI57" s="7">
        <v>8960</v>
      </c>
      <c r="AJ57" s="14">
        <f t="shared" si="51"/>
        <v>9296</v>
      </c>
      <c r="AK57" s="2">
        <v>9632</v>
      </c>
      <c r="AL57" s="2">
        <v>11016</v>
      </c>
      <c r="AM57" s="7">
        <v>9686</v>
      </c>
      <c r="AN57" s="14">
        <f t="shared" si="52"/>
        <v>9868</v>
      </c>
      <c r="AO57" s="7">
        <v>10050</v>
      </c>
      <c r="AP57" s="14">
        <f t="shared" si="53"/>
        <v>10495</v>
      </c>
      <c r="AQ57" s="2">
        <v>10940</v>
      </c>
      <c r="AR57" s="14">
        <f t="shared" si="54"/>
        <v>10685</v>
      </c>
      <c r="AS57" s="2">
        <v>10430</v>
      </c>
      <c r="AT57" s="14">
        <f t="shared" si="55"/>
        <v>10530</v>
      </c>
      <c r="AU57" s="2">
        <v>10630</v>
      </c>
      <c r="AV57" s="14">
        <f t="shared" si="56"/>
        <v>10380</v>
      </c>
      <c r="AW57" s="2">
        <v>10130</v>
      </c>
      <c r="AX57" s="14">
        <f t="shared" si="56"/>
        <v>10575</v>
      </c>
      <c r="AY57" s="2">
        <v>11020</v>
      </c>
      <c r="AZ57" s="14">
        <f t="shared" si="56"/>
        <v>10145</v>
      </c>
      <c r="BA57" s="2">
        <v>9270</v>
      </c>
      <c r="BB57" s="14">
        <f t="shared" si="18"/>
        <v>9985</v>
      </c>
      <c r="BC57" s="2">
        <v>10700</v>
      </c>
      <c r="BD57" s="2">
        <v>10860</v>
      </c>
      <c r="BE57" s="2">
        <v>11400</v>
      </c>
      <c r="BF57" s="2">
        <v>11350</v>
      </c>
    </row>
    <row r="58" spans="1:58">
      <c r="A58" s="2" t="s">
        <v>81</v>
      </c>
      <c r="B58" s="7">
        <v>2296</v>
      </c>
      <c r="C58" s="7">
        <v>2290</v>
      </c>
      <c r="D58" s="16">
        <f t="shared" si="46"/>
        <v>2320</v>
      </c>
      <c r="E58" s="16">
        <f t="shared" si="46"/>
        <v>2350</v>
      </c>
      <c r="F58" s="16">
        <f t="shared" si="46"/>
        <v>2380</v>
      </c>
      <c r="G58" s="16">
        <f t="shared" si="46"/>
        <v>2410</v>
      </c>
      <c r="H58" s="16">
        <f t="shared" si="46"/>
        <v>2440</v>
      </c>
      <c r="I58" s="16">
        <f t="shared" si="46"/>
        <v>2470</v>
      </c>
      <c r="J58" s="7">
        <v>2500</v>
      </c>
      <c r="K58" s="7">
        <v>2500</v>
      </c>
      <c r="L58" s="7">
        <v>2500</v>
      </c>
      <c r="M58" s="7">
        <v>1900</v>
      </c>
      <c r="N58" s="7">
        <v>3000</v>
      </c>
      <c r="O58" s="7">
        <v>3000</v>
      </c>
      <c r="P58" s="16">
        <f t="shared" si="47"/>
        <v>2717</v>
      </c>
      <c r="Q58" s="16">
        <f t="shared" si="47"/>
        <v>2434</v>
      </c>
      <c r="R58" s="7">
        <v>2151</v>
      </c>
      <c r="S58" s="16">
        <f t="shared" si="48"/>
        <v>2154</v>
      </c>
      <c r="T58" s="16">
        <f t="shared" si="48"/>
        <v>2157</v>
      </c>
      <c r="U58" s="16">
        <f t="shared" si="48"/>
        <v>2160</v>
      </c>
      <c r="V58" s="16">
        <f t="shared" si="48"/>
        <v>2163</v>
      </c>
      <c r="W58" s="16">
        <f t="shared" si="48"/>
        <v>2166</v>
      </c>
      <c r="X58" s="16">
        <f t="shared" si="48"/>
        <v>2169</v>
      </c>
      <c r="Y58" s="16">
        <f t="shared" si="48"/>
        <v>2172</v>
      </c>
      <c r="Z58" s="16">
        <f t="shared" si="48"/>
        <v>2175</v>
      </c>
      <c r="AA58" s="10">
        <v>2178</v>
      </c>
      <c r="AB58" s="14">
        <f t="shared" si="49"/>
        <v>2029.5</v>
      </c>
      <c r="AC58" s="10">
        <v>1881</v>
      </c>
      <c r="AD58" s="10">
        <v>1881</v>
      </c>
      <c r="AE58" s="10">
        <v>1730</v>
      </c>
      <c r="AF58" s="14">
        <f t="shared" si="50"/>
        <v>1730</v>
      </c>
      <c r="AG58" s="10">
        <v>1730</v>
      </c>
      <c r="AH58" s="10">
        <v>1616</v>
      </c>
      <c r="AI58" s="10">
        <v>1920</v>
      </c>
      <c r="AJ58" s="14">
        <f t="shared" si="51"/>
        <v>1907</v>
      </c>
      <c r="AK58" s="2">
        <v>1894</v>
      </c>
      <c r="AL58" s="2">
        <v>2077</v>
      </c>
      <c r="AM58" s="7">
        <v>2189</v>
      </c>
      <c r="AN58" s="14">
        <f t="shared" si="52"/>
        <v>2214.5</v>
      </c>
      <c r="AO58" s="7">
        <v>2240</v>
      </c>
      <c r="AP58" s="14">
        <f t="shared" si="53"/>
        <v>2200</v>
      </c>
      <c r="AQ58" s="2">
        <v>2160</v>
      </c>
      <c r="AR58" s="14">
        <f t="shared" si="54"/>
        <v>2225</v>
      </c>
      <c r="AS58" s="2">
        <v>2290</v>
      </c>
      <c r="AT58" s="14">
        <f t="shared" si="55"/>
        <v>2375</v>
      </c>
      <c r="AU58" s="2">
        <v>2460</v>
      </c>
      <c r="AV58" s="14">
        <f t="shared" si="56"/>
        <v>2490</v>
      </c>
      <c r="AW58" s="2">
        <v>2520</v>
      </c>
      <c r="AX58" s="14">
        <f t="shared" si="56"/>
        <v>2490</v>
      </c>
      <c r="AY58" s="2">
        <v>2460</v>
      </c>
      <c r="AZ58" s="14">
        <f t="shared" si="56"/>
        <v>2445</v>
      </c>
      <c r="BA58" s="2">
        <v>2430</v>
      </c>
      <c r="BB58" s="14">
        <f t="shared" si="18"/>
        <v>2635</v>
      </c>
      <c r="BC58" s="2">
        <v>2840</v>
      </c>
      <c r="BD58" s="2">
        <v>2720</v>
      </c>
      <c r="BE58" s="2">
        <v>2890</v>
      </c>
      <c r="BF58" s="2">
        <v>3020</v>
      </c>
    </row>
    <row r="59" spans="1:58">
      <c r="A59" s="2" t="s">
        <v>82</v>
      </c>
      <c r="B59" s="7">
        <v>12841</v>
      </c>
      <c r="C59" s="7">
        <v>12760</v>
      </c>
      <c r="D59" s="16">
        <f t="shared" si="46"/>
        <v>12780</v>
      </c>
      <c r="E59" s="16">
        <f t="shared" si="46"/>
        <v>12800</v>
      </c>
      <c r="F59" s="16">
        <f t="shared" si="46"/>
        <v>12820</v>
      </c>
      <c r="G59" s="16">
        <f t="shared" si="46"/>
        <v>12840</v>
      </c>
      <c r="H59" s="16">
        <f t="shared" si="46"/>
        <v>12860</v>
      </c>
      <c r="I59" s="16">
        <f t="shared" si="46"/>
        <v>12880</v>
      </c>
      <c r="J59" s="7">
        <v>12900</v>
      </c>
      <c r="K59" s="7">
        <v>12900</v>
      </c>
      <c r="L59" s="7">
        <v>12900</v>
      </c>
      <c r="M59" s="7">
        <v>16900</v>
      </c>
      <c r="N59" s="7">
        <v>16000</v>
      </c>
      <c r="O59" s="7">
        <v>16000</v>
      </c>
      <c r="P59" s="16">
        <f t="shared" si="47"/>
        <v>15347.666666666666</v>
      </c>
      <c r="Q59" s="16">
        <f t="shared" si="47"/>
        <v>14695.333333333332</v>
      </c>
      <c r="R59" s="7">
        <v>14043</v>
      </c>
      <c r="S59" s="16">
        <f t="shared" si="48"/>
        <v>14338.555555555555</v>
      </c>
      <c r="T59" s="16">
        <f t="shared" si="48"/>
        <v>14634.111111111109</v>
      </c>
      <c r="U59" s="16">
        <f t="shared" si="48"/>
        <v>14929.666666666664</v>
      </c>
      <c r="V59" s="16">
        <f t="shared" si="48"/>
        <v>15225.222222222219</v>
      </c>
      <c r="W59" s="16">
        <f t="shared" si="48"/>
        <v>15520.777777777774</v>
      </c>
      <c r="X59" s="16">
        <f t="shared" si="48"/>
        <v>15816.333333333328</v>
      </c>
      <c r="Y59" s="16">
        <f t="shared" si="48"/>
        <v>16111.888888888883</v>
      </c>
      <c r="Z59" s="16">
        <f t="shared" si="48"/>
        <v>16407.444444444438</v>
      </c>
      <c r="AA59" s="10">
        <v>16703</v>
      </c>
      <c r="AB59" s="14">
        <f t="shared" si="49"/>
        <v>15044</v>
      </c>
      <c r="AC59" s="10">
        <v>13385</v>
      </c>
      <c r="AD59" s="10">
        <v>13385</v>
      </c>
      <c r="AE59" s="10">
        <v>11025</v>
      </c>
      <c r="AF59" s="14">
        <f t="shared" si="50"/>
        <v>11527.5</v>
      </c>
      <c r="AG59" s="10">
        <v>12030</v>
      </c>
      <c r="AH59" s="10">
        <v>11058</v>
      </c>
      <c r="AI59" s="10">
        <v>11826</v>
      </c>
      <c r="AJ59" s="14">
        <f t="shared" si="51"/>
        <v>11449</v>
      </c>
      <c r="AK59" s="2">
        <v>11072</v>
      </c>
      <c r="AL59" s="2">
        <v>11067</v>
      </c>
      <c r="AM59" s="7">
        <v>12345</v>
      </c>
      <c r="AN59" s="14">
        <f t="shared" si="52"/>
        <v>12137.5</v>
      </c>
      <c r="AO59" s="7">
        <v>11930</v>
      </c>
      <c r="AP59" s="14">
        <f t="shared" si="53"/>
        <v>12370</v>
      </c>
      <c r="AQ59" s="2">
        <v>12810</v>
      </c>
      <c r="AR59" s="14">
        <f t="shared" si="54"/>
        <v>13075</v>
      </c>
      <c r="AS59" s="2">
        <v>13340</v>
      </c>
      <c r="AT59" s="14">
        <f t="shared" si="55"/>
        <v>13845</v>
      </c>
      <c r="AU59" s="2">
        <v>14350</v>
      </c>
      <c r="AV59" s="14">
        <f t="shared" si="56"/>
        <v>13665</v>
      </c>
      <c r="AW59" s="2">
        <v>12980</v>
      </c>
      <c r="AX59" s="14">
        <f t="shared" si="56"/>
        <v>13040</v>
      </c>
      <c r="AY59" s="2">
        <v>13100</v>
      </c>
      <c r="AZ59" s="14">
        <f t="shared" si="56"/>
        <v>13710</v>
      </c>
      <c r="BA59" s="2">
        <v>14320</v>
      </c>
      <c r="BB59" s="14">
        <f t="shared" si="18"/>
        <v>14695</v>
      </c>
      <c r="BC59" s="2">
        <v>15070</v>
      </c>
      <c r="BD59" s="2">
        <v>15210</v>
      </c>
      <c r="BE59" s="2">
        <v>15740</v>
      </c>
      <c r="BF59" s="2">
        <v>15990</v>
      </c>
    </row>
    <row r="60" spans="1:58">
      <c r="A60" s="2" t="s">
        <v>83</v>
      </c>
      <c r="B60" s="7">
        <v>38396</v>
      </c>
      <c r="C60" s="7">
        <v>38090</v>
      </c>
      <c r="D60" s="16">
        <f t="shared" si="46"/>
        <v>38520</v>
      </c>
      <c r="E60" s="16">
        <f t="shared" si="46"/>
        <v>38950</v>
      </c>
      <c r="F60" s="16">
        <f t="shared" si="46"/>
        <v>39380</v>
      </c>
      <c r="G60" s="16">
        <f t="shared" si="46"/>
        <v>39810</v>
      </c>
      <c r="H60" s="16">
        <f t="shared" si="46"/>
        <v>40240</v>
      </c>
      <c r="I60" s="16">
        <f t="shared" si="46"/>
        <v>40670</v>
      </c>
      <c r="J60" s="7">
        <v>41100</v>
      </c>
      <c r="K60" s="7">
        <v>41100</v>
      </c>
      <c r="L60" s="7">
        <v>41100</v>
      </c>
      <c r="M60" s="7">
        <v>42800</v>
      </c>
      <c r="N60" s="7">
        <v>40000</v>
      </c>
      <c r="O60" s="7">
        <v>40000</v>
      </c>
      <c r="P60" s="16">
        <f t="shared" si="47"/>
        <v>37455.333333333336</v>
      </c>
      <c r="Q60" s="16">
        <f t="shared" si="47"/>
        <v>34910.666666666672</v>
      </c>
      <c r="R60" s="7">
        <v>32366</v>
      </c>
      <c r="S60" s="16">
        <f t="shared" si="48"/>
        <v>31767</v>
      </c>
      <c r="T60" s="16">
        <f t="shared" si="48"/>
        <v>31168</v>
      </c>
      <c r="U60" s="16">
        <f t="shared" si="48"/>
        <v>30569</v>
      </c>
      <c r="V60" s="16">
        <f t="shared" si="48"/>
        <v>29970</v>
      </c>
      <c r="W60" s="16">
        <f t="shared" si="48"/>
        <v>29371</v>
      </c>
      <c r="X60" s="16">
        <f t="shared" si="48"/>
        <v>28772</v>
      </c>
      <c r="Y60" s="16">
        <f t="shared" si="48"/>
        <v>28173</v>
      </c>
      <c r="Z60" s="16">
        <f t="shared" si="48"/>
        <v>27574</v>
      </c>
      <c r="AA60" s="10">
        <v>26975</v>
      </c>
      <c r="AB60" s="14">
        <f t="shared" si="49"/>
        <v>27667</v>
      </c>
      <c r="AC60" s="10">
        <v>28359</v>
      </c>
      <c r="AD60" s="10">
        <v>28359</v>
      </c>
      <c r="AE60" s="10">
        <v>26625</v>
      </c>
      <c r="AF60" s="14">
        <f t="shared" si="50"/>
        <v>26057</v>
      </c>
      <c r="AG60" s="10">
        <v>25489</v>
      </c>
      <c r="AH60" s="10">
        <v>24981</v>
      </c>
      <c r="AI60" s="10">
        <v>24618</v>
      </c>
      <c r="AJ60" s="14">
        <f t="shared" si="51"/>
        <v>25466</v>
      </c>
      <c r="AK60" s="2">
        <v>26314</v>
      </c>
      <c r="AL60" s="2">
        <v>26128</v>
      </c>
      <c r="AM60" s="7">
        <v>26601</v>
      </c>
      <c r="AN60" s="14">
        <f t="shared" si="52"/>
        <v>26735.5</v>
      </c>
      <c r="AO60" s="7">
        <v>26870</v>
      </c>
      <c r="AP60" s="14">
        <f t="shared" si="53"/>
        <v>27690</v>
      </c>
      <c r="AQ60" s="2">
        <v>28510</v>
      </c>
      <c r="AR60" s="14">
        <f t="shared" si="54"/>
        <v>29200</v>
      </c>
      <c r="AS60" s="2">
        <v>29890</v>
      </c>
      <c r="AT60" s="14">
        <f t="shared" si="55"/>
        <v>30585</v>
      </c>
      <c r="AU60" s="2">
        <v>31280</v>
      </c>
      <c r="AV60" s="14">
        <f t="shared" si="56"/>
        <v>30860</v>
      </c>
      <c r="AW60" s="2">
        <v>30440</v>
      </c>
      <c r="AX60" s="14">
        <f t="shared" si="56"/>
        <v>29425</v>
      </c>
      <c r="AY60" s="2">
        <v>28410</v>
      </c>
      <c r="AZ60" s="14">
        <f t="shared" si="56"/>
        <v>32005</v>
      </c>
      <c r="BA60" s="2">
        <v>35600</v>
      </c>
      <c r="BB60" s="14">
        <f t="shared" si="18"/>
        <v>33310</v>
      </c>
      <c r="BC60" s="2">
        <v>31020</v>
      </c>
      <c r="BD60" s="2">
        <v>30910</v>
      </c>
      <c r="BE60" s="2">
        <v>31730</v>
      </c>
      <c r="BF60" s="2">
        <v>31950</v>
      </c>
    </row>
    <row r="61" spans="1:58">
      <c r="A61" s="2" t="s">
        <v>84</v>
      </c>
      <c r="B61" s="7">
        <v>30175</v>
      </c>
      <c r="C61" s="7">
        <v>29940</v>
      </c>
      <c r="D61" s="16">
        <f t="shared" si="46"/>
        <v>30162.857142857141</v>
      </c>
      <c r="E61" s="16">
        <f t="shared" si="46"/>
        <v>30385.714285714283</v>
      </c>
      <c r="F61" s="16">
        <f t="shared" si="46"/>
        <v>30608.571428571424</v>
      </c>
      <c r="G61" s="16">
        <f t="shared" si="46"/>
        <v>30831.428571428565</v>
      </c>
      <c r="H61" s="16">
        <f t="shared" si="46"/>
        <v>31054.285714285706</v>
      </c>
      <c r="I61" s="16">
        <f t="shared" si="46"/>
        <v>31277.142857142848</v>
      </c>
      <c r="J61" s="7">
        <v>31500</v>
      </c>
      <c r="K61" s="7">
        <v>31500</v>
      </c>
      <c r="L61" s="7">
        <v>31500</v>
      </c>
      <c r="M61" s="12">
        <v>30800</v>
      </c>
      <c r="N61" s="12">
        <v>29000</v>
      </c>
      <c r="O61" s="12">
        <v>29000</v>
      </c>
      <c r="P61" s="16">
        <f t="shared" si="47"/>
        <v>28011</v>
      </c>
      <c r="Q61" s="16">
        <f t="shared" si="47"/>
        <v>27022</v>
      </c>
      <c r="R61" s="7">
        <v>26033</v>
      </c>
      <c r="S61" s="16">
        <f t="shared" si="48"/>
        <v>25446.111111111109</v>
      </c>
      <c r="T61" s="16">
        <f t="shared" si="48"/>
        <v>24859.222222222219</v>
      </c>
      <c r="U61" s="16">
        <f t="shared" si="48"/>
        <v>24272.333333333328</v>
      </c>
      <c r="V61" s="16">
        <f t="shared" si="48"/>
        <v>23685.444444444438</v>
      </c>
      <c r="W61" s="16">
        <f t="shared" si="48"/>
        <v>23098.555555555547</v>
      </c>
      <c r="X61" s="16">
        <f t="shared" si="48"/>
        <v>22511.666666666657</v>
      </c>
      <c r="Y61" s="16">
        <f t="shared" si="48"/>
        <v>21924.777777777766</v>
      </c>
      <c r="Z61" s="16">
        <f t="shared" si="48"/>
        <v>21337.888888888876</v>
      </c>
      <c r="AA61" s="10">
        <v>20751</v>
      </c>
      <c r="AB61" s="14">
        <f t="shared" si="49"/>
        <v>20192.5</v>
      </c>
      <c r="AC61" s="10">
        <v>19634</v>
      </c>
      <c r="AD61" s="10">
        <v>19634</v>
      </c>
      <c r="AE61" s="10">
        <v>18532</v>
      </c>
      <c r="AF61" s="14">
        <f t="shared" si="50"/>
        <v>18335</v>
      </c>
      <c r="AG61" s="10">
        <v>18138</v>
      </c>
      <c r="AH61" s="10">
        <v>16629</v>
      </c>
      <c r="AI61" s="10">
        <v>17478</v>
      </c>
      <c r="AJ61" s="14">
        <f t="shared" si="51"/>
        <v>17740</v>
      </c>
      <c r="AK61" s="2">
        <v>18002</v>
      </c>
      <c r="AL61" s="2">
        <v>17116</v>
      </c>
      <c r="AM61" s="7">
        <v>18092</v>
      </c>
      <c r="AN61" s="14">
        <f t="shared" si="52"/>
        <v>18181</v>
      </c>
      <c r="AO61" s="7">
        <v>18270</v>
      </c>
      <c r="AP61" s="14">
        <f t="shared" si="53"/>
        <v>18110</v>
      </c>
      <c r="AQ61" s="2">
        <v>17950</v>
      </c>
      <c r="AR61" s="14">
        <f t="shared" si="54"/>
        <v>17715</v>
      </c>
      <c r="AS61" s="2">
        <v>17480</v>
      </c>
      <c r="AT61" s="14">
        <f t="shared" si="55"/>
        <v>18070</v>
      </c>
      <c r="AU61" s="2">
        <v>18660</v>
      </c>
      <c r="AV61" s="14">
        <f t="shared" si="56"/>
        <v>17515</v>
      </c>
      <c r="AW61" s="2">
        <v>16370</v>
      </c>
      <c r="AX61" s="14">
        <f t="shared" si="56"/>
        <v>15565</v>
      </c>
      <c r="AY61" s="2">
        <v>14760</v>
      </c>
      <c r="AZ61" s="14">
        <f t="shared" si="56"/>
        <v>17200</v>
      </c>
      <c r="BA61" s="2">
        <v>19640</v>
      </c>
      <c r="BB61" s="14">
        <f t="shared" si="18"/>
        <v>18850</v>
      </c>
      <c r="BC61" s="2">
        <v>18060</v>
      </c>
      <c r="BD61" s="2">
        <v>18630</v>
      </c>
      <c r="BE61" s="2">
        <v>19310</v>
      </c>
      <c r="BF61" s="2">
        <v>19740</v>
      </c>
    </row>
    <row r="62" spans="1:58">
      <c r="A62" s="2" t="s">
        <v>85</v>
      </c>
      <c r="B62" s="7">
        <v>2448</v>
      </c>
      <c r="C62" s="7">
        <v>2430</v>
      </c>
      <c r="D62" s="16">
        <f t="shared" si="46"/>
        <v>2440</v>
      </c>
      <c r="E62" s="16">
        <f t="shared" si="46"/>
        <v>2450</v>
      </c>
      <c r="F62" s="16">
        <f t="shared" si="46"/>
        <v>2460</v>
      </c>
      <c r="G62" s="16">
        <f t="shared" si="46"/>
        <v>2470</v>
      </c>
      <c r="H62" s="16">
        <f t="shared" si="46"/>
        <v>2480</v>
      </c>
      <c r="I62" s="16">
        <f t="shared" si="46"/>
        <v>2490</v>
      </c>
      <c r="J62" s="7">
        <v>2500</v>
      </c>
      <c r="K62" s="7">
        <v>2500</v>
      </c>
      <c r="L62" s="7">
        <v>2500</v>
      </c>
      <c r="M62" s="12">
        <v>2000</v>
      </c>
      <c r="N62" s="12">
        <v>2000</v>
      </c>
      <c r="O62" s="12">
        <v>2000</v>
      </c>
      <c r="P62" s="16">
        <f t="shared" si="47"/>
        <v>2034</v>
      </c>
      <c r="Q62" s="16">
        <f t="shared" si="47"/>
        <v>2068</v>
      </c>
      <c r="R62" s="7">
        <v>2102</v>
      </c>
      <c r="S62" s="16">
        <f t="shared" si="48"/>
        <v>2071.4444444444443</v>
      </c>
      <c r="T62" s="16">
        <f t="shared" si="48"/>
        <v>2040.8888888888887</v>
      </c>
      <c r="U62" s="16">
        <f t="shared" si="48"/>
        <v>2010.333333333333</v>
      </c>
      <c r="V62" s="16">
        <f t="shared" si="48"/>
        <v>1979.7777777777774</v>
      </c>
      <c r="W62" s="16">
        <f t="shared" si="48"/>
        <v>1949.2222222222217</v>
      </c>
      <c r="X62" s="16">
        <f t="shared" si="48"/>
        <v>1918.6666666666661</v>
      </c>
      <c r="Y62" s="16">
        <f t="shared" si="48"/>
        <v>1888.1111111111104</v>
      </c>
      <c r="Z62" s="16">
        <f t="shared" si="48"/>
        <v>1857.5555555555547</v>
      </c>
      <c r="AA62" s="10">
        <v>1827</v>
      </c>
      <c r="AB62" s="14">
        <f t="shared" si="49"/>
        <v>1656</v>
      </c>
      <c r="AC62" s="10">
        <v>1485</v>
      </c>
      <c r="AD62" s="10">
        <v>1485</v>
      </c>
      <c r="AE62" s="10">
        <v>1408</v>
      </c>
      <c r="AF62" s="14">
        <f t="shared" si="50"/>
        <v>1381</v>
      </c>
      <c r="AG62" s="10">
        <v>1354</v>
      </c>
      <c r="AH62" s="10">
        <v>1321</v>
      </c>
      <c r="AI62" s="10">
        <v>1385</v>
      </c>
      <c r="AJ62" s="14">
        <f t="shared" si="51"/>
        <v>1394.5</v>
      </c>
      <c r="AK62" s="2">
        <v>1404</v>
      </c>
      <c r="AL62" s="2">
        <v>1346</v>
      </c>
      <c r="AM62" s="7">
        <v>1616</v>
      </c>
      <c r="AN62" s="14">
        <f t="shared" si="52"/>
        <v>1708</v>
      </c>
      <c r="AO62" s="7">
        <v>1800</v>
      </c>
      <c r="AP62" s="14">
        <f t="shared" si="53"/>
        <v>1805</v>
      </c>
      <c r="AQ62" s="2">
        <v>1810</v>
      </c>
      <c r="AR62" s="14">
        <f t="shared" si="54"/>
        <v>1695</v>
      </c>
      <c r="AS62" s="2">
        <v>1580</v>
      </c>
      <c r="AT62" s="14">
        <f t="shared" si="55"/>
        <v>1700</v>
      </c>
      <c r="AU62" s="2">
        <v>1820</v>
      </c>
      <c r="AV62" s="14">
        <f t="shared" si="56"/>
        <v>1920</v>
      </c>
      <c r="AW62" s="2">
        <v>2020</v>
      </c>
      <c r="AX62" s="14">
        <f t="shared" si="56"/>
        <v>1885</v>
      </c>
      <c r="AY62" s="2">
        <v>1750</v>
      </c>
      <c r="AZ62" s="14">
        <f t="shared" si="56"/>
        <v>1605</v>
      </c>
      <c r="BA62" s="2">
        <v>1460</v>
      </c>
      <c r="BB62" s="14">
        <f t="shared" si="18"/>
        <v>1620</v>
      </c>
      <c r="BC62" s="2">
        <v>1780</v>
      </c>
      <c r="BD62" s="2">
        <v>1720</v>
      </c>
      <c r="BE62" s="2">
        <v>1790</v>
      </c>
      <c r="BF62" s="2">
        <v>1850</v>
      </c>
    </row>
    <row r="63" spans="1:58">
      <c r="A63" s="6" t="s">
        <v>86</v>
      </c>
      <c r="B63" s="126">
        <v>1443</v>
      </c>
      <c r="C63" s="126">
        <v>1430</v>
      </c>
      <c r="D63" s="147">
        <f t="shared" si="46"/>
        <v>1468.5714285714287</v>
      </c>
      <c r="E63" s="147">
        <f t="shared" si="46"/>
        <v>1507.1428571428573</v>
      </c>
      <c r="F63" s="147">
        <f t="shared" si="46"/>
        <v>1545.714285714286</v>
      </c>
      <c r="G63" s="147">
        <f t="shared" si="46"/>
        <v>1584.2857142857147</v>
      </c>
      <c r="H63" s="147">
        <f t="shared" si="46"/>
        <v>1622.8571428571433</v>
      </c>
      <c r="I63" s="147">
        <f t="shared" si="46"/>
        <v>1661.428571428572</v>
      </c>
      <c r="J63" s="126">
        <v>1700</v>
      </c>
      <c r="K63" s="126">
        <v>1700</v>
      </c>
      <c r="L63" s="126">
        <v>1700</v>
      </c>
      <c r="M63" s="150">
        <v>1400</v>
      </c>
      <c r="N63" s="150">
        <v>1400</v>
      </c>
      <c r="O63" s="150">
        <v>1400</v>
      </c>
      <c r="P63" s="147">
        <f t="shared" si="47"/>
        <v>1240.3333333333333</v>
      </c>
      <c r="Q63" s="147">
        <f t="shared" si="47"/>
        <v>1080.6666666666665</v>
      </c>
      <c r="R63" s="126">
        <v>921</v>
      </c>
      <c r="S63" s="147">
        <f t="shared" si="48"/>
        <v>891.11111111111109</v>
      </c>
      <c r="T63" s="147">
        <f t="shared" si="48"/>
        <v>861.22222222222217</v>
      </c>
      <c r="U63" s="147">
        <f t="shared" si="48"/>
        <v>831.33333333333326</v>
      </c>
      <c r="V63" s="147">
        <f t="shared" si="48"/>
        <v>801.44444444444434</v>
      </c>
      <c r="W63" s="147">
        <f t="shared" si="48"/>
        <v>771.55555555555543</v>
      </c>
      <c r="X63" s="147">
        <f t="shared" si="48"/>
        <v>741.66666666666652</v>
      </c>
      <c r="Y63" s="147">
        <f t="shared" si="48"/>
        <v>711.7777777777776</v>
      </c>
      <c r="Z63" s="147">
        <f t="shared" si="48"/>
        <v>681.88888888888869</v>
      </c>
      <c r="AA63" s="149">
        <v>652</v>
      </c>
      <c r="AB63" s="148">
        <f t="shared" si="49"/>
        <v>808.5</v>
      </c>
      <c r="AC63" s="149">
        <v>965</v>
      </c>
      <c r="AD63" s="149">
        <v>965</v>
      </c>
      <c r="AE63" s="149">
        <v>1120</v>
      </c>
      <c r="AF63" s="148">
        <f t="shared" si="50"/>
        <v>1100.5</v>
      </c>
      <c r="AG63" s="149">
        <v>1081</v>
      </c>
      <c r="AH63" s="149">
        <v>412</v>
      </c>
      <c r="AI63" s="149">
        <v>1183</v>
      </c>
      <c r="AJ63" s="148">
        <f t="shared" si="51"/>
        <v>1228</v>
      </c>
      <c r="AK63" s="6">
        <v>1273</v>
      </c>
      <c r="AL63" s="6">
        <v>586</v>
      </c>
      <c r="AM63" s="126">
        <v>1342</v>
      </c>
      <c r="AN63" s="148">
        <f t="shared" si="52"/>
        <v>1301</v>
      </c>
      <c r="AO63" s="126">
        <v>1260</v>
      </c>
      <c r="AP63" s="148">
        <f t="shared" si="53"/>
        <v>1205</v>
      </c>
      <c r="AQ63" s="6">
        <v>1150</v>
      </c>
      <c r="AR63" s="148">
        <f t="shared" si="54"/>
        <v>1455</v>
      </c>
      <c r="AS63" s="6">
        <v>1760</v>
      </c>
      <c r="AT63" s="148">
        <f t="shared" si="55"/>
        <v>1465</v>
      </c>
      <c r="AU63" s="6">
        <v>1170</v>
      </c>
      <c r="AV63" s="148">
        <f t="shared" si="56"/>
        <v>1085</v>
      </c>
      <c r="AW63" s="6">
        <v>1000</v>
      </c>
      <c r="AX63" s="148">
        <f t="shared" si="56"/>
        <v>965</v>
      </c>
      <c r="AY63" s="6">
        <v>930</v>
      </c>
      <c r="AZ63" s="148">
        <f t="shared" si="56"/>
        <v>1005</v>
      </c>
      <c r="BA63" s="6">
        <v>1080</v>
      </c>
      <c r="BB63" s="148">
        <f t="shared" si="18"/>
        <v>975</v>
      </c>
      <c r="BC63" s="6">
        <v>870</v>
      </c>
      <c r="BD63" s="2">
        <v>900</v>
      </c>
      <c r="BE63" s="2">
        <v>880</v>
      </c>
      <c r="BF63" s="2">
        <v>880</v>
      </c>
    </row>
    <row r="64" spans="1:58">
      <c r="A64" s="146" t="s">
        <v>87</v>
      </c>
      <c r="B64" s="126">
        <v>1689</v>
      </c>
      <c r="C64" s="126">
        <v>1680</v>
      </c>
      <c r="D64" s="147">
        <f t="shared" si="46"/>
        <v>1697.1428571428571</v>
      </c>
      <c r="E64" s="147">
        <f t="shared" si="46"/>
        <v>1714.2857142857142</v>
      </c>
      <c r="F64" s="147">
        <f t="shared" si="46"/>
        <v>1731.4285714285713</v>
      </c>
      <c r="G64" s="147">
        <f t="shared" si="46"/>
        <v>1748.5714285714284</v>
      </c>
      <c r="H64" s="147">
        <f t="shared" si="46"/>
        <v>1765.7142857142856</v>
      </c>
      <c r="I64" s="147">
        <f t="shared" si="46"/>
        <v>1782.8571428571427</v>
      </c>
      <c r="J64" s="126">
        <v>1800</v>
      </c>
      <c r="K64" s="126">
        <v>1800</v>
      </c>
      <c r="L64" s="126">
        <v>1800</v>
      </c>
      <c r="M64" s="126">
        <v>1400</v>
      </c>
      <c r="N64" s="126">
        <v>1400</v>
      </c>
      <c r="O64" s="126">
        <v>1400</v>
      </c>
      <c r="P64" s="147">
        <f t="shared" si="47"/>
        <v>1471.3333333333333</v>
      </c>
      <c r="Q64" s="147">
        <f t="shared" si="47"/>
        <v>1542.6666666666665</v>
      </c>
      <c r="R64" s="126">
        <v>1614</v>
      </c>
      <c r="S64" s="147">
        <f t="shared" si="48"/>
        <v>1660.7777777777778</v>
      </c>
      <c r="T64" s="147">
        <f t="shared" si="48"/>
        <v>1707.5555555555557</v>
      </c>
      <c r="U64" s="147">
        <f t="shared" si="48"/>
        <v>1754.3333333333335</v>
      </c>
      <c r="V64" s="147">
        <f t="shared" si="48"/>
        <v>1801.1111111111113</v>
      </c>
      <c r="W64" s="147">
        <f t="shared" si="48"/>
        <v>1847.8888888888891</v>
      </c>
      <c r="X64" s="147">
        <f t="shared" si="48"/>
        <v>1894.666666666667</v>
      </c>
      <c r="Y64" s="147">
        <f t="shared" si="48"/>
        <v>1941.4444444444448</v>
      </c>
      <c r="Z64" s="147">
        <f t="shared" si="48"/>
        <v>1988.2222222222226</v>
      </c>
      <c r="AA64" s="126">
        <v>2035</v>
      </c>
      <c r="AB64" s="148">
        <f t="shared" si="49"/>
        <v>1638</v>
      </c>
      <c r="AC64" s="126">
        <v>1241</v>
      </c>
      <c r="AD64" s="126">
        <v>1241</v>
      </c>
      <c r="AE64" s="126">
        <v>1054</v>
      </c>
      <c r="AF64" s="148">
        <f t="shared" si="50"/>
        <v>1148</v>
      </c>
      <c r="AG64" s="126">
        <v>1242</v>
      </c>
      <c r="AH64" s="149">
        <v>981</v>
      </c>
      <c r="AI64" s="126">
        <v>1261</v>
      </c>
      <c r="AJ64" s="148">
        <f t="shared" si="51"/>
        <v>1246</v>
      </c>
      <c r="AK64" s="6">
        <v>1231</v>
      </c>
      <c r="AL64" s="6">
        <v>854</v>
      </c>
      <c r="AM64" s="126">
        <v>1555</v>
      </c>
      <c r="AN64" s="148">
        <f t="shared" si="52"/>
        <v>1377.5</v>
      </c>
      <c r="AO64" s="126">
        <v>1200</v>
      </c>
      <c r="AP64" s="148">
        <f t="shared" si="53"/>
        <v>1325</v>
      </c>
      <c r="AQ64" s="6">
        <v>1450</v>
      </c>
      <c r="AR64" s="148">
        <f t="shared" si="54"/>
        <v>1555</v>
      </c>
      <c r="AS64" s="6">
        <v>1660</v>
      </c>
      <c r="AT64" s="148">
        <f t="shared" si="55"/>
        <v>1500</v>
      </c>
      <c r="AU64" s="6">
        <v>1340</v>
      </c>
      <c r="AV64" s="148">
        <f t="shared" si="56"/>
        <v>1425</v>
      </c>
      <c r="AW64" s="39">
        <v>1510</v>
      </c>
      <c r="AX64" s="148">
        <f t="shared" si="56"/>
        <v>1665</v>
      </c>
      <c r="AY64" s="6">
        <v>1820</v>
      </c>
      <c r="AZ64" s="148">
        <f t="shared" si="56"/>
        <v>1660</v>
      </c>
      <c r="BA64" s="6">
        <v>1500</v>
      </c>
      <c r="BB64" s="148">
        <f t="shared" si="18"/>
        <v>1280</v>
      </c>
      <c r="BC64" s="6">
        <v>1060</v>
      </c>
      <c r="BD64" s="2">
        <v>1260</v>
      </c>
      <c r="BE64" s="2">
        <v>1150</v>
      </c>
      <c r="BF64" s="2">
        <v>1070</v>
      </c>
    </row>
    <row r="66" spans="2:57" ht="280.5" customHeight="1">
      <c r="B66" s="26"/>
      <c r="C66" s="26" t="s">
        <v>286</v>
      </c>
      <c r="D66" s="15"/>
      <c r="J66" s="26" t="s">
        <v>287</v>
      </c>
      <c r="K66" s="26" t="s">
        <v>288</v>
      </c>
      <c r="L66" s="26" t="s">
        <v>289</v>
      </c>
      <c r="M66" s="26" t="s">
        <v>290</v>
      </c>
      <c r="N66" s="26" t="s">
        <v>291</v>
      </c>
      <c r="O66" s="26" t="s">
        <v>292</v>
      </c>
      <c r="P66" s="3"/>
      <c r="Q66" s="3"/>
      <c r="R66" s="26" t="s">
        <v>293</v>
      </c>
      <c r="S66" s="3"/>
      <c r="T66" s="3"/>
      <c r="U66" s="3"/>
      <c r="V66" s="3"/>
      <c r="W66" s="3"/>
      <c r="X66" s="3"/>
      <c r="Y66" s="3"/>
      <c r="Z66" s="472"/>
      <c r="AA66" s="26" t="s">
        <v>294</v>
      </c>
      <c r="AB66" s="19"/>
      <c r="AC66" s="26" t="s">
        <v>294</v>
      </c>
      <c r="AD66" s="26" t="s">
        <v>295</v>
      </c>
      <c r="AE66" s="26" t="s">
        <v>294</v>
      </c>
      <c r="AF66" s="3"/>
      <c r="AG66" s="26" t="s">
        <v>294</v>
      </c>
      <c r="AI66" s="26" t="s">
        <v>296</v>
      </c>
      <c r="AJ66" s="19"/>
      <c r="AK66" s="26" t="s">
        <v>297</v>
      </c>
      <c r="AL66" s="26" t="s">
        <v>298</v>
      </c>
      <c r="AM66" s="26" t="s">
        <v>299</v>
      </c>
      <c r="AN66" s="19"/>
      <c r="AO66" s="26" t="s">
        <v>300</v>
      </c>
      <c r="AP66" s="19"/>
      <c r="AQ66" s="26" t="s">
        <v>301</v>
      </c>
      <c r="AR66" s="19"/>
      <c r="AS66" s="26" t="s">
        <v>302</v>
      </c>
      <c r="AT66" s="26"/>
      <c r="AU66" s="26" t="s">
        <v>303</v>
      </c>
      <c r="AV66" s="26"/>
      <c r="AW66" s="472" t="s">
        <v>304</v>
      </c>
      <c r="AX66" s="17"/>
      <c r="AY66" s="472" t="s">
        <v>305</v>
      </c>
      <c r="AZ66" s="17"/>
      <c r="BA66" s="472" t="s">
        <v>306</v>
      </c>
      <c r="BC66" s="472" t="s">
        <v>307</v>
      </c>
      <c r="BD66" s="513" t="s">
        <v>265</v>
      </c>
      <c r="BE66" s="513" t="s">
        <v>265</v>
      </c>
    </row>
    <row r="67" spans="2:57">
      <c r="O67" s="3"/>
      <c r="P67" s="3"/>
      <c r="Q67" s="3"/>
      <c r="R67" s="3"/>
      <c r="S67" s="3"/>
      <c r="T67" s="3"/>
      <c r="U67" s="3"/>
      <c r="V67" s="3"/>
      <c r="W67" s="3"/>
      <c r="X67" s="3"/>
      <c r="Y67" s="3"/>
      <c r="Z67" s="3"/>
      <c r="AA67" s="3"/>
      <c r="AB67" s="19"/>
      <c r="AC67" s="3"/>
      <c r="AD67" s="3"/>
      <c r="AE67" s="3"/>
      <c r="AF67" s="3"/>
      <c r="AG67" s="3"/>
      <c r="AI67" s="3"/>
      <c r="AJ67" s="3"/>
      <c r="AK67" s="3"/>
      <c r="AL67" s="3"/>
      <c r="AM67" s="3"/>
      <c r="AN67" s="3"/>
      <c r="AO67" s="3"/>
      <c r="AP67" s="3"/>
      <c r="AR67" s="3"/>
    </row>
    <row r="68" spans="2:57">
      <c r="O68" s="3"/>
      <c r="P68" s="3"/>
      <c r="Q68" s="3"/>
      <c r="R68" s="3"/>
      <c r="S68" s="3"/>
      <c r="T68" s="3"/>
      <c r="U68" s="3"/>
      <c r="V68" s="3"/>
      <c r="W68" s="3"/>
      <c r="X68" s="3"/>
      <c r="Y68" s="3"/>
      <c r="Z68" s="3"/>
      <c r="AA68" s="3"/>
      <c r="AB68" s="19"/>
      <c r="AC68" s="3"/>
      <c r="AD68" s="3"/>
      <c r="AE68" s="3"/>
      <c r="AF68" s="3"/>
      <c r="AG68" s="3"/>
      <c r="AI68" s="3"/>
      <c r="AJ68" s="3"/>
      <c r="AK68" s="3"/>
      <c r="AL68" s="3"/>
      <c r="AM68" s="3"/>
      <c r="AN68" s="3"/>
      <c r="AO68" s="3"/>
      <c r="AP68" s="3"/>
      <c r="AR68" s="3"/>
    </row>
    <row r="69" spans="2:57">
      <c r="O69" s="3"/>
      <c r="P69" s="3"/>
      <c r="Q69" s="3"/>
      <c r="R69" s="3"/>
      <c r="S69" s="3"/>
      <c r="T69" s="3"/>
      <c r="U69" s="3"/>
      <c r="V69" s="3"/>
      <c r="W69" s="3"/>
      <c r="X69" s="3"/>
      <c r="Y69" s="3"/>
      <c r="Z69" s="3"/>
      <c r="AA69" s="3"/>
      <c r="AB69" s="19"/>
      <c r="AC69" s="3"/>
      <c r="AD69" s="3"/>
      <c r="AE69" s="3"/>
      <c r="AF69" s="3"/>
      <c r="AG69" s="3"/>
      <c r="AI69" s="3"/>
      <c r="AJ69" s="3"/>
      <c r="AK69" s="3"/>
      <c r="AL69" s="3"/>
      <c r="AM69" s="3"/>
      <c r="AN69" s="3"/>
      <c r="AO69" s="3"/>
      <c r="AP69" s="3"/>
      <c r="AR69" s="3"/>
    </row>
    <row r="70" spans="2:57">
      <c r="O70" s="3"/>
      <c r="P70" s="3"/>
      <c r="Q70" s="3"/>
      <c r="R70" s="3"/>
      <c r="S70" s="3"/>
      <c r="T70" s="3"/>
      <c r="U70" s="3"/>
      <c r="V70" s="3"/>
      <c r="W70" s="3"/>
      <c r="X70" s="3"/>
      <c r="Y70" s="3"/>
      <c r="Z70" s="3"/>
      <c r="AA70" s="3"/>
      <c r="AB70" s="19"/>
      <c r="AC70" s="3"/>
      <c r="AD70" s="3"/>
      <c r="AE70" s="3"/>
      <c r="AF70" s="3"/>
      <c r="AG70" s="3"/>
      <c r="AI70" s="3"/>
      <c r="AJ70" s="3"/>
      <c r="AK70" s="3"/>
      <c r="AL70" s="3"/>
      <c r="AM70" s="3"/>
      <c r="AN70" s="3"/>
      <c r="AO70" s="3"/>
      <c r="AP70" s="3"/>
      <c r="AR70" s="3"/>
    </row>
    <row r="71" spans="2:57">
      <c r="O71" s="3"/>
      <c r="P71" s="3"/>
      <c r="Q71" s="3"/>
      <c r="R71" s="3"/>
      <c r="S71" s="3"/>
      <c r="T71" s="3"/>
      <c r="U71" s="3"/>
      <c r="V71" s="3"/>
      <c r="W71" s="3"/>
      <c r="X71" s="3"/>
      <c r="Y71" s="3"/>
      <c r="Z71" s="3"/>
      <c r="AA71" s="3"/>
      <c r="AB71" s="19"/>
      <c r="AC71" s="3"/>
      <c r="AD71" s="3"/>
      <c r="AE71" s="3"/>
      <c r="AF71" s="3"/>
      <c r="AG71" s="3"/>
      <c r="AI71" s="3"/>
      <c r="AJ71" s="3"/>
      <c r="AK71" s="3"/>
      <c r="AL71" s="3"/>
      <c r="AM71" s="3"/>
      <c r="AN71" s="3"/>
      <c r="AO71" s="3"/>
      <c r="AP71" s="3"/>
      <c r="AR71" s="3"/>
    </row>
    <row r="72" spans="2:57">
      <c r="O72" s="3"/>
      <c r="P72" s="3"/>
      <c r="Q72" s="3"/>
      <c r="R72" s="3"/>
      <c r="S72" s="3"/>
      <c r="T72" s="3"/>
      <c r="U72" s="3"/>
      <c r="V72" s="3"/>
      <c r="W72" s="3"/>
      <c r="X72" s="3"/>
      <c r="Y72" s="3"/>
      <c r="Z72" s="3"/>
      <c r="AA72" s="3"/>
      <c r="AB72" s="19"/>
      <c r="AC72" s="3"/>
      <c r="AD72" s="3"/>
      <c r="AE72" s="3"/>
      <c r="AF72" s="3"/>
      <c r="AG72" s="3"/>
      <c r="AI72" s="3"/>
      <c r="AJ72" s="3"/>
      <c r="AK72" s="3"/>
      <c r="AL72" s="3"/>
      <c r="AM72" s="3"/>
      <c r="AN72" s="3"/>
      <c r="AO72" s="3"/>
      <c r="AP72" s="3"/>
      <c r="AR72" s="3"/>
    </row>
    <row r="73" spans="2:57" ht="12.95">
      <c r="O73" s="3"/>
      <c r="P73" s="3"/>
      <c r="Q73" s="3"/>
      <c r="R73" s="3"/>
      <c r="S73" s="3"/>
      <c r="T73" s="3"/>
      <c r="U73" s="3"/>
      <c r="V73" s="3"/>
      <c r="W73" s="3"/>
      <c r="X73" s="3"/>
      <c r="Y73" s="3"/>
      <c r="Z73" s="3"/>
      <c r="AA73" s="3"/>
      <c r="AB73" s="19"/>
      <c r="AC73" s="3"/>
      <c r="AD73" s="3"/>
      <c r="AE73" s="3"/>
      <c r="AF73" s="3"/>
      <c r="AG73" s="3"/>
      <c r="AH73" s="20"/>
      <c r="AI73" s="3"/>
      <c r="AJ73" s="3"/>
      <c r="AK73" s="3"/>
      <c r="AL73" s="3"/>
      <c r="AM73" s="3"/>
      <c r="AN73" s="3"/>
      <c r="AO73" s="3"/>
      <c r="AP73" s="3"/>
      <c r="AR73" s="3"/>
    </row>
    <row r="74" spans="2:57" ht="12.95">
      <c r="B74" s="3"/>
      <c r="C74" s="3"/>
      <c r="D74" s="3"/>
      <c r="E74" s="3"/>
      <c r="F74" s="3"/>
      <c r="G74" s="3"/>
      <c r="H74" s="3"/>
      <c r="I74" s="3"/>
      <c r="J74" s="3"/>
      <c r="K74" s="3"/>
      <c r="L74" s="3"/>
      <c r="M74" s="3"/>
      <c r="N74" s="3"/>
      <c r="O74" s="3"/>
      <c r="P74" s="3"/>
      <c r="Q74" s="3"/>
      <c r="R74" s="3"/>
      <c r="S74" s="3"/>
      <c r="T74" s="3"/>
      <c r="U74" s="3"/>
      <c r="V74" s="3"/>
      <c r="W74" s="3"/>
      <c r="X74" s="3"/>
      <c r="Y74" s="3"/>
      <c r="Z74" s="3"/>
      <c r="AD74" s="3"/>
      <c r="AH74" s="20"/>
      <c r="AI74" s="3"/>
      <c r="AJ74" s="3"/>
      <c r="AK74" s="3"/>
      <c r="AL74" s="3"/>
      <c r="AM74" s="3"/>
      <c r="AN74" s="3"/>
      <c r="AO74" s="3"/>
      <c r="AP74" s="3"/>
      <c r="AR74" s="3"/>
    </row>
    <row r="75" spans="2:57" ht="12.95">
      <c r="B75" s="3"/>
      <c r="C75" s="3"/>
      <c r="D75" s="3"/>
      <c r="E75" s="3"/>
      <c r="F75" s="3"/>
      <c r="G75" s="3"/>
      <c r="H75" s="3"/>
      <c r="I75" s="3"/>
      <c r="J75" s="3"/>
      <c r="K75" s="3"/>
      <c r="L75" s="3"/>
      <c r="M75" s="3"/>
      <c r="N75" s="3"/>
      <c r="O75" s="3"/>
      <c r="P75" s="3"/>
      <c r="Q75" s="3"/>
      <c r="R75" s="3"/>
      <c r="S75" s="3"/>
      <c r="T75" s="3"/>
      <c r="U75" s="3"/>
      <c r="V75" s="3"/>
      <c r="W75" s="3"/>
      <c r="X75" s="3"/>
      <c r="Y75" s="3"/>
      <c r="Z75" s="3"/>
      <c r="AA75" s="3"/>
      <c r="AB75" s="19"/>
      <c r="AC75" s="3"/>
      <c r="AD75" s="3"/>
      <c r="AE75" s="3"/>
      <c r="AF75" s="3"/>
      <c r="AG75" s="3"/>
      <c r="AH75" s="20"/>
      <c r="AI75" s="3"/>
      <c r="AJ75" s="3"/>
      <c r="AK75" s="3"/>
      <c r="AL75" s="3"/>
      <c r="AM75" s="3"/>
      <c r="AN75" s="3"/>
      <c r="AO75" s="3"/>
      <c r="AP75" s="3"/>
      <c r="AR75" s="3"/>
    </row>
    <row r="76" spans="2:57" ht="12.95">
      <c r="B76" s="3"/>
      <c r="C76" s="3"/>
      <c r="D76" s="3"/>
      <c r="E76" s="3"/>
      <c r="F76" s="3"/>
      <c r="G76" s="3"/>
      <c r="H76" s="3"/>
      <c r="I76" s="3"/>
      <c r="J76" s="3"/>
      <c r="K76" s="3"/>
      <c r="L76" s="3"/>
      <c r="M76" s="3"/>
      <c r="N76" s="3"/>
      <c r="O76" s="3"/>
      <c r="P76" s="3"/>
      <c r="Q76" s="3"/>
      <c r="R76" s="3"/>
      <c r="S76" s="3"/>
      <c r="T76" s="3"/>
      <c r="U76" s="3"/>
      <c r="V76" s="3"/>
      <c r="W76" s="3"/>
      <c r="X76" s="3"/>
      <c r="Y76" s="3"/>
      <c r="Z76" s="3"/>
      <c r="AA76" s="3"/>
      <c r="AB76" s="19"/>
      <c r="AC76" s="3"/>
      <c r="AD76" s="3"/>
      <c r="AE76" s="3"/>
      <c r="AF76" s="3"/>
      <c r="AG76" s="3"/>
      <c r="AH76" s="20"/>
      <c r="AI76" s="3"/>
      <c r="AJ76" s="3"/>
      <c r="AK76" s="3"/>
      <c r="AL76" s="3"/>
      <c r="AM76" s="3"/>
      <c r="AN76" s="3"/>
      <c r="AO76" s="3"/>
      <c r="AP76" s="3"/>
      <c r="AR76" s="3"/>
    </row>
    <row r="77" spans="2:57" ht="12.95">
      <c r="B77" s="3"/>
      <c r="C77" s="3"/>
      <c r="D77" s="3"/>
      <c r="E77" s="3"/>
      <c r="F77" s="3"/>
      <c r="G77" s="3"/>
      <c r="H77" s="3"/>
      <c r="I77" s="3"/>
      <c r="J77" s="3"/>
      <c r="K77" s="3"/>
      <c r="L77" s="3"/>
      <c r="M77" s="3"/>
      <c r="N77" s="3"/>
      <c r="O77" s="3"/>
      <c r="P77" s="3"/>
      <c r="Q77" s="3"/>
      <c r="R77" s="3"/>
      <c r="S77" s="3"/>
      <c r="T77" s="3"/>
      <c r="U77" s="3"/>
      <c r="V77" s="3"/>
      <c r="W77" s="3"/>
      <c r="X77" s="3"/>
      <c r="Y77" s="3"/>
      <c r="Z77" s="3"/>
      <c r="AA77" s="3"/>
      <c r="AB77" s="19"/>
      <c r="AC77" s="3"/>
      <c r="AD77" s="3"/>
      <c r="AE77" s="3"/>
      <c r="AF77" s="3"/>
      <c r="AG77" s="3"/>
      <c r="AH77" s="20"/>
      <c r="AI77" s="3"/>
      <c r="AJ77" s="3"/>
      <c r="AK77" s="3"/>
      <c r="AL77" s="3"/>
      <c r="AM77" s="3"/>
      <c r="AN77" s="3"/>
      <c r="AO77" s="3"/>
      <c r="AP77" s="3"/>
      <c r="AR77" s="3"/>
    </row>
    <row r="78" spans="2:57" ht="12.95">
      <c r="B78" s="3"/>
      <c r="C78" s="3"/>
      <c r="D78" s="3"/>
      <c r="E78" s="3"/>
      <c r="F78" s="3"/>
      <c r="G78" s="3"/>
      <c r="H78" s="3"/>
      <c r="I78" s="3"/>
      <c r="J78" s="3"/>
      <c r="K78" s="3"/>
      <c r="L78" s="3"/>
      <c r="M78" s="3"/>
      <c r="N78" s="3"/>
      <c r="O78" s="3"/>
      <c r="P78" s="3"/>
      <c r="Q78" s="3"/>
      <c r="R78" s="3"/>
      <c r="S78" s="3"/>
      <c r="T78" s="3"/>
      <c r="U78" s="3"/>
      <c r="V78" s="3"/>
      <c r="W78" s="3"/>
      <c r="X78" s="3"/>
      <c r="Y78" s="3"/>
      <c r="Z78" s="3"/>
      <c r="AA78" s="3"/>
      <c r="AB78" s="19"/>
      <c r="AC78" s="3"/>
      <c r="AD78" s="3"/>
      <c r="AE78" s="3"/>
      <c r="AF78" s="3"/>
      <c r="AG78" s="3"/>
      <c r="AH78" s="20"/>
      <c r="AI78" s="3"/>
      <c r="AJ78" s="3"/>
      <c r="AK78" s="3"/>
      <c r="AL78" s="3"/>
      <c r="AM78" s="3"/>
      <c r="AN78" s="3"/>
      <c r="AO78" s="3"/>
      <c r="AP78" s="3"/>
      <c r="AR78" s="3"/>
    </row>
    <row r="79" spans="2:57" ht="12.95">
      <c r="B79" s="13"/>
      <c r="C79" s="13"/>
      <c r="D79" s="13"/>
      <c r="E79" s="13"/>
      <c r="F79" s="13"/>
      <c r="G79" s="13"/>
      <c r="H79" s="13"/>
      <c r="I79" s="13"/>
      <c r="J79" s="13"/>
      <c r="K79" s="13"/>
      <c r="L79" s="13"/>
      <c r="M79" s="13"/>
      <c r="N79" s="13"/>
      <c r="O79" s="13"/>
      <c r="P79" s="13"/>
      <c r="Q79" s="13"/>
      <c r="R79" s="3"/>
      <c r="S79" s="3"/>
      <c r="T79" s="3"/>
      <c r="U79" s="3"/>
      <c r="V79" s="3"/>
      <c r="W79" s="3"/>
      <c r="X79" s="3"/>
      <c r="Y79" s="3"/>
      <c r="Z79" s="3"/>
      <c r="AA79" s="3"/>
      <c r="AB79" s="19"/>
      <c r="AC79" s="3"/>
      <c r="AD79" s="13"/>
      <c r="AE79" s="3"/>
      <c r="AF79" s="3"/>
      <c r="AG79" s="3"/>
      <c r="AH79" s="20"/>
      <c r="AI79" s="3"/>
      <c r="AJ79" s="3"/>
      <c r="AK79" s="3"/>
      <c r="AL79" s="3"/>
      <c r="AM79" s="3"/>
      <c r="AN79" s="3"/>
      <c r="AO79" s="3"/>
      <c r="AP79" s="3"/>
      <c r="AR79" s="3"/>
    </row>
    <row r="80" spans="2:57" ht="12.95">
      <c r="B80" s="3"/>
      <c r="C80" s="3"/>
      <c r="D80" s="3"/>
      <c r="E80" s="3"/>
      <c r="F80" s="3"/>
      <c r="G80" s="3"/>
      <c r="H80" s="3"/>
      <c r="I80" s="3"/>
      <c r="J80" s="3"/>
      <c r="K80" s="3"/>
      <c r="L80" s="3"/>
      <c r="M80" s="3"/>
      <c r="N80" s="3"/>
      <c r="O80" s="3"/>
      <c r="P80" s="3"/>
      <c r="Q80" s="3"/>
      <c r="R80" s="3"/>
      <c r="S80" s="3"/>
      <c r="T80" s="3"/>
      <c r="U80" s="3"/>
      <c r="V80" s="3"/>
      <c r="W80" s="3"/>
      <c r="X80" s="3"/>
      <c r="Y80" s="3"/>
      <c r="Z80" s="3"/>
      <c r="AA80" s="3"/>
      <c r="AB80" s="19"/>
      <c r="AC80" s="3"/>
      <c r="AD80" s="3"/>
      <c r="AE80" s="3"/>
      <c r="AF80" s="3"/>
      <c r="AG80" s="3"/>
      <c r="AH80" s="20"/>
      <c r="AI80" s="13"/>
      <c r="AJ80" s="13"/>
      <c r="AN80" s="13"/>
      <c r="AP80" s="13"/>
      <c r="AR80" s="13"/>
    </row>
    <row r="81" spans="2:44" ht="12.95">
      <c r="B81" s="3"/>
      <c r="C81" s="3"/>
      <c r="D81" s="3"/>
      <c r="E81" s="3"/>
      <c r="F81" s="3"/>
      <c r="G81" s="3"/>
      <c r="H81" s="3"/>
      <c r="I81" s="3"/>
      <c r="J81" s="3"/>
      <c r="K81" s="3"/>
      <c r="L81" s="3"/>
      <c r="M81" s="3"/>
      <c r="N81" s="3"/>
      <c r="O81" s="3"/>
      <c r="P81" s="3"/>
      <c r="Q81" s="3"/>
      <c r="R81" s="3"/>
      <c r="S81" s="3"/>
      <c r="T81" s="3"/>
      <c r="U81" s="3"/>
      <c r="V81" s="3"/>
      <c r="W81" s="3"/>
      <c r="X81" s="3"/>
      <c r="Y81" s="3"/>
      <c r="Z81" s="3"/>
      <c r="AA81" s="13"/>
      <c r="AB81" s="21"/>
      <c r="AC81" s="13"/>
      <c r="AD81" s="3"/>
      <c r="AE81" s="13"/>
      <c r="AF81" s="13"/>
      <c r="AG81" s="13"/>
      <c r="AH81" s="20"/>
      <c r="AI81" s="3"/>
      <c r="AJ81" s="3"/>
      <c r="AN81" s="3"/>
      <c r="AP81" s="3"/>
      <c r="AR81" s="3"/>
    </row>
    <row r="82" spans="2:44">
      <c r="B82" s="22"/>
      <c r="C82" s="22"/>
      <c r="D82" s="22"/>
      <c r="E82" s="22"/>
      <c r="F82" s="22"/>
      <c r="G82" s="22"/>
      <c r="H82" s="22"/>
      <c r="I82" s="22"/>
      <c r="AA82" s="3"/>
      <c r="AB82" s="19"/>
      <c r="AC82" s="3"/>
      <c r="AE82" s="3"/>
      <c r="AF82" s="3"/>
      <c r="AG82" s="3"/>
      <c r="AI82" s="3"/>
      <c r="AJ82" s="3"/>
      <c r="AK82" s="3"/>
      <c r="AL82" s="3"/>
      <c r="AM82" s="3"/>
      <c r="AN82" s="3"/>
      <c r="AO82" s="3"/>
      <c r="AP82" s="3"/>
      <c r="AR82" s="3"/>
    </row>
    <row r="83" spans="2:44">
      <c r="AA83" s="3"/>
      <c r="AB83" s="19"/>
      <c r="AC83" s="3"/>
      <c r="AE83" s="3"/>
      <c r="AF83" s="3"/>
      <c r="AG83" s="3"/>
    </row>
    <row r="85" spans="2:44">
      <c r="AK85" s="249"/>
    </row>
    <row r="86" spans="2:44">
      <c r="AK86" s="249"/>
    </row>
    <row r="87" spans="2:44">
      <c r="AH87" s="23"/>
    </row>
    <row r="90" spans="2:44" ht="12.95">
      <c r="AH90" s="20"/>
    </row>
    <row r="91" spans="2:44" ht="12.95">
      <c r="AH91" s="20"/>
    </row>
  </sheetData>
  <phoneticPr fontId="0" type="noConversion"/>
  <printOptions headings="1"/>
  <pageMargins left="0.75" right="0.75" top="1" bottom="1" header="0.5" footer="0.5"/>
  <pageSetup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003399"/>
    <pageSetUpPr autoPageBreaks="0"/>
  </sheetPr>
  <dimension ref="A1:BH324"/>
  <sheetViews>
    <sheetView zoomScaleNormal="100" workbookViewId="0">
      <pane xSplit="1" topLeftCell="AU1" activePane="topRight" state="frozen"/>
      <selection pane="topRight" activeCell="BF4" sqref="BF4"/>
    </sheetView>
  </sheetViews>
  <sheetFormatPr defaultColWidth="11.42578125" defaultRowHeight="12.6"/>
  <cols>
    <col min="1" max="1" width="17.7109375" style="76" customWidth="1"/>
    <col min="2" max="2" width="10.5703125" style="8" customWidth="1"/>
    <col min="3" max="3" width="11.5703125" style="8" customWidth="1"/>
    <col min="4" max="4" width="10.5703125" style="2" customWidth="1"/>
    <col min="5" max="7" width="10.5703125" style="29" customWidth="1"/>
    <col min="8" max="8" width="11.5703125" style="29" customWidth="1"/>
    <col min="9" max="16" width="10.5703125" style="29" customWidth="1"/>
    <col min="17" max="47" width="10.7109375" style="29" customWidth="1"/>
    <col min="48" max="51" width="11.42578125" style="29" customWidth="1"/>
    <col min="52" max="16384" width="11.42578125" style="29"/>
  </cols>
  <sheetData>
    <row r="1" spans="1:60" ht="12.95">
      <c r="A1" s="44" t="s">
        <v>308</v>
      </c>
    </row>
    <row r="2" spans="1:60">
      <c r="A2" s="82"/>
      <c r="B2" s="167"/>
      <c r="C2" s="115"/>
      <c r="D2" s="84"/>
      <c r="E2" s="84"/>
      <c r="F2" s="84"/>
      <c r="G2" s="84"/>
      <c r="H2" s="115"/>
      <c r="I2" s="84"/>
      <c r="J2" s="84"/>
      <c r="K2" s="84"/>
      <c r="L2" s="84"/>
      <c r="M2" s="84"/>
      <c r="N2" s="84"/>
      <c r="O2" s="84"/>
      <c r="P2" s="84"/>
      <c r="Q2" s="117"/>
      <c r="R2" s="31"/>
      <c r="S2" s="31"/>
      <c r="T2" s="31"/>
      <c r="U2" s="31"/>
      <c r="V2" s="31"/>
      <c r="W2" s="118"/>
      <c r="X2" s="31"/>
      <c r="Y2" s="31"/>
      <c r="Z2" s="31"/>
      <c r="AA2" s="31"/>
      <c r="AB2" s="31"/>
      <c r="AC2" s="118"/>
      <c r="AD2" s="118"/>
      <c r="AE2" s="118"/>
      <c r="AF2" s="118"/>
      <c r="AG2" s="118"/>
      <c r="AH2" s="118"/>
      <c r="AI2" s="118"/>
      <c r="AJ2" s="118"/>
      <c r="AK2" s="118"/>
      <c r="AL2" s="118"/>
      <c r="AM2" s="118"/>
      <c r="AN2" s="118"/>
      <c r="AO2" s="118"/>
      <c r="AP2" s="118"/>
      <c r="AQ2" s="118"/>
      <c r="AR2" s="118"/>
      <c r="AS2" s="118"/>
      <c r="AT2" s="118"/>
      <c r="AU2" s="118"/>
      <c r="AV2" s="31"/>
      <c r="BA2" s="31"/>
      <c r="BB2" s="31"/>
      <c r="BC2" s="31"/>
    </row>
    <row r="3" spans="1:60" s="32" customFormat="1">
      <c r="A3" s="153"/>
      <c r="B3" s="154" t="s">
        <v>188</v>
      </c>
      <c r="C3" s="155" t="s">
        <v>189</v>
      </c>
      <c r="D3" s="156" t="s">
        <v>190</v>
      </c>
      <c r="E3" s="156" t="s">
        <v>191</v>
      </c>
      <c r="F3" s="156" t="s">
        <v>192</v>
      </c>
      <c r="G3" s="156" t="s">
        <v>193</v>
      </c>
      <c r="H3" s="155" t="s">
        <v>194</v>
      </c>
      <c r="I3" s="156" t="s">
        <v>195</v>
      </c>
      <c r="J3" s="156" t="s">
        <v>196</v>
      </c>
      <c r="K3" s="156" t="s">
        <v>197</v>
      </c>
      <c r="L3" s="156" t="s">
        <v>198</v>
      </c>
      <c r="M3" s="156" t="s">
        <v>199</v>
      </c>
      <c r="N3" s="156" t="s">
        <v>200</v>
      </c>
      <c r="O3" s="156" t="s">
        <v>201</v>
      </c>
      <c r="P3" s="156" t="s">
        <v>202</v>
      </c>
      <c r="Q3" s="157" t="s">
        <v>203</v>
      </c>
      <c r="R3" s="485" t="s">
        <v>204</v>
      </c>
      <c r="S3" s="485" t="s">
        <v>205</v>
      </c>
      <c r="T3" s="485" t="s">
        <v>206</v>
      </c>
      <c r="U3" s="485" t="s">
        <v>207</v>
      </c>
      <c r="V3" s="485" t="s">
        <v>208</v>
      </c>
      <c r="W3" s="156" t="s">
        <v>209</v>
      </c>
      <c r="X3" s="158" t="s">
        <v>210</v>
      </c>
      <c r="Y3" s="158" t="s">
        <v>211</v>
      </c>
      <c r="Z3" s="158" t="s">
        <v>212</v>
      </c>
      <c r="AA3" s="158" t="s">
        <v>213</v>
      </c>
      <c r="AB3" s="158" t="s">
        <v>214</v>
      </c>
      <c r="AC3" s="156" t="s">
        <v>215</v>
      </c>
      <c r="AD3" s="156" t="s">
        <v>216</v>
      </c>
      <c r="AE3" s="156" t="s">
        <v>217</v>
      </c>
      <c r="AF3" s="156" t="s">
        <v>270</v>
      </c>
      <c r="AG3" s="156" t="s">
        <v>271</v>
      </c>
      <c r="AH3" s="156" t="s">
        <v>272</v>
      </c>
      <c r="AI3" s="156" t="s">
        <v>273</v>
      </c>
      <c r="AJ3" s="156" t="s">
        <v>274</v>
      </c>
      <c r="AK3" s="156" t="s">
        <v>275</v>
      </c>
      <c r="AL3" s="156" t="s">
        <v>276</v>
      </c>
      <c r="AM3" s="156" t="s">
        <v>277</v>
      </c>
      <c r="AN3" s="156" t="s">
        <v>278</v>
      </c>
      <c r="AO3" s="156" t="s">
        <v>279</v>
      </c>
      <c r="AP3" s="156" t="s">
        <v>280</v>
      </c>
      <c r="AQ3" s="156" t="s">
        <v>281</v>
      </c>
      <c r="AR3" s="156" t="s">
        <v>282</v>
      </c>
      <c r="AS3" s="156" t="s">
        <v>283</v>
      </c>
      <c r="AT3" s="156" t="s">
        <v>30</v>
      </c>
      <c r="AU3" s="156" t="s">
        <v>232</v>
      </c>
      <c r="AV3" s="156" t="s">
        <v>284</v>
      </c>
      <c r="AW3" s="156" t="s">
        <v>95</v>
      </c>
      <c r="AX3" s="156" t="s">
        <v>96</v>
      </c>
      <c r="AY3" s="156" t="s">
        <v>97</v>
      </c>
      <c r="AZ3" s="156" t="s">
        <v>98</v>
      </c>
      <c r="BA3" s="193" t="s">
        <v>99</v>
      </c>
      <c r="BB3" s="193" t="s">
        <v>100</v>
      </c>
      <c r="BC3" s="193" t="s">
        <v>101</v>
      </c>
      <c r="BD3" s="158" t="s">
        <v>29</v>
      </c>
      <c r="BE3" s="158" t="s">
        <v>28</v>
      </c>
      <c r="BF3" s="32" t="s">
        <v>102</v>
      </c>
    </row>
    <row r="4" spans="1:60">
      <c r="A4" s="159" t="s">
        <v>31</v>
      </c>
      <c r="B4" s="140">
        <f>+'NCES-Private Grads-all races'!B5+'NCES-Public Grads-all races'!F6</f>
        <v>2295628</v>
      </c>
      <c r="C4" s="140">
        <f>+'NCES-Private Grads-all races'!C5+'NCES-Public Grads-all races'!G6</f>
        <v>2635100</v>
      </c>
      <c r="D4" s="140">
        <f>+'NCES-Private Grads-all races'!D5+'NCES-Public Grads-all races'!H6</f>
        <v>2684264.942857143</v>
      </c>
      <c r="E4" s="140">
        <f>+'NCES-Private Grads-all races'!E5+'NCES-Public Grads-all races'!I6</f>
        <v>2733429.8857142855</v>
      </c>
      <c r="F4" s="140">
        <f>+'NCES-Private Grads-all races'!F5+'NCES-Public Grads-all races'!J6</f>
        <v>2782594.828571429</v>
      </c>
      <c r="G4" s="140">
        <f>+'NCES-Private Grads-all races'!G5+'NCES-Public Grads-all races'!K6</f>
        <v>2831759.7714285711</v>
      </c>
      <c r="H4" s="140">
        <f>+'NCES-Private Grads-all races'!H5+'NCES-Public Grads-all races'!L6</f>
        <v>2880924.7142857141</v>
      </c>
      <c r="I4" s="140">
        <f>+'NCES-Private Grads-all races'!I5+'NCES-Public Grads-all races'!M6</f>
        <v>2933784.8571428573</v>
      </c>
      <c r="J4" s="140">
        <f>+'NCES-Private Grads-all races'!J5+'NCES-Public Grads-all races'!N6</f>
        <v>2999553</v>
      </c>
      <c r="K4" s="140">
        <f>+'NCES-Private Grads-all races'!K5+'NCES-Public Grads-all races'!O6</f>
        <v>3028822</v>
      </c>
      <c r="L4" s="140">
        <f>+'NCES-Private Grads-all races'!L5+'NCES-Public Grads-all races'!P6</f>
        <v>3063317</v>
      </c>
      <c r="M4" s="140">
        <f>+'NCES-Private Grads-all races'!M5+'NCES-Public Grads-all races'!Q6</f>
        <v>3132502</v>
      </c>
      <c r="N4" s="140">
        <f>+'NCES-Private Grads-all races'!N5+'NCES-Public Grads-all races'!R6</f>
        <v>3147129</v>
      </c>
      <c r="O4" s="140">
        <f>+'NCES-Private Grads-all races'!O5+'NCES-Public Grads-all races'!S6</f>
        <v>3147340</v>
      </c>
      <c r="P4" s="140">
        <f>+'NCES-Private Grads-all races'!P5+'NCES-Public Grads-all races'!T6</f>
        <v>3129481.3333333335</v>
      </c>
      <c r="Q4" s="140">
        <f>+'NCES-Private Grads-all races'!Q5+'NCES-Public Grads-all races'!U6</f>
        <v>3100842.6666666665</v>
      </c>
      <c r="R4" s="140">
        <f>+'NCES-Private Grads-all races'!R5+'NCES-Public Grads-all races'!V6</f>
        <v>3042214</v>
      </c>
      <c r="S4" s="140">
        <f>+'NCES-Private Grads-all races'!S5+'NCES-Public Grads-all races'!W6</f>
        <v>3018520.9444444445</v>
      </c>
      <c r="T4" s="140">
        <f>+'NCES-Private Grads-all races'!T5+'NCES-Public Grads-all races'!X6</f>
        <v>2996693.888888889</v>
      </c>
      <c r="U4" s="140">
        <f>+'NCES-Private Grads-all races'!U5+'NCES-Public Grads-all races'!Y6</f>
        <v>2888239.8333333335</v>
      </c>
      <c r="V4" s="140">
        <f>+'NCES-Private Grads-all races'!V5+'NCES-Public Grads-all races'!Z6</f>
        <v>2784132.777777778</v>
      </c>
      <c r="W4" s="140">
        <f>+'NCES-Private Grads-all races'!W5+'NCES-Public Grads-all races'!AA6</f>
        <v>2701952.722222222</v>
      </c>
      <c r="X4" s="140">
        <f>+'NCES-Private Grads-all races'!X5+'NCES-Public Grads-all races'!AB6</f>
        <v>2669351.6666666665</v>
      </c>
      <c r="Y4" s="140">
        <f>+'NCES-Private Grads-all races'!Y5+'NCES-Public Grads-all races'!AC6</f>
        <v>2714238.611111111</v>
      </c>
      <c r="Z4" s="140">
        <f>+'NCES-Private Grads-all races'!Z5+'NCES-Public Grads-all races'!AD6</f>
        <v>2784326.5555555555</v>
      </c>
      <c r="AA4" s="140">
        <f>+'NCES-Private Grads-all races'!AA5+'NCES-Public Grads-all races'!AE6</f>
        <v>2741635.5</v>
      </c>
      <c r="AB4" s="140">
        <f>+'NCES-Private Grads-all races'!AB5+'NCES-Public Grads-all races'!AF6</f>
        <v>2590803.25</v>
      </c>
      <c r="AC4" s="140">
        <f>+'NCES-Private Grads-all races'!AC5+'NCES-Public Grads-all races'!AG6</f>
        <v>2492990</v>
      </c>
      <c r="AD4" s="140">
        <f>+'NCES-Private Grads-all races'!AD5+'NCES-Public Grads-all races'!AH6</f>
        <v>2484113</v>
      </c>
      <c r="AE4" s="140">
        <f>+'NCES-Private Grads-all races'!AE5+'NCES-Public Grads-all races'!AI6</f>
        <v>2480521</v>
      </c>
      <c r="AF4" s="140">
        <f>+'NCES-Private Grads-all races'!AF5+'NCES-Public Grads-all races'!AJ6</f>
        <v>2467261</v>
      </c>
      <c r="AG4" s="140">
        <f>+'NCES-Private Grads-all races'!AG5+'NCES-Public Grads-all races'!AK6</f>
        <v>2519085</v>
      </c>
      <c r="AH4" s="140">
        <f>+'NCES-Private Grads-all races'!AH5+'NCES-Public Grads-all races'!AL6</f>
        <v>2523111</v>
      </c>
      <c r="AI4" s="140">
        <f>+'NCES-Private Grads-all races'!AI5+'NCES-Public Grads-all races'!AM6</f>
        <v>2611986</v>
      </c>
      <c r="AJ4" s="140">
        <f>+'NCES-Private Grads-all races'!AJ5+'NCES-Public Grads-all races'!AN6</f>
        <v>2702353.5</v>
      </c>
      <c r="AK4" s="140">
        <f>+'NCES-Private Grads-all races'!AK5+'NCES-Public Grads-all races'!AO6</f>
        <v>2758654</v>
      </c>
      <c r="AL4" s="140">
        <f>+'NCES-Private Grads-all races'!AL5+'NCES-Public Grads-all races'!AP6</f>
        <v>2835904</v>
      </c>
      <c r="AM4" s="140">
        <f>+'NCES-Private Grads-all races'!AM5+'NCES-Public Grads-all races'!AQ6</f>
        <v>2847969</v>
      </c>
      <c r="AN4" s="140">
        <f>+'NCES-Private Grads-all races'!AN5+'NCES-Public Grads-all races'!AR6</f>
        <v>2908808.5</v>
      </c>
      <c r="AO4" s="140">
        <f>+'NCES-Private Grads-all races'!AO5+'NCES-Public Grads-all races'!AS6</f>
        <v>3015727</v>
      </c>
      <c r="AP4" s="140">
        <f>+'NCES-Private Grads-all races'!AP5+'NCES-Public Grads-all races'!AT6</f>
        <v>3053643</v>
      </c>
      <c r="AQ4" s="140">
        <f>+'NCES-Private Grads-all races'!AQ5+'NCES-Public Grads-all races'!AU6</f>
        <v>3103880</v>
      </c>
      <c r="AR4" s="140">
        <f>+'NCES-Private Grads-all races'!AR5+'NCES-Public Grads-all races'!AV6</f>
        <v>3121119</v>
      </c>
      <c r="AS4" s="140">
        <f>+'NCES-Private Grads-all races'!AS5+'NCES-Public Grads-all races'!AW6</f>
        <v>3199565</v>
      </c>
      <c r="AT4" s="140">
        <f>+'NCES-Private Grads-all races'!AT5+'NCES-Public Grads-all races'!AX6</f>
        <v>3309012</v>
      </c>
      <c r="AU4" s="140">
        <f>+'NCES-Private Grads-all races'!AU5+'NCES-Public Grads-all races'!AY6</f>
        <v>3347845</v>
      </c>
      <c r="AV4" s="140">
        <f>+'NCES-Private Grads-all races'!AV5+'NCES-Public Grads-all races'!AZ6</f>
        <v>3431262</v>
      </c>
      <c r="AW4" s="140">
        <f>+'NCES-Private Grads-all races'!AW5+'NCES-Public Grads-all races'!BA6</f>
        <v>3444000</v>
      </c>
      <c r="AX4" s="140">
        <f>+'NCES-Private Grads-all races'!AX5+'NCES-Public Grads-all races'!BB6</f>
        <v>3452320</v>
      </c>
      <c r="AY4" s="140">
        <f>+'NCES-Private Grads-all races'!AY5+'NCES-Public Grads-all races'!BC6</f>
        <v>3478027</v>
      </c>
      <c r="AZ4" s="140">
        <f>+'NCES-Private Grads-all races'!AZ5+'NCES-Public Grads-all races'!BD6</f>
        <v>3371127.1260000002</v>
      </c>
      <c r="BA4" s="140">
        <f>+'NCES-Private Grads-all races'!BA5+'NCES-Public Grads-all races'!BE6</f>
        <v>3411334.8229999994</v>
      </c>
      <c r="BB4" s="140">
        <f>+'NCES-Private Grads-all races'!BB5+'NCES-Public Grads-all races'!BF6</f>
        <v>3467250.2760000001</v>
      </c>
      <c r="BC4" s="140">
        <f>+'NCES-Private Grads-all races'!BC5+'NCES-Public Grads-all races'!BG6</f>
        <v>3655919</v>
      </c>
      <c r="BD4" s="140">
        <f>+'NCES-Private Grads-all races'!BD5+'NCES-Public Grads-all races'!BH6</f>
        <v>3736631</v>
      </c>
      <c r="BE4" s="140">
        <f>+'NCES-Private Grads-all races'!BE5+'NCES-Public Grads-all races'!BI6</f>
        <v>3765725</v>
      </c>
      <c r="BF4" s="140">
        <f>+'NCES-Private Grads-all races'!BF5+'NCES-Public Grads-all races'!BJ6</f>
        <v>3730760</v>
      </c>
      <c r="BG4" s="510"/>
      <c r="BH4" s="510"/>
    </row>
    <row r="5" spans="1:60">
      <c r="A5" s="160" t="s">
        <v>32</v>
      </c>
      <c r="B5" s="141">
        <f>+'NCES-Private Grads-all races'!B6+'NCES-Public Grads-all races'!F7</f>
        <v>635600</v>
      </c>
      <c r="C5" s="141">
        <f>+'NCES-Private Grads-all races'!C6+'NCES-Public Grads-all races'!G7</f>
        <v>752322</v>
      </c>
      <c r="D5" s="141">
        <f>+'NCES-Private Grads-all races'!D6+'NCES-Public Grads-all races'!H7</f>
        <v>765293.51428571437</v>
      </c>
      <c r="E5" s="141">
        <f>+'NCES-Private Grads-all races'!E6+'NCES-Public Grads-all races'!I7</f>
        <v>778265.0285714285</v>
      </c>
      <c r="F5" s="141">
        <f>+'NCES-Private Grads-all races'!F6+'NCES-Public Grads-all races'!J7</f>
        <v>791236.54285714275</v>
      </c>
      <c r="G5" s="141">
        <f>+'NCES-Private Grads-all races'!G6+'NCES-Public Grads-all races'!K7</f>
        <v>804208.05714285711</v>
      </c>
      <c r="H5" s="141">
        <f>+'NCES-Private Grads-all races'!H6+'NCES-Public Grads-all races'!L7</f>
        <v>817179.57142857148</v>
      </c>
      <c r="I5" s="141">
        <f>+'NCES-Private Grads-all races'!I6+'NCES-Public Grads-all races'!M7</f>
        <v>834682.28571428568</v>
      </c>
      <c r="J5" s="141">
        <f>+'NCES-Private Grads-all races'!J6+'NCES-Public Grads-all races'!N7</f>
        <v>856393</v>
      </c>
      <c r="K5" s="141">
        <f>+'NCES-Private Grads-all races'!K6+'NCES-Public Grads-all races'!O7</f>
        <v>860654</v>
      </c>
      <c r="L5" s="141">
        <f>+'NCES-Private Grads-all races'!L6+'NCES-Public Grads-all races'!P7</f>
        <v>861799</v>
      </c>
      <c r="M5" s="141">
        <f>+'NCES-Private Grads-all races'!M6+'NCES-Public Grads-all races'!Q7</f>
        <v>902164</v>
      </c>
      <c r="N5" s="141">
        <f>+'NCES-Private Grads-all races'!N6+'NCES-Public Grads-all races'!R7</f>
        <v>916473</v>
      </c>
      <c r="O5" s="141">
        <f>+'NCES-Private Grads-all races'!O6+'NCES-Public Grads-all races'!S7</f>
        <v>921866</v>
      </c>
      <c r="P5" s="141">
        <f>+'NCES-Private Grads-all races'!P6+'NCES-Public Grads-all races'!T7</f>
        <v>928485.33333333337</v>
      </c>
      <c r="Q5" s="141">
        <f>+'NCES-Private Grads-all races'!Q6+'NCES-Public Grads-all races'!U7</f>
        <v>929484.66666666663</v>
      </c>
      <c r="R5" s="141">
        <f>+'NCES-Private Grads-all races'!R6+'NCES-Public Grads-all races'!V7</f>
        <v>930742</v>
      </c>
      <c r="S5" s="141">
        <f>+'NCES-Private Grads-all races'!S6+'NCES-Public Grads-all races'!W7</f>
        <v>933984.5</v>
      </c>
      <c r="T5" s="141">
        <f>+'NCES-Private Grads-all races'!T6+'NCES-Public Grads-all races'!X7</f>
        <v>936752</v>
      </c>
      <c r="U5" s="141">
        <f>+'NCES-Private Grads-all races'!U6+'NCES-Public Grads-all races'!Y7</f>
        <v>908861.5</v>
      </c>
      <c r="V5" s="141">
        <f>+'NCES-Private Grads-all races'!V6+'NCES-Public Grads-all races'!Z7</f>
        <v>879748</v>
      </c>
      <c r="W5" s="141">
        <f>+'NCES-Private Grads-all races'!W6+'NCES-Public Grads-all races'!AA7</f>
        <v>857451.5</v>
      </c>
      <c r="X5" s="141">
        <f>+'NCES-Private Grads-all races'!X6+'NCES-Public Grads-all races'!AB7</f>
        <v>859291</v>
      </c>
      <c r="Y5" s="141">
        <f>+'NCES-Private Grads-all races'!Y6+'NCES-Public Grads-all races'!AC7</f>
        <v>876043.5</v>
      </c>
      <c r="Z5" s="141">
        <f>+'NCES-Private Grads-all races'!Z6+'NCES-Public Grads-all races'!AD7</f>
        <v>902483</v>
      </c>
      <c r="AA5" s="141">
        <f>+'NCES-Private Grads-all races'!AA6+'NCES-Public Grads-all races'!AE7</f>
        <v>906555.5</v>
      </c>
      <c r="AB5" s="141">
        <f>+'NCES-Private Grads-all races'!AB6+'NCES-Public Grads-all races'!AF7</f>
        <v>863185.25</v>
      </c>
      <c r="AC5" s="141">
        <f>+'NCES-Private Grads-all races'!AC6+'NCES-Public Grads-all races'!AG7</f>
        <v>844623</v>
      </c>
      <c r="AD5" s="141">
        <f>+'NCES-Private Grads-all races'!AD6+'NCES-Public Grads-all races'!AH7</f>
        <v>827090</v>
      </c>
      <c r="AE5" s="141">
        <f>+'NCES-Private Grads-all races'!AE6+'NCES-Public Grads-all races'!AI7</f>
        <v>819540</v>
      </c>
      <c r="AF5" s="141">
        <f>+'NCES-Private Grads-all races'!AF6+'NCES-Public Grads-all races'!AJ7</f>
        <v>812177.5</v>
      </c>
      <c r="AG5" s="141">
        <f>+'NCES-Private Grads-all races'!AG6+'NCES-Public Grads-all races'!AK7</f>
        <v>834368</v>
      </c>
      <c r="AH5" s="141">
        <f>+'NCES-Private Grads-all races'!AH6+'NCES-Public Grads-all races'!AL7</f>
        <v>838877</v>
      </c>
      <c r="AI5" s="141">
        <f>+'NCES-Private Grads-all races'!AI6+'NCES-Public Grads-all races'!AM7</f>
        <v>858086</v>
      </c>
      <c r="AJ5" s="141">
        <f>+'NCES-Private Grads-all races'!AJ6+'NCES-Public Grads-all races'!AN7</f>
        <v>895414</v>
      </c>
      <c r="AK5" s="141">
        <f>+'NCES-Private Grads-all races'!AK6+'NCES-Public Grads-all races'!AO7</f>
        <v>914453</v>
      </c>
      <c r="AL5" s="141">
        <f>+'NCES-Private Grads-all races'!AL6+'NCES-Public Grads-all races'!AP7</f>
        <v>950451</v>
      </c>
      <c r="AM5" s="141">
        <f>+'NCES-Private Grads-all races'!AM6+'NCES-Public Grads-all races'!AQ7</f>
        <v>945781</v>
      </c>
      <c r="AN5" s="141">
        <f>+'NCES-Private Grads-all races'!AN6+'NCES-Public Grads-all races'!AR7</f>
        <v>972576</v>
      </c>
      <c r="AO5" s="141">
        <f>+'NCES-Private Grads-all races'!AO6+'NCES-Public Grads-all races'!AS7</f>
        <v>1015901</v>
      </c>
      <c r="AP5" s="141">
        <f>+'NCES-Private Grads-all races'!AP6+'NCES-Public Grads-all races'!AT7</f>
        <v>1033342</v>
      </c>
      <c r="AQ5" s="141">
        <f>+'NCES-Private Grads-all races'!AQ6+'NCES-Public Grads-all races'!AU7</f>
        <v>1041405</v>
      </c>
      <c r="AR5" s="141">
        <f>+'NCES-Private Grads-all races'!AR6+'NCES-Public Grads-all races'!AV7</f>
        <v>1051877</v>
      </c>
      <c r="AS5" s="141">
        <f>+'NCES-Private Grads-all races'!AS6+'NCES-Public Grads-all races'!AW7</f>
        <v>1078277</v>
      </c>
      <c r="AT5" s="141">
        <f>+'NCES-Private Grads-all races'!AT6+'NCES-Public Grads-all races'!AX7</f>
        <v>1123816</v>
      </c>
      <c r="AU5" s="141">
        <f>+'NCES-Private Grads-all races'!AU6+'NCES-Public Grads-all races'!AY7</f>
        <v>1161123</v>
      </c>
      <c r="AV5" s="141">
        <f>+'NCES-Private Grads-all races'!AV6+'NCES-Public Grads-all races'!AZ7</f>
        <v>1197508</v>
      </c>
      <c r="AW5" s="141">
        <f>+'NCES-Private Grads-all races'!AW6+'NCES-Public Grads-all races'!BA7</f>
        <v>1212247</v>
      </c>
      <c r="AX5" s="141">
        <f>+'NCES-Private Grads-all races'!AX6+'NCES-Public Grads-all races'!BB7</f>
        <v>1216310</v>
      </c>
      <c r="AY5" s="141">
        <f>+'NCES-Private Grads-all races'!AY6+'NCES-Public Grads-all races'!BC7</f>
        <v>1236234</v>
      </c>
      <c r="AZ5" s="141">
        <f>+'NCES-Private Grads-all races'!AZ6+'NCES-Public Grads-all races'!BD7</f>
        <v>1215064.8159999999</v>
      </c>
      <c r="BA5" s="141">
        <f>+'NCES-Private Grads-all races'!BA6+'NCES-Public Grads-all races'!BE7</f>
        <v>1252312.4879999999</v>
      </c>
      <c r="BB5" s="141">
        <f>+'NCES-Private Grads-all races'!BB6+'NCES-Public Grads-all races'!BF7</f>
        <v>1284743.2789999999</v>
      </c>
      <c r="BC5" s="141">
        <f>+'NCES-Private Grads-all races'!BC6+'NCES-Public Grads-all races'!BG7</f>
        <v>1362002</v>
      </c>
      <c r="BD5" s="141">
        <f>+'NCES-Private Grads-all races'!BD6+'NCES-Public Grads-all races'!BH7</f>
        <v>1401553</v>
      </c>
      <c r="BE5" s="141">
        <f>+'NCES-Private Grads-all races'!BE6+'NCES-Public Grads-all races'!BI7</f>
        <v>1419581</v>
      </c>
      <c r="BF5" s="140">
        <f>+'NCES-Private Grads-all races'!BF6+'NCES-Public Grads-all races'!BJ7</f>
        <v>1407400</v>
      </c>
      <c r="BG5" s="510"/>
      <c r="BH5" s="510"/>
    </row>
    <row r="6" spans="1:60">
      <c r="A6" s="16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0">
        <f>+'NCES-Private Grads-all races'!BF7+'NCES-Public Grads-all races'!BJ8</f>
        <v>0</v>
      </c>
    </row>
    <row r="7" spans="1:60">
      <c r="A7" s="160" t="s">
        <v>33</v>
      </c>
      <c r="B7" s="141">
        <f>+'NCES-Private Grads-all races'!B8+'NCES-Public Grads-all races'!F9</f>
        <v>37738</v>
      </c>
      <c r="C7" s="141">
        <f>+'NCES-Private Grads-all races'!C8+'NCES-Public Grads-all races'!G9</f>
        <v>46904</v>
      </c>
      <c r="D7" s="141">
        <f>+'NCES-Private Grads-all races'!D8+'NCES-Public Grads-all races'!H9</f>
        <v>46907.828571428574</v>
      </c>
      <c r="E7" s="141">
        <f>+'NCES-Private Grads-all races'!E8+'NCES-Public Grads-all races'!I9</f>
        <v>46911.657142857148</v>
      </c>
      <c r="F7" s="141">
        <f>+'NCES-Private Grads-all races'!F8+'NCES-Public Grads-all races'!J9</f>
        <v>46915.485714285722</v>
      </c>
      <c r="G7" s="141">
        <f>+'NCES-Private Grads-all races'!G8+'NCES-Public Grads-all races'!K9</f>
        <v>46919.314285714288</v>
      </c>
      <c r="H7" s="141">
        <f>+'NCES-Private Grads-all races'!H8+'NCES-Public Grads-all races'!L9</f>
        <v>46923.142857142855</v>
      </c>
      <c r="I7" s="141">
        <f>+'NCES-Private Grads-all races'!I8+'NCES-Public Grads-all races'!M9</f>
        <v>46390.571428571428</v>
      </c>
      <c r="J7" s="141">
        <f>+'NCES-Private Grads-all races'!J8+'NCES-Public Grads-all races'!N9</f>
        <v>46506</v>
      </c>
      <c r="K7" s="141">
        <f>+'NCES-Private Grads-all races'!K8+'NCES-Public Grads-all races'!O9</f>
        <v>46141</v>
      </c>
      <c r="L7" s="141">
        <f>+'NCES-Private Grads-all races'!L8+'NCES-Public Grads-all races'!P9</f>
        <v>47202</v>
      </c>
      <c r="M7" s="141">
        <f>+'NCES-Private Grads-all races'!M8+'NCES-Public Grads-all races'!Q9</f>
        <v>50033</v>
      </c>
      <c r="N7" s="141">
        <f>+'NCES-Private Grads-all races'!N8+'NCES-Public Grads-all races'!R9</f>
        <v>50695</v>
      </c>
      <c r="O7" s="141">
        <f>+'NCES-Private Grads-all races'!O8+'NCES-Public Grads-all races'!S9</f>
        <v>50763</v>
      </c>
      <c r="P7" s="141">
        <f>+'NCES-Private Grads-all races'!P8+'NCES-Public Grads-all races'!T9</f>
        <v>50468</v>
      </c>
      <c r="Q7" s="141">
        <f>+'NCES-Private Grads-all races'!Q8+'NCES-Public Grads-all races'!U9</f>
        <v>51055</v>
      </c>
      <c r="R7" s="141">
        <f>+'NCES-Private Grads-all races'!R8+'NCES-Public Grads-all races'!V9</f>
        <v>49067</v>
      </c>
      <c r="S7" s="141">
        <f>+'NCES-Private Grads-all races'!S8+'NCES-Public Grads-all races'!W9</f>
        <v>48728.666666666664</v>
      </c>
      <c r="T7" s="141">
        <f>+'NCES-Private Grads-all races'!T8+'NCES-Public Grads-all races'!X9</f>
        <v>49201.333333333336</v>
      </c>
      <c r="U7" s="141">
        <f>+'NCES-Private Grads-all races'!U8+'NCES-Public Grads-all races'!Y9</f>
        <v>48102</v>
      </c>
      <c r="V7" s="141">
        <f>+'NCES-Private Grads-all races'!V8+'NCES-Public Grads-all races'!Z9</f>
        <v>45728.666666666664</v>
      </c>
      <c r="W7" s="141">
        <f>+'NCES-Private Grads-all races'!W8+'NCES-Public Grads-all races'!AA9</f>
        <v>43667.333333333336</v>
      </c>
      <c r="X7" s="141">
        <f>+'NCES-Private Grads-all races'!X8+'NCES-Public Grads-all races'!AB9</f>
        <v>43243</v>
      </c>
      <c r="Y7" s="141">
        <f>+'NCES-Private Grads-all races'!Y8+'NCES-Public Grads-all races'!AC9</f>
        <v>46043.666666666664</v>
      </c>
      <c r="Z7" s="141">
        <f>+'NCES-Private Grads-all races'!Z8+'NCES-Public Grads-all races'!AD9</f>
        <v>47337.333333333328</v>
      </c>
      <c r="AA7" s="141">
        <f>+'NCES-Private Grads-all races'!AA8+'NCES-Public Grads-all races'!AE9</f>
        <v>46933</v>
      </c>
      <c r="AB7" s="141">
        <f>+'NCES-Private Grads-all races'!AB8+'NCES-Public Grads-all races'!AF9</f>
        <v>44159.5</v>
      </c>
      <c r="AC7" s="141">
        <f>+'NCES-Private Grads-all races'!AC8+'NCES-Public Grads-all races'!AG9</f>
        <v>42895</v>
      </c>
      <c r="AD7" s="141">
        <f>+'NCES-Private Grads-all races'!AD8+'NCES-Public Grads-all races'!AH9</f>
        <v>42533</v>
      </c>
      <c r="AE7" s="141">
        <f>+'NCES-Private Grads-all races'!AE8+'NCES-Public Grads-all races'!AI9</f>
        <v>40181</v>
      </c>
      <c r="AF7" s="141">
        <f>+'NCES-Private Grads-all races'!AF8+'NCES-Public Grads-all races'!AJ9</f>
        <v>38324.5</v>
      </c>
      <c r="AG7" s="141">
        <f>+'NCES-Private Grads-all races'!AG8+'NCES-Public Grads-all races'!AK9</f>
        <v>39849</v>
      </c>
      <c r="AH7" s="141">
        <f>+'NCES-Private Grads-all races'!AH8+'NCES-Public Grads-all races'!AL9</f>
        <v>38993</v>
      </c>
      <c r="AI7" s="141">
        <f>+'NCES-Private Grads-all races'!AI8+'NCES-Public Grads-all races'!AM9</f>
        <v>39770</v>
      </c>
      <c r="AJ7" s="141">
        <f>+'NCES-Private Grads-all races'!AJ8+'NCES-Public Grads-all races'!AN9</f>
        <v>42330.5</v>
      </c>
      <c r="AK7" s="141">
        <f>+'NCES-Private Grads-all races'!AK8+'NCES-Public Grads-all races'!AO9</f>
        <v>40568</v>
      </c>
      <c r="AL7" s="141">
        <f>+'NCES-Private Grads-all races'!AL8+'NCES-Public Grads-all races'!AP9</f>
        <v>42384</v>
      </c>
      <c r="AM7" s="141">
        <f>+'NCES-Private Grads-all races'!AM8+'NCES-Public Grads-all races'!AQ9</f>
        <v>41316</v>
      </c>
      <c r="AN7" s="141">
        <f>+'NCES-Private Grads-all races'!AN8+'NCES-Public Grads-all races'!AR9</f>
        <v>40994</v>
      </c>
      <c r="AO7" s="141">
        <f>+'NCES-Private Grads-all races'!AO8+'NCES-Public Grads-all races'!AS9</f>
        <v>42721</v>
      </c>
      <c r="AP7" s="141">
        <f>+'NCES-Private Grads-all races'!AP8+'NCES-Public Grads-all races'!AT9</f>
        <v>42049</v>
      </c>
      <c r="AQ7" s="141">
        <f>+'NCES-Private Grads-all races'!AQ8+'NCES-Public Grads-all races'!AU9</f>
        <v>42643</v>
      </c>
      <c r="AR7" s="141">
        <f>+'NCES-Private Grads-all races'!AR8+'NCES-Public Grads-all races'!AV9</f>
        <v>42803</v>
      </c>
      <c r="AS7" s="141">
        <f>+'NCES-Private Grads-all races'!AS8+'NCES-Public Grads-all races'!AW9</f>
        <v>43492</v>
      </c>
      <c r="AT7" s="141">
        <f>+'NCES-Private Grads-all races'!AT8+'NCES-Public Grads-all races'!AX9</f>
        <v>46276</v>
      </c>
      <c r="AU7" s="141">
        <f>+'NCES-Private Grads-all races'!AU8+'NCES-Public Grads-all races'!AY9</f>
        <v>47362</v>
      </c>
      <c r="AV7" s="141">
        <f>+'NCES-Private Grads-all races'!AV8+'NCES-Public Grads-all races'!AZ9</f>
        <v>48166</v>
      </c>
      <c r="AW7" s="141">
        <f>+'NCES-Private Grads-all races'!AW8+'NCES-Public Grads-all races'!BA9</f>
        <v>50755</v>
      </c>
      <c r="AX7" s="141">
        <f>+'NCES-Private Grads-all races'!AX8+'NCES-Public Grads-all races'!BB9</f>
        <v>50139</v>
      </c>
      <c r="AY7" s="141">
        <f>+'NCES-Private Grads-all races'!AY8+'NCES-Public Grads-all races'!BC9</f>
        <v>49003</v>
      </c>
      <c r="AZ7" s="141">
        <f>+'NCES-Private Grads-all races'!AZ8+'NCES-Public Grads-all races'!BD9</f>
        <v>51679.432999999997</v>
      </c>
      <c r="BA7" s="141">
        <f>+'NCES-Private Grads-all races'!BA8+'NCES-Public Grads-all races'!BE9</f>
        <v>53372.249000000003</v>
      </c>
      <c r="BB7" s="141">
        <f>+'NCES-Private Grads-all races'!BB8+'NCES-Public Grads-all races'!BF9</f>
        <v>53798.142999999996</v>
      </c>
      <c r="BC7" s="141">
        <f>+'NCES-Private Grads-all races'!BC8+'NCES-Public Grads-all races'!BG9</f>
        <v>54536</v>
      </c>
      <c r="BD7" s="141">
        <f>+'NCES-Private Grads-all races'!BD8+'NCES-Public Grads-all races'!BH9</f>
        <v>55118</v>
      </c>
      <c r="BE7" s="141">
        <f>+'NCES-Private Grads-all races'!BE8+'NCES-Public Grads-all races'!BI9</f>
        <v>54078</v>
      </c>
      <c r="BF7" s="140">
        <f>+'NCES-Private Grads-all races'!BF8+'NCES-Public Grads-all races'!BJ9</f>
        <v>52550</v>
      </c>
      <c r="BG7" s="76"/>
    </row>
    <row r="8" spans="1:60">
      <c r="A8" s="160" t="s">
        <v>34</v>
      </c>
      <c r="B8" s="141">
        <f>+'NCES-Private Grads-all races'!B9+'NCES-Public Grads-all races'!F10</f>
        <v>23534</v>
      </c>
      <c r="C8" s="141">
        <f>+'NCES-Private Grads-all races'!C9+'NCES-Public Grads-all races'!G10</f>
        <v>26094</v>
      </c>
      <c r="D8" s="141">
        <f>+'NCES-Private Grads-all races'!D9+'NCES-Public Grads-all races'!H10</f>
        <v>26228.799999999999</v>
      </c>
      <c r="E8" s="141">
        <f>+'NCES-Private Grads-all races'!E9+'NCES-Public Grads-all races'!I10</f>
        <v>26363.599999999999</v>
      </c>
      <c r="F8" s="141">
        <f>+'NCES-Private Grads-all races'!F9+'NCES-Public Grads-all races'!J10</f>
        <v>26498.399999999998</v>
      </c>
      <c r="G8" s="141">
        <f>+'NCES-Private Grads-all races'!G9+'NCES-Public Grads-all races'!K10</f>
        <v>26633.199999999997</v>
      </c>
      <c r="H8" s="141">
        <f>+'NCES-Private Grads-all races'!H9+'NCES-Public Grads-all races'!L10</f>
        <v>26768</v>
      </c>
      <c r="I8" s="141">
        <f>+'NCES-Private Grads-all races'!I9+'NCES-Public Grads-all races'!M10</f>
        <v>26665</v>
      </c>
      <c r="J8" s="141">
        <f>+'NCES-Private Grads-all races'!J9+'NCES-Public Grads-all races'!N10</f>
        <v>26592</v>
      </c>
      <c r="K8" s="141">
        <f>+'NCES-Private Grads-all races'!K9+'NCES-Public Grads-all races'!O10</f>
        <v>26405</v>
      </c>
      <c r="L8" s="141">
        <f>+'NCES-Private Grads-all races'!L9+'NCES-Public Grads-all races'!P10</f>
        <v>25084</v>
      </c>
      <c r="M8" s="141">
        <f>+'NCES-Private Grads-all races'!M9+'NCES-Public Grads-all races'!Q10</f>
        <v>27636</v>
      </c>
      <c r="N8" s="141">
        <f>+'NCES-Private Grads-all races'!N9+'NCES-Public Grads-all races'!R10</f>
        <v>27929</v>
      </c>
      <c r="O8" s="141">
        <f>+'NCES-Private Grads-all races'!O9+'NCES-Public Grads-all races'!S10</f>
        <v>28528</v>
      </c>
      <c r="P8" s="141">
        <f>+'NCES-Private Grads-all races'!P9+'NCES-Public Grads-all races'!T10</f>
        <v>29035.333333333332</v>
      </c>
      <c r="Q8" s="141">
        <f>+'NCES-Private Grads-all races'!Q9+'NCES-Public Grads-all races'!U10</f>
        <v>29344.666666666668</v>
      </c>
      <c r="R8" s="141">
        <f>+'NCES-Private Grads-all races'!R9+'NCES-Public Grads-all races'!V10</f>
        <v>30166</v>
      </c>
      <c r="S8" s="141">
        <f>+'NCES-Private Grads-all races'!S9+'NCES-Public Grads-all races'!W10</f>
        <v>30669.444444444445</v>
      </c>
      <c r="T8" s="141">
        <f>+'NCES-Private Grads-all races'!T9+'NCES-Public Grads-all races'!X10</f>
        <v>30780.888888888891</v>
      </c>
      <c r="U8" s="141">
        <f>+'NCES-Private Grads-all races'!U9+'NCES-Public Grads-all races'!Y10</f>
        <v>29496.333333333332</v>
      </c>
      <c r="V8" s="141">
        <f>+'NCES-Private Grads-all races'!V9+'NCES-Public Grads-all races'!Z10</f>
        <v>28076.777777777777</v>
      </c>
      <c r="W8" s="141">
        <f>+'NCES-Private Grads-all races'!W9+'NCES-Public Grads-all races'!AA10</f>
        <v>27348.222222222223</v>
      </c>
      <c r="X8" s="141">
        <f>+'NCES-Private Grads-all races'!X9+'NCES-Public Grads-all races'!AB10</f>
        <v>27211.666666666668</v>
      </c>
      <c r="Y8" s="141">
        <f>+'NCES-Private Grads-all races'!Y9+'NCES-Public Grads-all races'!AC10</f>
        <v>28064.111111111109</v>
      </c>
      <c r="Z8" s="141">
        <f>+'NCES-Private Grads-all races'!Z9+'NCES-Public Grads-all races'!AD10</f>
        <v>28717.555555555555</v>
      </c>
      <c r="AA8" s="141">
        <f>+'NCES-Private Grads-all races'!AA9+'NCES-Public Grads-all races'!AE10</f>
        <v>28840</v>
      </c>
      <c r="AB8" s="141">
        <f>+'NCES-Private Grads-all races'!AB9+'NCES-Public Grads-all races'!AF10</f>
        <v>27407</v>
      </c>
      <c r="AC8" s="141">
        <f>+'NCES-Private Grads-all races'!AC9+'NCES-Public Grads-all races'!AG10</f>
        <v>26612</v>
      </c>
      <c r="AD8" s="141">
        <f>+'NCES-Private Grads-all races'!AD9+'NCES-Public Grads-all races'!AH10</f>
        <v>26789</v>
      </c>
      <c r="AE8" s="141">
        <f>+'NCES-Private Grads-all races'!AE9+'NCES-Public Grads-all races'!AI10</f>
        <v>26678</v>
      </c>
      <c r="AF8" s="141">
        <f>+'NCES-Private Grads-all races'!AF9+'NCES-Public Grads-all races'!AJ10</f>
        <v>26042</v>
      </c>
      <c r="AG8" s="141">
        <f>+'NCES-Private Grads-all races'!AG9+'NCES-Public Grads-all races'!AK10</f>
        <v>25717</v>
      </c>
      <c r="AH8" s="141">
        <f>+'NCES-Private Grads-all races'!AH9+'NCES-Public Grads-all races'!AL10</f>
        <v>26199</v>
      </c>
      <c r="AI8" s="141">
        <f>+'NCES-Private Grads-all races'!AI9+'NCES-Public Grads-all races'!AM10</f>
        <v>26400</v>
      </c>
      <c r="AJ8" s="141">
        <f>+'NCES-Private Grads-all races'!AJ9+'NCES-Public Grads-all races'!AN10</f>
        <v>28142</v>
      </c>
      <c r="AK8" s="141">
        <f>+'NCES-Private Grads-all races'!AK9+'NCES-Public Grads-all races'!AO10</f>
        <v>28216</v>
      </c>
      <c r="AL8" s="141">
        <f>+'NCES-Private Grads-all races'!AL9+'NCES-Public Grads-all races'!AP10</f>
        <v>28629</v>
      </c>
      <c r="AM8" s="141">
        <f>+'NCES-Private Grads-all races'!AM9+'NCES-Public Grads-all races'!AQ10</f>
        <v>28336</v>
      </c>
      <c r="AN8" s="141">
        <f>+'NCES-Private Grads-all races'!AN9+'NCES-Public Grads-all races'!AR10</f>
        <v>28252</v>
      </c>
      <c r="AO8" s="141">
        <f>+'NCES-Private Grads-all races'!AO9+'NCES-Public Grads-all races'!AS10</f>
        <v>28855</v>
      </c>
      <c r="AP8" s="141">
        <f>+'NCES-Private Grads-all races'!AP9+'NCES-Public Grads-all races'!AT10</f>
        <v>28501</v>
      </c>
      <c r="AQ8" s="141">
        <f>+'NCES-Private Grads-all races'!AQ9+'NCES-Public Grads-all races'!AU10</f>
        <v>27961</v>
      </c>
      <c r="AR8" s="141">
        <f>+'NCES-Private Grads-all races'!AR9+'NCES-Public Grads-all races'!AV10</f>
        <v>30150</v>
      </c>
      <c r="AS8" s="141">
        <f>+'NCES-Private Grads-all races'!AS9+'NCES-Public Grads-all races'!AW10</f>
        <v>28546</v>
      </c>
      <c r="AT8" s="141">
        <f>+'NCES-Private Grads-all races'!AT9+'NCES-Public Grads-all races'!AX10</f>
        <v>30080</v>
      </c>
      <c r="AU8" s="141">
        <f>+'NCES-Private Grads-all races'!AU9+'NCES-Public Grads-all races'!AY10</f>
        <v>29387</v>
      </c>
      <c r="AV8" s="141">
        <f>+'NCES-Private Grads-all races'!AV9+'NCES-Public Grads-all races'!AZ10</f>
        <v>29686</v>
      </c>
      <c r="AW8" s="141">
        <f>+'NCES-Private Grads-all races'!AW9+'NCES-Public Grads-all races'!BA10</f>
        <v>29695</v>
      </c>
      <c r="AX8" s="141">
        <f>+'NCES-Private Grads-all races'!AX9+'NCES-Public Grads-all races'!BB10</f>
        <v>29964</v>
      </c>
      <c r="AY8" s="141">
        <f>+'NCES-Private Grads-all races'!AY9+'NCES-Public Grads-all races'!BC10</f>
        <v>30528</v>
      </c>
      <c r="AZ8" s="141">
        <f>+'NCES-Private Grads-all races'!AZ9+'NCES-Public Grads-all races'!BD10</f>
        <v>31612.718000000004</v>
      </c>
      <c r="BA8" s="141">
        <f>+'NCES-Private Grads-all races'!BA9+'NCES-Public Grads-all races'!BE10</f>
        <v>32179.767000000003</v>
      </c>
      <c r="BB8" s="141">
        <f>+'NCES-Private Grads-all races'!BB9+'NCES-Public Grads-all races'!BF10</f>
        <v>32678.94</v>
      </c>
      <c r="BC8" s="141">
        <f>+'NCES-Private Grads-all races'!BC9+'NCES-Public Grads-all races'!BG10</f>
        <v>33013</v>
      </c>
      <c r="BD8" s="141">
        <f>+'NCES-Private Grads-all races'!BD9+'NCES-Public Grads-all races'!BH10</f>
        <v>33429</v>
      </c>
      <c r="BE8" s="141">
        <f>+'NCES-Private Grads-all races'!BE9+'NCES-Public Grads-all races'!BI10</f>
        <v>33841</v>
      </c>
      <c r="BF8" s="140">
        <f>+'NCES-Private Grads-all races'!BF9+'NCES-Public Grads-all races'!BJ10</f>
        <v>33790</v>
      </c>
    </row>
    <row r="9" spans="1:60">
      <c r="A9" s="160" t="s">
        <v>35</v>
      </c>
      <c r="B9" s="141">
        <f>+'NCES-Private Grads-all races'!B10+'NCES-Public Grads-all races'!F11</f>
        <v>5806</v>
      </c>
      <c r="C9" s="141">
        <f>+'NCES-Private Grads-all races'!C10+'NCES-Public Grads-all races'!G11</f>
        <v>6857</v>
      </c>
      <c r="D9" s="141">
        <f>+'NCES-Private Grads-all races'!D10+'NCES-Public Grads-all races'!H11</f>
        <v>7075.1714285714288</v>
      </c>
      <c r="E9" s="141">
        <f>+'NCES-Private Grads-all races'!E10+'NCES-Public Grads-all races'!I11</f>
        <v>7293.3428571428576</v>
      </c>
      <c r="F9" s="141">
        <f>+'NCES-Private Grads-all races'!F10+'NCES-Public Grads-all races'!J11</f>
        <v>7511.5142857142864</v>
      </c>
      <c r="G9" s="141">
        <f>+'NCES-Private Grads-all races'!G10+'NCES-Public Grads-all races'!K11</f>
        <v>7729.6857142857152</v>
      </c>
      <c r="H9" s="141">
        <f>+'NCES-Private Grads-all races'!H10+'NCES-Public Grads-all races'!L11</f>
        <v>7947.8571428571431</v>
      </c>
      <c r="I9" s="141">
        <f>+'NCES-Private Grads-all races'!I10+'NCES-Public Grads-all races'!M11</f>
        <v>8323.4285714285706</v>
      </c>
      <c r="J9" s="141">
        <f>+'NCES-Private Grads-all races'!J10+'NCES-Public Grads-all races'!N11</f>
        <v>8666</v>
      </c>
      <c r="K9" s="141">
        <f>+'NCES-Private Grads-all races'!K10+'NCES-Public Grads-all races'!O11</f>
        <v>8733</v>
      </c>
      <c r="L9" s="141">
        <f>+'NCES-Private Grads-all races'!L10+'NCES-Public Grads-all races'!P11</f>
        <v>9165</v>
      </c>
      <c r="M9" s="141">
        <f>+'NCES-Private Grads-all races'!M10+'NCES-Public Grads-all races'!Q11</f>
        <v>9535</v>
      </c>
      <c r="N9" s="141">
        <f>+'NCES-Private Grads-all races'!N10+'NCES-Public Grads-all races'!R11</f>
        <v>9612</v>
      </c>
      <c r="O9" s="141">
        <f>+'NCES-Private Grads-all races'!O10+'NCES-Public Grads-all races'!S11</f>
        <v>9564</v>
      </c>
      <c r="P9" s="141">
        <f>+'NCES-Private Grads-all races'!P10+'NCES-Public Grads-all races'!T11</f>
        <v>9588</v>
      </c>
      <c r="Q9" s="141">
        <f>+'NCES-Private Grads-all races'!Q10+'NCES-Public Grads-all races'!U11</f>
        <v>9534</v>
      </c>
      <c r="R9" s="141">
        <f>+'NCES-Private Grads-all races'!R10+'NCES-Public Grads-all races'!V11</f>
        <v>9048</v>
      </c>
      <c r="S9" s="141">
        <f>+'NCES-Private Grads-all races'!S10+'NCES-Public Grads-all races'!W11</f>
        <v>8852.6666666666661</v>
      </c>
      <c r="T9" s="141">
        <f>+'NCES-Private Grads-all races'!T10+'NCES-Public Grads-all races'!X11</f>
        <v>8685.3333333333339</v>
      </c>
      <c r="U9" s="141">
        <f>+'NCES-Private Grads-all races'!U10+'NCES-Public Grads-all races'!Y11</f>
        <v>8503</v>
      </c>
      <c r="V9" s="141">
        <f>+'NCES-Private Grads-all races'!V10+'NCES-Public Grads-all races'!Z11</f>
        <v>8026.666666666667</v>
      </c>
      <c r="W9" s="141">
        <f>+'NCES-Private Grads-all races'!W10+'NCES-Public Grads-all races'!AA11</f>
        <v>7547.3333333333339</v>
      </c>
      <c r="X9" s="141">
        <f>+'NCES-Private Grads-all races'!X10+'NCES-Public Grads-all races'!AB11</f>
        <v>7483</v>
      </c>
      <c r="Y9" s="141">
        <f>+'NCES-Private Grads-all races'!Y10+'NCES-Public Grads-all races'!AC11</f>
        <v>7624.666666666667</v>
      </c>
      <c r="Z9" s="141">
        <f>+'NCES-Private Grads-all races'!Z10+'NCES-Public Grads-all races'!AD11</f>
        <v>7730.3333333333339</v>
      </c>
      <c r="AA9" s="141">
        <f>+'NCES-Private Grads-all races'!AA10+'NCES-Public Grads-all races'!AE11</f>
        <v>7909</v>
      </c>
      <c r="AB9" s="141">
        <f>+'NCES-Private Grads-all races'!AB10+'NCES-Public Grads-all races'!AF11</f>
        <v>7126</v>
      </c>
      <c r="AC9" s="141">
        <f>+'NCES-Private Grads-all races'!AC10+'NCES-Public Grads-all races'!AG11</f>
        <v>6570</v>
      </c>
      <c r="AD9" s="141">
        <f>+'NCES-Private Grads-all races'!AD10+'NCES-Public Grads-all races'!AH11</f>
        <v>6672</v>
      </c>
      <c r="AE9" s="141">
        <f>+'NCES-Private Grads-all races'!AE10+'NCES-Public Grads-all races'!AI11</f>
        <v>6938</v>
      </c>
      <c r="AF9" s="141">
        <f>+'NCES-Private Grads-all races'!AF10+'NCES-Public Grads-all races'!AJ11</f>
        <v>6671</v>
      </c>
      <c r="AG9" s="141">
        <f>+'NCES-Private Grads-all races'!AG10+'NCES-Public Grads-all races'!AK11</f>
        <v>6670</v>
      </c>
      <c r="AH9" s="141">
        <f>+'NCES-Private Grads-all races'!AH10+'NCES-Public Grads-all races'!AL11</f>
        <v>7075</v>
      </c>
      <c r="AI9" s="141">
        <f>+'NCES-Private Grads-all races'!AI10+'NCES-Public Grads-all races'!AM11</f>
        <v>7205</v>
      </c>
      <c r="AJ9" s="141">
        <f>+'NCES-Private Grads-all races'!AJ10+'NCES-Public Grads-all races'!AN11</f>
        <v>7640.5</v>
      </c>
      <c r="AK9" s="141">
        <f>+'NCES-Private Grads-all races'!AK10+'NCES-Public Grads-all races'!AO11</f>
        <v>7635</v>
      </c>
      <c r="AL9" s="141">
        <f>+'NCES-Private Grads-all races'!AL10+'NCES-Public Grads-all races'!AP11</f>
        <v>7758</v>
      </c>
      <c r="AM9" s="141">
        <f>+'NCES-Private Grads-all races'!AM10+'NCES-Public Grads-all races'!AQ11</f>
        <v>8148</v>
      </c>
      <c r="AN9" s="141">
        <f>+'NCES-Private Grads-all races'!AN10+'NCES-Public Grads-all races'!AR11</f>
        <v>7929</v>
      </c>
      <c r="AO9" s="141">
        <f>+'NCES-Private Grads-all races'!AO10+'NCES-Public Grads-all races'!AS11</f>
        <v>8177</v>
      </c>
      <c r="AP9" s="141">
        <f>+'NCES-Private Grads-all races'!AP10+'NCES-Public Grads-all races'!AT11</f>
        <v>8461</v>
      </c>
      <c r="AQ9" s="141">
        <f>+'NCES-Private Grads-all races'!AQ10+'NCES-Public Grads-all races'!AU11</f>
        <v>8594</v>
      </c>
      <c r="AR9" s="141">
        <f>+'NCES-Private Grads-all races'!AR10+'NCES-Public Grads-all races'!AV11</f>
        <v>9005</v>
      </c>
      <c r="AS9" s="141">
        <f>+'NCES-Private Grads-all races'!AS10+'NCES-Public Grads-all races'!AW11</f>
        <v>9005</v>
      </c>
      <c r="AT9" s="141">
        <f>+'NCES-Private Grads-all races'!AT10+'NCES-Public Grads-all races'!AX11</f>
        <v>9213</v>
      </c>
      <c r="AU9" s="141">
        <f>+'NCES-Private Grads-all races'!AU10+'NCES-Public Grads-all races'!AY11</f>
        <v>9689</v>
      </c>
      <c r="AV9" s="141">
        <f>+'NCES-Private Grads-all races'!AV10+'NCES-Public Grads-all races'!AZ11</f>
        <v>9943</v>
      </c>
      <c r="AW9" s="141">
        <f>+'NCES-Private Grads-all races'!AW10+'NCES-Public Grads-all races'!BA11</f>
        <v>9813</v>
      </c>
      <c r="AX9" s="141">
        <f>+'NCES-Private Grads-all races'!AX10+'NCES-Public Grads-all races'!BB11</f>
        <v>10027</v>
      </c>
      <c r="AY9" s="141">
        <f>+'NCES-Private Grads-all races'!AY10+'NCES-Public Grads-all races'!BC11</f>
        <v>9860</v>
      </c>
      <c r="AZ9" s="141">
        <f>+'NCES-Private Grads-all races'!AZ10+'NCES-Public Grads-all races'!BD11</f>
        <v>9683.01</v>
      </c>
      <c r="BA9" s="141">
        <f>+'NCES-Private Grads-all races'!BA10+'NCES-Public Grads-all races'!BE11</f>
        <v>9468.6479999999992</v>
      </c>
      <c r="BB9" s="141">
        <f>+'NCES-Private Grads-all races'!BB10+'NCES-Public Grads-all races'!BF11</f>
        <v>9636.64</v>
      </c>
      <c r="BC9" s="141">
        <f>+'NCES-Private Grads-all races'!BC10+'NCES-Public Grads-all races'!BG11</f>
        <v>10613</v>
      </c>
      <c r="BD9" s="141">
        <f>+'NCES-Private Grads-all races'!BD10+'NCES-Public Grads-all races'!BH11</f>
        <v>10543</v>
      </c>
      <c r="BE9" s="141">
        <f>+'NCES-Private Grads-all races'!BE10+'NCES-Public Grads-all races'!BI11</f>
        <v>10380</v>
      </c>
      <c r="BF9" s="140">
        <f>+'NCES-Private Grads-all races'!BF10+'NCES-Public Grads-all races'!BJ11</f>
        <v>10620</v>
      </c>
    </row>
    <row r="10" spans="1:60">
      <c r="A10" s="160" t="s">
        <v>36</v>
      </c>
      <c r="B10" s="141">
        <f>+'NCES-Private Grads-all races'!B11+'NCES-Public Grads-all races'!F12</f>
        <v>57011</v>
      </c>
      <c r="C10" s="141">
        <f>+'NCES-Private Grads-all races'!C11+'NCES-Public Grads-all races'!G12</f>
        <v>64400</v>
      </c>
      <c r="D10" s="141">
        <f>+'NCES-Private Grads-all races'!D11+'NCES-Public Grads-all races'!H12</f>
        <v>66227.600000000006</v>
      </c>
      <c r="E10" s="141">
        <f>+'NCES-Private Grads-all races'!E11+'NCES-Public Grads-all races'!I12</f>
        <v>68055.199999999997</v>
      </c>
      <c r="F10" s="141">
        <f>+'NCES-Private Grads-all races'!F11+'NCES-Public Grads-all races'!J12</f>
        <v>69882.8</v>
      </c>
      <c r="G10" s="141">
        <f>+'NCES-Private Grads-all races'!G11+'NCES-Public Grads-all races'!K12</f>
        <v>71710.400000000009</v>
      </c>
      <c r="H10" s="141">
        <f>+'NCES-Private Grads-all races'!H11+'NCES-Public Grads-all races'!L12</f>
        <v>73538</v>
      </c>
      <c r="I10" s="141">
        <f>+'NCES-Private Grads-all races'!I11+'NCES-Public Grads-all races'!M12</f>
        <v>76180</v>
      </c>
      <c r="J10" s="141">
        <f>+'NCES-Private Grads-all races'!J11+'NCES-Public Grads-all races'!N12</f>
        <v>81574</v>
      </c>
      <c r="K10" s="141">
        <f>+'NCES-Private Grads-all races'!K11+'NCES-Public Grads-all races'!O12</f>
        <v>84773</v>
      </c>
      <c r="L10" s="141">
        <f>+'NCES-Private Grads-all races'!L11+'NCES-Public Grads-all races'!P12</f>
        <v>77830</v>
      </c>
      <c r="M10" s="141">
        <f>+'NCES-Private Grads-all races'!M11+'NCES-Public Grads-all races'!Q12</f>
        <v>92881</v>
      </c>
      <c r="N10" s="141">
        <f>+'NCES-Private Grads-all races'!N11+'NCES-Public Grads-all races'!R12</f>
        <v>96444</v>
      </c>
      <c r="O10" s="141">
        <f>+'NCES-Private Grads-all races'!O11+'NCES-Public Grads-all races'!S12</f>
        <v>95137</v>
      </c>
      <c r="P10" s="141">
        <f>+'NCES-Private Grads-all races'!P11+'NCES-Public Grads-all races'!T12</f>
        <v>99731.333333333328</v>
      </c>
      <c r="Q10" s="141">
        <f>+'NCES-Private Grads-all races'!Q11+'NCES-Public Grads-all races'!U12</f>
        <v>96869.666666666672</v>
      </c>
      <c r="R10" s="141">
        <f>+'NCES-Private Grads-all races'!R11+'NCES-Public Grads-all races'!V12</f>
        <v>97679</v>
      </c>
      <c r="S10" s="141">
        <f>+'NCES-Private Grads-all races'!S11+'NCES-Public Grads-all races'!W12</f>
        <v>99242.777777777781</v>
      </c>
      <c r="T10" s="141">
        <f>+'NCES-Private Grads-all races'!T11+'NCES-Public Grads-all races'!X12</f>
        <v>101356.55555555556</v>
      </c>
      <c r="U10" s="141">
        <f>+'NCES-Private Grads-all races'!U11+'NCES-Public Grads-all races'!Y12</f>
        <v>97624.333333333328</v>
      </c>
      <c r="V10" s="141">
        <f>+'NCES-Private Grads-all races'!V11+'NCES-Public Grads-all races'!Z12</f>
        <v>96794.111111111109</v>
      </c>
      <c r="W10" s="141">
        <f>+'NCES-Private Grads-all races'!W11+'NCES-Public Grads-all races'!AA12</f>
        <v>92158.888888888891</v>
      </c>
      <c r="X10" s="141">
        <f>+'NCES-Private Grads-all races'!X11+'NCES-Public Grads-all races'!AB12</f>
        <v>94180.666666666657</v>
      </c>
      <c r="Y10" s="141">
        <f>+'NCES-Private Grads-all races'!Y11+'NCES-Public Grads-all races'!AC12</f>
        <v>93468.444444444438</v>
      </c>
      <c r="Z10" s="141">
        <f>+'NCES-Private Grads-all races'!Z11+'NCES-Public Grads-all races'!AD12</f>
        <v>100623.22222222222</v>
      </c>
      <c r="AA10" s="141">
        <f>+'NCES-Private Grads-all races'!AA11+'NCES-Public Grads-all races'!AE12</f>
        <v>102309</v>
      </c>
      <c r="AB10" s="141">
        <f>+'NCES-Private Grads-all races'!AB11+'NCES-Public Grads-all races'!AF12</f>
        <v>99655</v>
      </c>
      <c r="AC10" s="141">
        <f>+'NCES-Private Grads-all races'!AC11+'NCES-Public Grads-all races'!AG12</f>
        <v>97311</v>
      </c>
      <c r="AD10" s="141">
        <f>+'NCES-Private Grads-all races'!AD11+'NCES-Public Grads-all races'!AH12</f>
        <v>103566</v>
      </c>
      <c r="AE10" s="141">
        <f>+'NCES-Private Grads-all races'!AE11+'NCES-Public Grads-all races'!AI12</f>
        <v>99248</v>
      </c>
      <c r="AF10" s="141">
        <f>+'NCES-Private Grads-all races'!AF11+'NCES-Public Grads-all races'!AJ12</f>
        <v>98017.5</v>
      </c>
      <c r="AG10" s="141">
        <f>+'NCES-Private Grads-all races'!AG11+'NCES-Public Grads-all races'!AK12</f>
        <v>99978</v>
      </c>
      <c r="AH10" s="141">
        <f>+'NCES-Private Grads-all races'!AH11+'NCES-Public Grads-all races'!AL12</f>
        <v>99562</v>
      </c>
      <c r="AI10" s="141">
        <f>+'NCES-Private Grads-all races'!AI11+'NCES-Public Grads-all races'!AM12</f>
        <v>106207</v>
      </c>
      <c r="AJ10" s="141">
        <f>+'NCES-Private Grads-all races'!AJ11+'NCES-Public Grads-all races'!AN12</f>
        <v>110493.5</v>
      </c>
      <c r="AK10" s="141">
        <f>+'NCES-Private Grads-all races'!AK11+'NCES-Public Grads-all races'!AO12</f>
        <v>115252</v>
      </c>
      <c r="AL10" s="141">
        <f>+'NCES-Private Grads-all races'!AL11+'NCES-Public Grads-all races'!AP12</f>
        <v>120769</v>
      </c>
      <c r="AM10" s="141">
        <f>+'NCES-Private Grads-all races'!AM11+'NCES-Public Grads-all races'!AQ12</f>
        <v>125150</v>
      </c>
      <c r="AN10" s="141">
        <f>+'NCES-Private Grads-all races'!AN11+'NCES-Public Grads-all races'!AR12</f>
        <v>134966</v>
      </c>
      <c r="AO10" s="141">
        <f>+'NCES-Private Grads-all races'!AO11+'NCES-Public Grads-all races'!AS12</f>
        <v>144304</v>
      </c>
      <c r="AP10" s="141">
        <f>+'NCES-Private Grads-all races'!AP11+'NCES-Public Grads-all races'!AT12</f>
        <v>148238</v>
      </c>
      <c r="AQ10" s="141">
        <f>+'NCES-Private Grads-all races'!AQ11+'NCES-Public Grads-all races'!AU12</f>
        <v>150138</v>
      </c>
      <c r="AR10" s="141">
        <f>+'NCES-Private Grads-all races'!AR11+'NCES-Public Grads-all races'!AV12</f>
        <v>152386</v>
      </c>
      <c r="AS10" s="141">
        <f>+'NCES-Private Grads-all races'!AS11+'NCES-Public Grads-all races'!AW12</f>
        <v>160864</v>
      </c>
      <c r="AT10" s="141">
        <f>+'NCES-Private Grads-all races'!AT11+'NCES-Public Grads-all races'!AX12</f>
        <v>167446</v>
      </c>
      <c r="AU10" s="141">
        <f>+'NCES-Private Grads-all races'!AU11+'NCES-Public Grads-all races'!AY12</f>
        <v>171681</v>
      </c>
      <c r="AV10" s="141">
        <f>+'NCES-Private Grads-all races'!AV11+'NCES-Public Grads-all races'!AZ12</f>
        <v>175270</v>
      </c>
      <c r="AW10" s="141">
        <f>+'NCES-Private Grads-all races'!AW11+'NCES-Public Grads-all races'!BA12</f>
        <v>175553</v>
      </c>
      <c r="AX10" s="141">
        <f>+'NCES-Private Grads-all races'!AX11+'NCES-Public Grads-all races'!BB12</f>
        <v>171714</v>
      </c>
      <c r="AY10" s="141">
        <f>+'NCES-Private Grads-all races'!AY11+'NCES-Public Grads-all races'!BC12</f>
        <v>177469</v>
      </c>
      <c r="AZ10" s="141">
        <f>+'NCES-Private Grads-all races'!AZ11+'NCES-Public Grads-all races'!BD12</f>
        <v>170439.07399999999</v>
      </c>
      <c r="BA10" s="141">
        <f>+'NCES-Private Grads-all races'!BA11+'NCES-Public Grads-all races'!BE12</f>
        <v>178560.652</v>
      </c>
      <c r="BB10" s="141">
        <f>+'NCES-Private Grads-all races'!BB11+'NCES-Public Grads-all races'!BF12</f>
        <v>184529.00200000001</v>
      </c>
      <c r="BC10" s="141">
        <f>+'NCES-Private Grads-all races'!BC11+'NCES-Public Grads-all races'!BG12</f>
        <v>203144</v>
      </c>
      <c r="BD10" s="141">
        <f>+'NCES-Private Grads-all races'!BD11+'NCES-Public Grads-all races'!BH12</f>
        <v>212894</v>
      </c>
      <c r="BE10" s="141">
        <f>+'NCES-Private Grads-all races'!BE11+'NCES-Public Grads-all races'!BI12</f>
        <v>219556</v>
      </c>
      <c r="BF10" s="140">
        <f>+'NCES-Private Grads-all races'!BF11+'NCES-Public Grads-all races'!BJ12</f>
        <v>211750</v>
      </c>
    </row>
    <row r="11" spans="1:60">
      <c r="A11" s="160" t="s">
        <v>37</v>
      </c>
      <c r="B11" s="141">
        <f>+'NCES-Private Grads-all races'!B12+'NCES-Public Grads-all races'!F13</f>
        <v>45093</v>
      </c>
      <c r="C11" s="141">
        <f>+'NCES-Private Grads-all races'!C12+'NCES-Public Grads-all races'!G13</f>
        <v>53548</v>
      </c>
      <c r="D11" s="141">
        <f>+'NCES-Private Grads-all races'!D12+'NCES-Public Grads-all races'!H13</f>
        <v>54615.342857142852</v>
      </c>
      <c r="E11" s="141">
        <f>+'NCES-Private Grads-all races'!E12+'NCES-Public Grads-all races'!I13</f>
        <v>55682.685714285712</v>
      </c>
      <c r="F11" s="141">
        <f>+'NCES-Private Grads-all races'!F12+'NCES-Public Grads-all races'!J13</f>
        <v>56750.028571428564</v>
      </c>
      <c r="G11" s="141">
        <f>+'NCES-Private Grads-all races'!G12+'NCES-Public Grads-all races'!K13</f>
        <v>57817.371428571416</v>
      </c>
      <c r="H11" s="141">
        <f>+'NCES-Private Grads-all races'!H12+'NCES-Public Grads-all races'!L13</f>
        <v>58884.714285714283</v>
      </c>
      <c r="I11" s="141">
        <f>+'NCES-Private Grads-all races'!I12+'NCES-Public Grads-all races'!M13</f>
        <v>59144.857142857145</v>
      </c>
      <c r="J11" s="141">
        <f>+'NCES-Private Grads-all races'!J12+'NCES-Public Grads-all races'!N13</f>
        <v>60458</v>
      </c>
      <c r="K11" s="141">
        <f>+'NCES-Private Grads-all races'!K12+'NCES-Public Grads-all races'!O13</f>
        <v>59855</v>
      </c>
      <c r="L11" s="141">
        <f>+'NCES-Private Grads-all races'!L12+'NCES-Public Grads-all races'!P13</f>
        <v>60126</v>
      </c>
      <c r="M11" s="141">
        <f>+'NCES-Private Grads-all races'!M12+'NCES-Public Grads-all races'!Q13</f>
        <v>62203</v>
      </c>
      <c r="N11" s="141">
        <f>+'NCES-Private Grads-all races'!N12+'NCES-Public Grads-all races'!R13</f>
        <v>65059</v>
      </c>
      <c r="O11" s="141">
        <f>+'NCES-Private Grads-all races'!O12+'NCES-Public Grads-all races'!S13</f>
        <v>66234</v>
      </c>
      <c r="P11" s="141">
        <f>+'NCES-Private Grads-all races'!P12+'NCES-Public Grads-all races'!T13</f>
        <v>65519</v>
      </c>
      <c r="Q11" s="141">
        <f>+'NCES-Private Grads-all races'!Q12+'NCES-Public Grads-all races'!U13</f>
        <v>67027</v>
      </c>
      <c r="R11" s="141">
        <f>+'NCES-Private Grads-all races'!R12+'NCES-Public Grads-all races'!V13</f>
        <v>66893</v>
      </c>
      <c r="S11" s="141">
        <f>+'NCES-Private Grads-all races'!S12+'NCES-Public Grads-all races'!W13</f>
        <v>68393.555555555562</v>
      </c>
      <c r="T11" s="141">
        <f>+'NCES-Private Grads-all races'!T12+'NCES-Public Grads-all races'!X13</f>
        <v>70078.111111111109</v>
      </c>
      <c r="U11" s="141">
        <f>+'NCES-Private Grads-all races'!U12+'NCES-Public Grads-all races'!Y13</f>
        <v>69040.666666666672</v>
      </c>
      <c r="V11" s="141">
        <f>+'NCES-Private Grads-all races'!V12+'NCES-Public Grads-all races'!Z13</f>
        <v>66624.222222222219</v>
      </c>
      <c r="W11" s="141">
        <f>+'NCES-Private Grads-all races'!W12+'NCES-Public Grads-all races'!AA13</f>
        <v>64718.777777777781</v>
      </c>
      <c r="X11" s="141">
        <f>+'NCES-Private Grads-all races'!X12+'NCES-Public Grads-all races'!AB13</f>
        <v>65305.333333333336</v>
      </c>
      <c r="Y11" s="141">
        <f>+'NCES-Private Grads-all races'!Y12+'NCES-Public Grads-all races'!AC13</f>
        <v>66399.888888888891</v>
      </c>
      <c r="Z11" s="141">
        <f>+'NCES-Private Grads-all races'!Z12+'NCES-Public Grads-all races'!AD13</f>
        <v>68305.444444444438</v>
      </c>
      <c r="AA11" s="141">
        <f>+'NCES-Private Grads-all races'!AA12+'NCES-Public Grads-all races'!AE13</f>
        <v>68636</v>
      </c>
      <c r="AB11" s="141">
        <f>+'NCES-Private Grads-all races'!AB12+'NCES-Public Grads-all races'!AF13</f>
        <v>62989.5</v>
      </c>
      <c r="AC11" s="141">
        <f>+'NCES-Private Grads-all races'!AC12+'NCES-Public Grads-all races'!AG13</f>
        <v>66158</v>
      </c>
      <c r="AD11" s="141">
        <f>+'NCES-Private Grads-all races'!AD12+'NCES-Public Grads-all races'!AH13</f>
        <v>63812</v>
      </c>
      <c r="AE11" s="141">
        <f>+'NCES-Private Grads-all races'!AE12+'NCES-Public Grads-all races'!AI13</f>
        <v>63232</v>
      </c>
      <c r="AF11" s="141">
        <f>+'NCES-Private Grads-all races'!AF12+'NCES-Public Grads-all races'!AJ13</f>
        <v>61708.5</v>
      </c>
      <c r="AG11" s="141">
        <f>+'NCES-Private Grads-all races'!AG12+'NCES-Public Grads-all races'!AK13</f>
        <v>61735</v>
      </c>
      <c r="AH11" s="141">
        <f>+'NCES-Private Grads-all races'!AH12+'NCES-Public Grads-all races'!AL13</f>
        <v>62899</v>
      </c>
      <c r="AI11" s="141">
        <f>+'NCES-Private Grads-all races'!AI12+'NCES-Public Grads-all races'!AM13</f>
        <v>64711</v>
      </c>
      <c r="AJ11" s="141">
        <f>+'NCES-Private Grads-all races'!AJ12+'NCES-Public Grads-all races'!AN13</f>
        <v>64792</v>
      </c>
      <c r="AK11" s="141">
        <f>+'NCES-Private Grads-all races'!AK12+'NCES-Public Grads-all races'!AO13</f>
        <v>66046</v>
      </c>
      <c r="AL11" s="141">
        <f>+'NCES-Private Grads-all races'!AL12+'NCES-Public Grads-all races'!AP13</f>
        <v>71880</v>
      </c>
      <c r="AM11" s="141">
        <f>+'NCES-Private Grads-all races'!AM12+'NCES-Public Grads-all races'!AQ13</f>
        <v>69121</v>
      </c>
      <c r="AN11" s="141">
        <f>+'NCES-Private Grads-all races'!AN12+'NCES-Public Grads-all races'!AR13</f>
        <v>72719</v>
      </c>
      <c r="AO11" s="141">
        <f>+'NCES-Private Grads-all races'!AO12+'NCES-Public Grads-all races'!AS13</f>
        <v>73740</v>
      </c>
      <c r="AP11" s="141">
        <f>+'NCES-Private Grads-all races'!AP12+'NCES-Public Grads-all races'!AT13</f>
        <v>75625</v>
      </c>
      <c r="AQ11" s="141">
        <f>+'NCES-Private Grads-all races'!AQ12+'NCES-Public Grads-all races'!AU13</f>
        <v>78134</v>
      </c>
      <c r="AR11" s="141">
        <f>+'NCES-Private Grads-all races'!AR12+'NCES-Public Grads-all races'!AV13</f>
        <v>80933</v>
      </c>
      <c r="AS11" s="141">
        <f>+'NCES-Private Grads-all races'!AS12+'NCES-Public Grads-all races'!AW13</f>
        <v>85399</v>
      </c>
      <c r="AT11" s="141">
        <f>+'NCES-Private Grads-all races'!AT12+'NCES-Public Grads-all races'!AX13</f>
        <v>91450</v>
      </c>
      <c r="AU11" s="141">
        <f>+'NCES-Private Grads-all races'!AU12+'NCES-Public Grads-all races'!AY13</f>
        <v>96323</v>
      </c>
      <c r="AV11" s="141">
        <f>+'NCES-Private Grads-all races'!AV12+'NCES-Public Grads-all races'!AZ13</f>
        <v>99601</v>
      </c>
      <c r="AW11" s="141">
        <f>+'NCES-Private Grads-all races'!AW12+'NCES-Public Grads-all races'!BA13</f>
        <v>100098</v>
      </c>
      <c r="AX11" s="141">
        <f>+'NCES-Private Grads-all races'!AX12+'NCES-Public Grads-all races'!BB13</f>
        <v>99147</v>
      </c>
      <c r="AY11" s="141">
        <f>+'NCES-Private Grads-all races'!AY12+'NCES-Public Grads-all races'!BC13</f>
        <v>101786</v>
      </c>
      <c r="AZ11" s="141">
        <f>+'NCES-Private Grads-all races'!AZ12+'NCES-Public Grads-all races'!BD13</f>
        <v>99959.2</v>
      </c>
      <c r="BA11" s="141">
        <f>+'NCES-Private Grads-all races'!BA12+'NCES-Public Grads-all races'!BE13</f>
        <v>110044.89599999999</v>
      </c>
      <c r="BB11" s="141">
        <f>+'NCES-Private Grads-all races'!BB12+'NCES-Public Grads-all races'!BF13</f>
        <v>111905.47</v>
      </c>
      <c r="BC11" s="141">
        <f>+'NCES-Private Grads-all races'!BC12+'NCES-Public Grads-all races'!BG13</f>
        <v>119402</v>
      </c>
      <c r="BD11" s="141">
        <f>+'NCES-Private Grads-all races'!BD12+'NCES-Public Grads-all races'!BH13</f>
        <v>121429</v>
      </c>
      <c r="BE11" s="141">
        <f>+'NCES-Private Grads-all races'!BE12+'NCES-Public Grads-all races'!BI13</f>
        <v>122768</v>
      </c>
      <c r="BF11" s="140">
        <f>+'NCES-Private Grads-all races'!BF12+'NCES-Public Grads-all races'!BJ13</f>
        <v>122310</v>
      </c>
    </row>
    <row r="12" spans="1:60">
      <c r="A12" s="160" t="s">
        <v>38</v>
      </c>
      <c r="B12" s="141">
        <f>+'NCES-Private Grads-all races'!B13+'NCES-Public Grads-all races'!F14</f>
        <v>35329</v>
      </c>
      <c r="C12" s="141">
        <f>+'NCES-Private Grads-all races'!C13+'NCES-Public Grads-all races'!G14</f>
        <v>39613</v>
      </c>
      <c r="D12" s="141">
        <f>+'NCES-Private Grads-all races'!D13+'NCES-Public Grads-all races'!H14</f>
        <v>40135.285714285717</v>
      </c>
      <c r="E12" s="141">
        <f>+'NCES-Private Grads-all races'!E13+'NCES-Public Grads-all races'!I14</f>
        <v>40657.571428571428</v>
      </c>
      <c r="F12" s="141">
        <f>+'NCES-Private Grads-all races'!F13+'NCES-Public Grads-all races'!J14</f>
        <v>41179.857142857145</v>
      </c>
      <c r="G12" s="141">
        <f>+'NCES-Private Grads-all races'!G13+'NCES-Public Grads-all races'!K14</f>
        <v>41702.142857142855</v>
      </c>
      <c r="H12" s="141">
        <f>+'NCES-Private Grads-all races'!H13+'NCES-Public Grads-all races'!L14</f>
        <v>42224.428571428572</v>
      </c>
      <c r="I12" s="141">
        <f>+'NCES-Private Grads-all races'!I13+'NCES-Public Grads-all races'!M14</f>
        <v>43311.71428571429</v>
      </c>
      <c r="J12" s="141">
        <f>+'NCES-Private Grads-all races'!J13+'NCES-Public Grads-all races'!N14</f>
        <v>45607</v>
      </c>
      <c r="K12" s="141">
        <f>+'NCES-Private Grads-all races'!K13+'NCES-Public Grads-all races'!O14</f>
        <v>45507</v>
      </c>
      <c r="L12" s="141">
        <f>+'NCES-Private Grads-all races'!L13+'NCES-Public Grads-all races'!P14</f>
        <v>46251</v>
      </c>
      <c r="M12" s="141">
        <f>+'NCES-Private Grads-all races'!M13+'NCES-Public Grads-all races'!Q14</f>
        <v>46368</v>
      </c>
      <c r="N12" s="141">
        <f>+'NCES-Private Grads-all races'!N13+'NCES-Public Grads-all races'!R14</f>
        <v>45761</v>
      </c>
      <c r="O12" s="141">
        <f>+'NCES-Private Grads-all races'!O13+'NCES-Public Grads-all races'!S14</f>
        <v>45755</v>
      </c>
      <c r="P12" s="141">
        <f>+'NCES-Private Grads-all races'!P13+'NCES-Public Grads-all races'!T14</f>
        <v>45741</v>
      </c>
      <c r="Q12" s="141">
        <f>+'NCES-Private Grads-all races'!Q13+'NCES-Public Grads-all races'!U14</f>
        <v>45662</v>
      </c>
      <c r="R12" s="141">
        <f>+'NCES-Private Grads-all races'!R13+'NCES-Public Grads-all races'!V14</f>
        <v>45593</v>
      </c>
      <c r="S12" s="141">
        <f>+'NCES-Private Grads-all races'!S13+'NCES-Public Grads-all races'!W14</f>
        <v>45998.888888888891</v>
      </c>
      <c r="T12" s="141">
        <f>+'NCES-Private Grads-all races'!T13+'NCES-Public Grads-all races'!X14</f>
        <v>46710.777777777781</v>
      </c>
      <c r="U12" s="141">
        <f>+'NCES-Private Grads-all races'!U13+'NCES-Public Grads-all races'!Y14</f>
        <v>44552.666666666664</v>
      </c>
      <c r="V12" s="141">
        <f>+'NCES-Private Grads-all races'!V13+'NCES-Public Grads-all races'!Z14</f>
        <v>43614.555555555555</v>
      </c>
      <c r="W12" s="141">
        <f>+'NCES-Private Grads-all races'!W13+'NCES-Public Grads-all races'!AA14</f>
        <v>41863.444444444445</v>
      </c>
      <c r="X12" s="141">
        <f>+'NCES-Private Grads-all races'!X13+'NCES-Public Grads-all races'!AB14</f>
        <v>41047.333333333328</v>
      </c>
      <c r="Y12" s="141">
        <f>+'NCES-Private Grads-all races'!Y13+'NCES-Public Grads-all races'!AC14</f>
        <v>40602.222222222219</v>
      </c>
      <c r="Z12" s="141">
        <f>+'NCES-Private Grads-all races'!Z13+'NCES-Public Grads-all races'!AD14</f>
        <v>43033.111111111109</v>
      </c>
      <c r="AA12" s="141">
        <f>+'NCES-Private Grads-all races'!AA13+'NCES-Public Grads-all races'!AE14</f>
        <v>42327</v>
      </c>
      <c r="AB12" s="141">
        <f>+'NCES-Private Grads-all races'!AB13+'NCES-Public Grads-all races'!AF14</f>
        <v>41411</v>
      </c>
      <c r="AC12" s="141">
        <f>+'NCES-Private Grads-all races'!AC13+'NCES-Public Grads-all races'!AG14</f>
        <v>39203</v>
      </c>
      <c r="AD12" s="141">
        <f>+'NCES-Private Grads-all races'!AD13+'NCES-Public Grads-all races'!AH14</f>
        <v>37264</v>
      </c>
      <c r="AE12" s="141">
        <f>+'NCES-Private Grads-all races'!AE13+'NCES-Public Grads-all races'!AI14</f>
        <v>39310</v>
      </c>
      <c r="AF12" s="141">
        <f>+'NCES-Private Grads-all races'!AF13+'NCES-Public Grads-all races'!AJ14</f>
        <v>41549.5</v>
      </c>
      <c r="AG12" s="141">
        <f>+'NCES-Private Grads-all races'!AG13+'NCES-Public Grads-all races'!AK14</f>
        <v>40868</v>
      </c>
      <c r="AH12" s="141">
        <f>+'NCES-Private Grads-all races'!AH13+'NCES-Public Grads-all races'!AL14</f>
        <v>39638</v>
      </c>
      <c r="AI12" s="141">
        <f>+'NCES-Private Grads-all races'!AI13+'NCES-Public Grads-all races'!AM14</f>
        <v>40487</v>
      </c>
      <c r="AJ12" s="141">
        <f>+'NCES-Private Grads-all races'!AJ13+'NCES-Public Grads-all races'!AN14</f>
        <v>41041.5</v>
      </c>
      <c r="AK12" s="141">
        <f>+'NCES-Private Grads-all races'!AK13+'NCES-Public Grads-all races'!AO14</f>
        <v>41045</v>
      </c>
      <c r="AL12" s="141">
        <f>+'NCES-Private Grads-all races'!AL13+'NCES-Public Grads-all races'!AP14</f>
        <v>40303</v>
      </c>
      <c r="AM12" s="141">
        <f>+'NCES-Private Grads-all races'!AM13+'NCES-Public Grads-all races'!AQ14</f>
        <v>40611</v>
      </c>
      <c r="AN12" s="141">
        <f>+'NCES-Private Grads-all races'!AN13+'NCES-Public Grads-all races'!AR14</f>
        <v>39994</v>
      </c>
      <c r="AO12" s="141">
        <f>+'NCES-Private Grads-all races'!AO13+'NCES-Public Grads-all races'!AS14</f>
        <v>41314</v>
      </c>
      <c r="AP12" s="141">
        <f>+'NCES-Private Grads-all races'!AP13+'NCES-Public Grads-all races'!AT14</f>
        <v>41477</v>
      </c>
      <c r="AQ12" s="141">
        <f>+'NCES-Private Grads-all races'!AQ13+'NCES-Public Grads-all races'!AU14</f>
        <v>42119</v>
      </c>
      <c r="AR12" s="141">
        <f>+'NCES-Private Grads-all races'!AR13+'NCES-Public Grads-all races'!AV14</f>
        <v>42324</v>
      </c>
      <c r="AS12" s="141">
        <f>+'NCES-Private Grads-all races'!AS13+'NCES-Public Grads-all races'!AW14</f>
        <v>43129</v>
      </c>
      <c r="AT12" s="141">
        <f>+'NCES-Private Grads-all races'!AT13+'NCES-Public Grads-all races'!AX14</f>
        <v>43324</v>
      </c>
      <c r="AU12" s="141">
        <f>+'NCES-Private Grads-all races'!AU13+'NCES-Public Grads-all races'!AY14</f>
        <v>45791</v>
      </c>
      <c r="AV12" s="141">
        <f>+'NCES-Private Grads-all races'!AV13+'NCES-Public Grads-all races'!AZ14</f>
        <v>46699</v>
      </c>
      <c r="AW12" s="141">
        <f>+'NCES-Private Grads-all races'!AW13+'NCES-Public Grads-all races'!BA14</f>
        <v>47161</v>
      </c>
      <c r="AX12" s="141">
        <f>+'NCES-Private Grads-all races'!AX13+'NCES-Public Grads-all races'!BB14</f>
        <v>47107</v>
      </c>
      <c r="AY12" s="141">
        <f>+'NCES-Private Grads-all races'!AY13+'NCES-Public Grads-all races'!BC14</f>
        <v>47688</v>
      </c>
      <c r="AZ12" s="141">
        <f>+'NCES-Private Grads-all races'!AZ13+'NCES-Public Grads-all races'!BD14</f>
        <v>46933</v>
      </c>
      <c r="BA12" s="141">
        <f>+'NCES-Private Grads-all races'!BA13+'NCES-Public Grads-all races'!BE14</f>
        <v>46967.68</v>
      </c>
      <c r="BB12" s="141">
        <f>+'NCES-Private Grads-all races'!BB13+'NCES-Public Grads-all races'!BF14</f>
        <v>49096.675999999992</v>
      </c>
      <c r="BC12" s="141">
        <f>+'NCES-Private Grads-all races'!BC13+'NCES-Public Grads-all races'!BG14</f>
        <v>52015</v>
      </c>
      <c r="BD12" s="141">
        <f>+'NCES-Private Grads-all races'!BD13+'NCES-Public Grads-all races'!BH14</f>
        <v>51168</v>
      </c>
      <c r="BE12" s="141">
        <f>+'NCES-Private Grads-all races'!BE13+'NCES-Public Grads-all races'!BI14</f>
        <v>51501</v>
      </c>
      <c r="BF12" s="140">
        <f>+'NCES-Private Grads-all races'!BF13+'NCES-Public Grads-all races'!BJ14</f>
        <v>50250</v>
      </c>
    </row>
    <row r="13" spans="1:60">
      <c r="A13" s="160" t="s">
        <v>39</v>
      </c>
      <c r="B13" s="141">
        <f>+'NCES-Private Grads-all races'!B14+'NCES-Public Grads-all races'!F15</f>
        <v>41010</v>
      </c>
      <c r="C13" s="141">
        <f>+'NCES-Private Grads-all races'!C14+'NCES-Public Grads-all races'!G15</f>
        <v>45109</v>
      </c>
      <c r="D13" s="141">
        <f>+'NCES-Private Grads-all races'!D14+'NCES-Public Grads-all races'!H15</f>
        <v>46020.542857142857</v>
      </c>
      <c r="E13" s="141">
        <f>+'NCES-Private Grads-all races'!E14+'NCES-Public Grads-all races'!I15</f>
        <v>46932.085714285713</v>
      </c>
      <c r="F13" s="141">
        <f>+'NCES-Private Grads-all races'!F14+'NCES-Public Grads-all races'!J15</f>
        <v>47843.628571428577</v>
      </c>
      <c r="G13" s="141">
        <f>+'NCES-Private Grads-all races'!G14+'NCES-Public Grads-all races'!K15</f>
        <v>48755.171428571433</v>
      </c>
      <c r="H13" s="141">
        <f>+'NCES-Private Grads-all races'!H14+'NCES-Public Grads-all races'!L15</f>
        <v>49666.714285714283</v>
      </c>
      <c r="I13" s="141">
        <f>+'NCES-Private Grads-all races'!I14+'NCES-Public Grads-all races'!M15</f>
        <v>50508.857142857145</v>
      </c>
      <c r="J13" s="141">
        <f>+'NCES-Private Grads-all races'!J14+'NCES-Public Grads-all races'!N15</f>
        <v>51663</v>
      </c>
      <c r="K13" s="141">
        <f>+'NCES-Private Grads-all races'!K14+'NCES-Public Grads-all races'!O15</f>
        <v>51804</v>
      </c>
      <c r="L13" s="141">
        <f>+'NCES-Private Grads-all races'!L14+'NCES-Public Grads-all races'!P15</f>
        <v>52908</v>
      </c>
      <c r="M13" s="141">
        <f>+'NCES-Private Grads-all races'!M14+'NCES-Public Grads-all races'!Q15</f>
        <v>56891</v>
      </c>
      <c r="N13" s="141">
        <f>+'NCES-Private Grads-all races'!N14+'NCES-Public Grads-all races'!R15</f>
        <v>56446</v>
      </c>
      <c r="O13" s="141">
        <f>+'NCES-Private Grads-all races'!O14+'NCES-Public Grads-all races'!S15</f>
        <v>57219</v>
      </c>
      <c r="P13" s="141">
        <f>+'NCES-Private Grads-all races'!P14+'NCES-Public Grads-all races'!T15</f>
        <v>56274.666666666664</v>
      </c>
      <c r="Q13" s="141">
        <f>+'NCES-Private Grads-all races'!Q14+'NCES-Public Grads-all races'!U15</f>
        <v>56044.333333333328</v>
      </c>
      <c r="R13" s="141">
        <f>+'NCES-Private Grads-all races'!R14+'NCES-Public Grads-all races'!V15</f>
        <v>55572</v>
      </c>
      <c r="S13" s="141">
        <f>+'NCES-Private Grads-all races'!S14+'NCES-Public Grads-all races'!W15</f>
        <v>55380.333333333336</v>
      </c>
      <c r="T13" s="141">
        <f>+'NCES-Private Grads-all races'!T14+'NCES-Public Grads-all races'!X15</f>
        <v>48982.666666666672</v>
      </c>
      <c r="U13" s="141">
        <f>+'NCES-Private Grads-all races'!U14+'NCES-Public Grads-all races'!Y15</f>
        <v>48533</v>
      </c>
      <c r="V13" s="141">
        <f>+'NCES-Private Grads-all races'!V14+'NCES-Public Grads-all races'!Z15</f>
        <v>48300.333333333336</v>
      </c>
      <c r="W13" s="141">
        <f>+'NCES-Private Grads-all races'!W14+'NCES-Public Grads-all races'!AA15</f>
        <v>48548.666666666672</v>
      </c>
      <c r="X13" s="141">
        <f>+'NCES-Private Grads-all races'!X14+'NCES-Public Grads-all races'!AB15</f>
        <v>48678</v>
      </c>
      <c r="Y13" s="141">
        <f>+'NCES-Private Grads-all races'!Y14+'NCES-Public Grads-all races'!AC15</f>
        <v>47703.333333333336</v>
      </c>
      <c r="Z13" s="141">
        <f>+'NCES-Private Grads-all races'!Z14+'NCES-Public Grads-all races'!AD15</f>
        <v>47583.666666666672</v>
      </c>
      <c r="AA13" s="141">
        <f>+'NCES-Private Grads-all races'!AA14+'NCES-Public Grads-all races'!AE15</f>
        <v>45630</v>
      </c>
      <c r="AB13" s="141">
        <f>+'NCES-Private Grads-all races'!AB14+'NCES-Public Grads-all races'!AF15</f>
        <v>44045</v>
      </c>
      <c r="AC13" s="141">
        <f>+'NCES-Private Grads-all races'!AC14+'NCES-Public Grads-all races'!AG15</f>
        <v>41041</v>
      </c>
      <c r="AD13" s="141">
        <f>+'NCES-Private Grads-all races'!AD14+'NCES-Public Grads-all races'!AH15</f>
        <v>39799</v>
      </c>
      <c r="AE13" s="141">
        <f>+'NCES-Private Grads-all races'!AE14+'NCES-Public Grads-all races'!AI15</f>
        <v>41526</v>
      </c>
      <c r="AF13" s="141">
        <f>+'NCES-Private Grads-all races'!AF14+'NCES-Public Grads-all races'!AJ15</f>
        <v>42472.5</v>
      </c>
      <c r="AG13" s="141">
        <f>+'NCES-Private Grads-all races'!AG14+'NCES-Public Grads-all races'!AK15</f>
        <v>43937</v>
      </c>
      <c r="AH13" s="141">
        <f>+'NCES-Private Grads-all races'!AH14+'NCES-Public Grads-all races'!AL15</f>
        <v>44148</v>
      </c>
      <c r="AI13" s="141">
        <f>+'NCES-Private Grads-all races'!AI14+'NCES-Public Grads-all races'!AM15</f>
        <v>44434</v>
      </c>
      <c r="AJ13" s="141">
        <f>+'NCES-Private Grads-all races'!AJ14+'NCES-Public Grads-all races'!AN15</f>
        <v>46357.5</v>
      </c>
      <c r="AK13" s="141">
        <f>+'NCES-Private Grads-all races'!AK14+'NCES-Public Grads-all races'!AO15</f>
        <v>46518</v>
      </c>
      <c r="AL13" s="141">
        <f>+'NCES-Private Grads-all races'!AL14+'NCES-Public Grads-all races'!AP15</f>
        <v>47685</v>
      </c>
      <c r="AM13" s="141">
        <f>+'NCES-Private Grads-all races'!AM14+'NCES-Public Grads-all races'!AQ15</f>
        <v>46712</v>
      </c>
      <c r="AN13" s="141">
        <f>+'NCES-Private Grads-all races'!AN14+'NCES-Public Grads-all races'!AR15</f>
        <v>46609</v>
      </c>
      <c r="AO13" s="141">
        <f>+'NCES-Private Grads-all races'!AO14+'NCES-Public Grads-all races'!AS15</f>
        <v>46620</v>
      </c>
      <c r="AP13" s="141">
        <f>+'NCES-Private Grads-all races'!AP14+'NCES-Public Grads-all races'!AT15</f>
        <v>45504</v>
      </c>
      <c r="AQ13" s="141">
        <f>+'NCES-Private Grads-all races'!AQ14+'NCES-Public Grads-all races'!AU15</f>
        <v>43969</v>
      </c>
      <c r="AR13" s="141">
        <f>+'NCES-Private Grads-all races'!AR14+'NCES-Public Grads-all races'!AV15</f>
        <v>41020</v>
      </c>
      <c r="AS13" s="141">
        <f>+'NCES-Private Grads-all races'!AS14+'NCES-Public Grads-all races'!AW15</f>
        <v>41804</v>
      </c>
      <c r="AT13" s="141">
        <f>+'NCES-Private Grads-all races'!AT14+'NCES-Public Grads-all races'!AX15</f>
        <v>42236</v>
      </c>
      <c r="AU13" s="141">
        <f>+'NCES-Private Grads-all races'!AU14+'NCES-Public Grads-all races'!AY15</f>
        <v>43762</v>
      </c>
      <c r="AV13" s="141">
        <f>+'NCES-Private Grads-all races'!AV14+'NCES-Public Grads-all races'!AZ15</f>
        <v>44398</v>
      </c>
      <c r="AW13" s="141">
        <f>+'NCES-Private Grads-all races'!AW14+'NCES-Public Grads-all races'!BA15</f>
        <v>43354</v>
      </c>
      <c r="AX13" s="141">
        <f>+'NCES-Private Grads-all races'!AX14+'NCES-Public Grads-all races'!BB15</f>
        <v>44380</v>
      </c>
      <c r="AY13" s="141">
        <f>+'NCES-Private Grads-all races'!AY14+'NCES-Public Grads-all races'!BC15</f>
        <v>45408</v>
      </c>
      <c r="AZ13" s="141">
        <f>+'NCES-Private Grads-all races'!AZ14+'NCES-Public Grads-all races'!BD15</f>
        <v>47474.74</v>
      </c>
      <c r="BA13" s="141">
        <f>+'NCES-Private Grads-all races'!BA14+'NCES-Public Grads-all races'!BE15</f>
        <v>48595.200000000004</v>
      </c>
      <c r="BB13" s="141">
        <f>+'NCES-Private Grads-all races'!BB14+'NCES-Public Grads-all races'!BF15</f>
        <v>46635.723999999995</v>
      </c>
      <c r="BC13" s="141">
        <f>+'NCES-Private Grads-all races'!BC14+'NCES-Public Grads-all races'!BG15</f>
        <v>48991</v>
      </c>
      <c r="BD13" s="141">
        <f>+'NCES-Private Grads-all races'!BD14+'NCES-Public Grads-all races'!BH15</f>
        <v>52272</v>
      </c>
      <c r="BE13" s="141">
        <f>+'NCES-Private Grads-all races'!BE14+'NCES-Public Grads-all races'!BI15</f>
        <v>51678</v>
      </c>
      <c r="BF13" s="140">
        <f>+'NCES-Private Grads-all races'!BF14+'NCES-Public Grads-all races'!BJ15</f>
        <v>51800</v>
      </c>
    </row>
    <row r="14" spans="1:60">
      <c r="A14" s="160" t="s">
        <v>40</v>
      </c>
      <c r="B14" s="141">
        <f>+'NCES-Private Grads-all races'!B15+'NCES-Public Grads-all races'!F16</f>
        <v>39776</v>
      </c>
      <c r="C14" s="141">
        <f>+'NCES-Private Grads-all races'!C15+'NCES-Public Grads-all races'!G16</f>
        <v>46635</v>
      </c>
      <c r="D14" s="141">
        <f>+'NCES-Private Grads-all races'!D15+'NCES-Public Grads-all races'!H16</f>
        <v>47799.257142857146</v>
      </c>
      <c r="E14" s="141">
        <f>+'NCES-Private Grads-all races'!E15+'NCES-Public Grads-all races'!I16</f>
        <v>48963.514285714293</v>
      </c>
      <c r="F14" s="141">
        <f>+'NCES-Private Grads-all races'!F15+'NCES-Public Grads-all races'!J16</f>
        <v>50127.771428571432</v>
      </c>
      <c r="G14" s="141">
        <f>+'NCES-Private Grads-all races'!G15+'NCES-Public Grads-all races'!K16</f>
        <v>51292.028571428578</v>
      </c>
      <c r="H14" s="141">
        <f>+'NCES-Private Grads-all races'!H15+'NCES-Public Grads-all races'!L16</f>
        <v>52456.285714285717</v>
      </c>
      <c r="I14" s="141">
        <f>+'NCES-Private Grads-all races'!I15+'NCES-Public Grads-all races'!M16</f>
        <v>54366.142857142855</v>
      </c>
      <c r="J14" s="141">
        <f>+'NCES-Private Grads-all races'!J15+'NCES-Public Grads-all races'!N16</f>
        <v>56670</v>
      </c>
      <c r="K14" s="141">
        <f>+'NCES-Private Grads-all races'!K15+'NCES-Public Grads-all races'!O16</f>
        <v>59113</v>
      </c>
      <c r="L14" s="141">
        <f>+'NCES-Private Grads-all races'!L15+'NCES-Public Grads-all races'!P16</f>
        <v>60428</v>
      </c>
      <c r="M14" s="141">
        <f>+'NCES-Private Grads-all races'!M15+'NCES-Public Grads-all races'!Q16</f>
        <v>62308</v>
      </c>
      <c r="N14" s="141">
        <f>+'NCES-Private Grads-all races'!N15+'NCES-Public Grads-all races'!R16</f>
        <v>63063</v>
      </c>
      <c r="O14" s="141">
        <f>+'NCES-Private Grads-all races'!O15+'NCES-Public Grads-all races'!S16</f>
        <v>62503</v>
      </c>
      <c r="P14" s="141">
        <f>+'NCES-Private Grads-all races'!P15+'NCES-Public Grads-all races'!T16</f>
        <v>62405.333333333336</v>
      </c>
      <c r="Q14" s="141">
        <f>+'NCES-Private Grads-all races'!Q15+'NCES-Public Grads-all races'!U16</f>
        <v>62014.666666666664</v>
      </c>
      <c r="R14" s="141">
        <f>+'NCES-Private Grads-all races'!R15+'NCES-Public Grads-all races'!V16</f>
        <v>61121</v>
      </c>
      <c r="S14" s="141">
        <f>+'NCES-Private Grads-all races'!S15+'NCES-Public Grads-all races'!W16</f>
        <v>60898.888888888891</v>
      </c>
      <c r="T14" s="141">
        <f>+'NCES-Private Grads-all races'!T15+'NCES-Public Grads-all races'!X16</f>
        <v>61467.777777777781</v>
      </c>
      <c r="U14" s="141">
        <f>+'NCES-Private Grads-all races'!U15+'NCES-Public Grads-all races'!Y16</f>
        <v>59290.666666666664</v>
      </c>
      <c r="V14" s="141">
        <f>+'NCES-Private Grads-all races'!V15+'NCES-Public Grads-all races'!Z16</f>
        <v>57526.555555555555</v>
      </c>
      <c r="W14" s="141">
        <f>+'NCES-Private Grads-all races'!W15+'NCES-Public Grads-all races'!AA16</f>
        <v>55139.444444444445</v>
      </c>
      <c r="X14" s="141">
        <f>+'NCES-Private Grads-all races'!X15+'NCES-Public Grads-all races'!AB16</f>
        <v>53538.333333333328</v>
      </c>
      <c r="Y14" s="141">
        <f>+'NCES-Private Grads-all races'!Y15+'NCES-Public Grads-all races'!AC16</f>
        <v>52943.222222222219</v>
      </c>
      <c r="Z14" s="141">
        <f>+'NCES-Private Grads-all races'!Z15+'NCES-Public Grads-all races'!AD16</f>
        <v>54009.111111111109</v>
      </c>
      <c r="AA14" s="141">
        <f>+'NCES-Private Grads-all races'!AA15+'NCES-Public Grads-all races'!AE16</f>
        <v>52623</v>
      </c>
      <c r="AB14" s="141">
        <f>+'NCES-Private Grads-all races'!AB15+'NCES-Public Grads-all races'!AF16</f>
        <v>48266.5</v>
      </c>
      <c r="AC14" s="141">
        <f>+'NCES-Private Grads-all races'!AC15+'NCES-Public Grads-all races'!AG16</f>
        <v>45583</v>
      </c>
      <c r="AD14" s="141">
        <f>+'NCES-Private Grads-all races'!AD15+'NCES-Public Grads-all races'!AH16</f>
        <v>46289</v>
      </c>
      <c r="AE14" s="141">
        <f>+'NCES-Private Grads-all races'!AE15+'NCES-Public Grads-all races'!AI16</f>
        <v>45171</v>
      </c>
      <c r="AF14" s="141">
        <f>+'NCES-Private Grads-all races'!AF15+'NCES-Public Grads-all races'!AJ16</f>
        <v>45032.5</v>
      </c>
      <c r="AG14" s="141">
        <f>+'NCES-Private Grads-all races'!AG15+'NCES-Public Grads-all races'!AK16</f>
        <v>47622</v>
      </c>
      <c r="AH14" s="141">
        <f>+'NCES-Private Grads-all races'!AH15+'NCES-Public Grads-all races'!AL16</f>
        <v>47761</v>
      </c>
      <c r="AI14" s="141">
        <f>+'NCES-Private Grads-all races'!AI15+'NCES-Public Grads-all races'!AM16</f>
        <v>49204</v>
      </c>
      <c r="AJ14" s="141">
        <f>+'NCES-Private Grads-all races'!AJ15+'NCES-Public Grads-all races'!AN16</f>
        <v>51527</v>
      </c>
      <c r="AK14" s="141">
        <f>+'NCES-Private Grads-all races'!AK15+'NCES-Public Grads-all races'!AO16</f>
        <v>53810</v>
      </c>
      <c r="AL14" s="141">
        <f>+'NCES-Private Grads-all races'!AL15+'NCES-Public Grads-all races'!AP16</f>
        <v>55520</v>
      </c>
      <c r="AM14" s="141">
        <f>+'NCES-Private Grads-all races'!AM15+'NCES-Public Grads-all races'!AQ16</f>
        <v>56888</v>
      </c>
      <c r="AN14" s="141">
        <f>+'NCES-Private Grads-all races'!AN15+'NCES-Public Grads-all races'!AR16</f>
        <v>58619</v>
      </c>
      <c r="AO14" s="141">
        <f>+'NCES-Private Grads-all races'!AO15+'NCES-Public Grads-all races'!AS16</f>
        <v>59674</v>
      </c>
      <c r="AP14" s="141">
        <f>+'NCES-Private Grads-all races'!AP15+'NCES-Public Grads-all races'!AT16</f>
        <v>61035</v>
      </c>
      <c r="AQ14" s="141">
        <f>+'NCES-Private Grads-all races'!AQ15+'NCES-Public Grads-all races'!AU16</f>
        <v>62690</v>
      </c>
      <c r="AR14" s="141">
        <f>+'NCES-Private Grads-all races'!AR15+'NCES-Public Grads-all races'!AV16</f>
        <v>64521</v>
      </c>
      <c r="AS14" s="141">
        <f>+'NCES-Private Grads-all races'!AS15+'NCES-Public Grads-all races'!AW16</f>
        <v>67014</v>
      </c>
      <c r="AT14" s="141">
        <f>+'NCES-Private Grads-all races'!AT15+'NCES-Public Grads-all races'!AX16</f>
        <v>68511</v>
      </c>
      <c r="AU14" s="141">
        <f>+'NCES-Private Grads-all races'!AU15+'NCES-Public Grads-all races'!AY16</f>
        <v>67534</v>
      </c>
      <c r="AV14" s="141">
        <f>+'NCES-Private Grads-all races'!AV15+'NCES-Public Grads-all races'!AZ16</f>
        <v>68108</v>
      </c>
      <c r="AW14" s="141">
        <f>+'NCES-Private Grads-all races'!AW15+'NCES-Public Grads-all races'!BA16</f>
        <v>67575</v>
      </c>
      <c r="AX14" s="141">
        <f>+'NCES-Private Grads-all races'!AX15+'NCES-Public Grads-all races'!BB16</f>
        <v>67711</v>
      </c>
      <c r="AY14" s="141">
        <f>+'NCES-Private Grads-all races'!AY15+'NCES-Public Grads-all races'!BC16</f>
        <v>67866</v>
      </c>
      <c r="AZ14" s="141">
        <f>+'NCES-Private Grads-all races'!AZ15+'NCES-Public Grads-all races'!BD16</f>
        <v>65121.008000000009</v>
      </c>
      <c r="BA14" s="141">
        <f>+'NCES-Private Grads-all races'!BA15+'NCES-Public Grads-all races'!BE16</f>
        <v>64614.25</v>
      </c>
      <c r="BB14" s="141">
        <f>+'NCES-Private Grads-all races'!BB15+'NCES-Public Grads-all races'!BF16</f>
        <v>65058.695999999996</v>
      </c>
      <c r="BC14" s="141">
        <f>+'NCES-Private Grads-all races'!BC15+'NCES-Public Grads-all races'!BG16</f>
        <v>67088</v>
      </c>
      <c r="BD14" s="141">
        <f>+'NCES-Private Grads-all races'!BD15+'NCES-Public Grads-all races'!BH16</f>
        <v>68217</v>
      </c>
      <c r="BE14" s="141">
        <f>+'NCES-Private Grads-all races'!BE15+'NCES-Public Grads-all races'!BI16</f>
        <v>68029</v>
      </c>
      <c r="BF14" s="140">
        <f>+'NCES-Private Grads-all races'!BF15+'NCES-Public Grads-all races'!BJ16</f>
        <v>70710</v>
      </c>
    </row>
    <row r="15" spans="1:60">
      <c r="A15" s="160" t="s">
        <v>41</v>
      </c>
      <c r="B15" s="141">
        <f>+'NCES-Private Grads-all races'!B16+'NCES-Public Grads-all races'!F17</f>
        <v>24596</v>
      </c>
      <c r="C15" s="141">
        <f>+'NCES-Private Grads-all races'!C16+'NCES-Public Grads-all races'!G17</f>
        <v>27570</v>
      </c>
      <c r="D15" s="141">
        <f>+'NCES-Private Grads-all races'!D16+'NCES-Public Grads-all races'!H17</f>
        <v>28179.742857142857</v>
      </c>
      <c r="E15" s="141">
        <f>+'NCES-Private Grads-all races'!E16+'NCES-Public Grads-all races'!I17</f>
        <v>28789.485714285711</v>
      </c>
      <c r="F15" s="141">
        <f>+'NCES-Private Grads-all races'!F16+'NCES-Public Grads-all races'!J17</f>
        <v>29399.228571428568</v>
      </c>
      <c r="G15" s="141">
        <f>+'NCES-Private Grads-all races'!G16+'NCES-Public Grads-all races'!K17</f>
        <v>30008.971428571422</v>
      </c>
      <c r="H15" s="141">
        <f>+'NCES-Private Grads-all races'!H16+'NCES-Public Grads-all races'!L17</f>
        <v>30618.714285714286</v>
      </c>
      <c r="I15" s="141">
        <f>+'NCES-Private Grads-all races'!I16+'NCES-Public Grads-all races'!M17</f>
        <v>27711.857142857141</v>
      </c>
      <c r="J15" s="141">
        <f>+'NCES-Private Grads-all races'!J16+'NCES-Public Grads-all races'!N17</f>
        <v>27529</v>
      </c>
      <c r="K15" s="141">
        <f>+'NCES-Private Grads-all races'!K16+'NCES-Public Grads-all races'!O17</f>
        <v>27128</v>
      </c>
      <c r="L15" s="141">
        <f>+'NCES-Private Grads-all races'!L16+'NCES-Public Grads-all races'!P17</f>
        <v>26664</v>
      </c>
      <c r="M15" s="141">
        <f>+'NCES-Private Grads-all races'!M16+'NCES-Public Grads-all races'!Q17</f>
        <v>30843</v>
      </c>
      <c r="N15" s="141">
        <f>+'NCES-Private Grads-all races'!N16+'NCES-Public Grads-all races'!R17</f>
        <v>31617</v>
      </c>
      <c r="O15" s="141">
        <f>+'NCES-Private Grads-all races'!O16+'NCES-Public Grads-all races'!S17</f>
        <v>31639</v>
      </c>
      <c r="P15" s="141">
        <f>+'NCES-Private Grads-all races'!P16+'NCES-Public Grads-all races'!T17</f>
        <v>32093.333333333332</v>
      </c>
      <c r="Q15" s="141">
        <f>+'NCES-Private Grads-all races'!Q16+'NCES-Public Grads-all races'!U17</f>
        <v>31982.666666666668</v>
      </c>
      <c r="R15" s="141">
        <f>+'NCES-Private Grads-all races'!R16+'NCES-Public Grads-all races'!V17</f>
        <v>31308</v>
      </c>
      <c r="S15" s="141">
        <f>+'NCES-Private Grads-all races'!S16+'NCES-Public Grads-all races'!W17</f>
        <v>31763.555555555555</v>
      </c>
      <c r="T15" s="141">
        <f>+'NCES-Private Grads-all races'!T16+'NCES-Public Grads-all races'!X17</f>
        <v>31662.111111111109</v>
      </c>
      <c r="U15" s="141">
        <f>+'NCES-Private Grads-all races'!U16+'NCES-Public Grads-all races'!Y17</f>
        <v>30868.666666666668</v>
      </c>
      <c r="V15" s="141">
        <f>+'NCES-Private Grads-all races'!V16+'NCES-Public Grads-all races'!Z17</f>
        <v>29880.222222222223</v>
      </c>
      <c r="W15" s="141">
        <f>+'NCES-Private Grads-all races'!W16+'NCES-Public Grads-all races'!AA17</f>
        <v>28829.777777777777</v>
      </c>
      <c r="X15" s="141">
        <f>+'NCES-Private Grads-all races'!X16+'NCES-Public Grads-all races'!AB17</f>
        <v>28607.333333333336</v>
      </c>
      <c r="Y15" s="141">
        <f>+'NCES-Private Grads-all races'!Y16+'NCES-Public Grads-all races'!AC17</f>
        <v>29632.888888888891</v>
      </c>
      <c r="Z15" s="141">
        <f>+'NCES-Private Grads-all races'!Z16+'NCES-Public Grads-all races'!AD17</f>
        <v>31286.444444444445</v>
      </c>
      <c r="AA15" s="141">
        <f>+'NCES-Private Grads-all races'!AA16+'NCES-Public Grads-all races'!AE17</f>
        <v>27590</v>
      </c>
      <c r="AB15" s="141">
        <f>+'NCES-Private Grads-all races'!AB16+'NCES-Public Grads-all races'!AF17</f>
        <v>28721</v>
      </c>
      <c r="AC15" s="141">
        <f>+'NCES-Private Grads-all races'!AC16+'NCES-Public Grads-all races'!AG17</f>
        <v>27394</v>
      </c>
      <c r="AD15" s="141">
        <f>+'NCES-Private Grads-all races'!AD16+'NCES-Public Grads-all races'!AH17</f>
        <v>26641</v>
      </c>
      <c r="AE15" s="141">
        <f>+'NCES-Private Grads-all races'!AE16+'NCES-Public Grads-all races'!AI17</f>
        <v>27498</v>
      </c>
      <c r="AF15" s="141">
        <f>+'NCES-Private Grads-all races'!AF16+'NCES-Public Grads-all races'!AJ17</f>
        <v>26916.5</v>
      </c>
      <c r="AG15" s="141">
        <f>+'NCES-Private Grads-all races'!AG16+'NCES-Public Grads-all races'!AK17</f>
        <v>27011</v>
      </c>
      <c r="AH15" s="141">
        <f>+'NCES-Private Grads-all races'!AH16+'NCES-Public Grads-all races'!AL17</f>
        <v>26597</v>
      </c>
      <c r="AI15" s="141">
        <f>+'NCES-Private Grads-all races'!AI16+'NCES-Public Grads-all races'!AM17</f>
        <v>27130</v>
      </c>
      <c r="AJ15" s="141">
        <f>+'NCES-Private Grads-all races'!AJ16+'NCES-Public Grads-all races'!AN17</f>
        <v>28197.5</v>
      </c>
      <c r="AK15" s="141">
        <f>+'NCES-Private Grads-all races'!AK16+'NCES-Public Grads-all races'!AO17</f>
        <v>27847</v>
      </c>
      <c r="AL15" s="141">
        <f>+'NCES-Private Grads-all races'!AL16+'NCES-Public Grads-all races'!AP17</f>
        <v>28024</v>
      </c>
      <c r="AM15" s="141">
        <f>+'NCES-Private Grads-all races'!AM16+'NCES-Public Grads-all races'!AQ17</f>
        <v>27200</v>
      </c>
      <c r="AN15" s="141">
        <f>+'NCES-Private Grads-all races'!AN16+'NCES-Public Grads-all races'!AR17</f>
        <v>27151</v>
      </c>
      <c r="AO15" s="141">
        <f>+'NCES-Private Grads-all races'!AO16+'NCES-Public Grads-all races'!AS17</f>
        <v>27180</v>
      </c>
      <c r="AP15" s="141">
        <f>+'NCES-Private Grads-all races'!AP16+'NCES-Public Grads-all races'!AT17</f>
        <v>26995</v>
      </c>
      <c r="AQ15" s="141">
        <f>+'NCES-Private Grads-all races'!AQ16+'NCES-Public Grads-all races'!AU17</f>
        <v>26673</v>
      </c>
      <c r="AR15" s="141">
        <f>+'NCES-Private Grads-all races'!AR16+'NCES-Public Grads-all races'!AV17</f>
        <v>27098</v>
      </c>
      <c r="AS15" s="141">
        <f>+'NCES-Private Grads-all races'!AS16+'NCES-Public Grads-all races'!AW17</f>
        <v>27536</v>
      </c>
      <c r="AT15" s="141">
        <f>+'NCES-Private Grads-all races'!AT16+'NCES-Public Grads-all races'!AX17</f>
        <v>28150</v>
      </c>
      <c r="AU15" s="141">
        <f>+'NCES-Private Grads-all races'!AU16+'NCES-Public Grads-all races'!AY17</f>
        <v>27865</v>
      </c>
      <c r="AV15" s="141">
        <f>+'NCES-Private Grads-all races'!AV16+'NCES-Public Grads-all races'!AZ17</f>
        <v>28783</v>
      </c>
      <c r="AW15" s="141">
        <f>+'NCES-Private Grads-all races'!AW16+'NCES-Public Grads-all races'!BA17</f>
        <v>30571</v>
      </c>
      <c r="AX15" s="141">
        <f>+'NCES-Private Grads-all races'!AX16+'NCES-Public Grads-all races'!BB17</f>
        <v>29578</v>
      </c>
      <c r="AY15" s="141">
        <f>+'NCES-Private Grads-all races'!AY16+'NCES-Public Grads-all races'!BC17</f>
        <v>30092</v>
      </c>
      <c r="AZ15" s="141">
        <f>+'NCES-Private Grads-all races'!AZ16+'NCES-Public Grads-all races'!BD17</f>
        <v>29056.415999999997</v>
      </c>
      <c r="BA15" s="141">
        <f>+'NCES-Private Grads-all races'!BA16+'NCES-Public Grads-all races'!BE17</f>
        <v>29640.420000000002</v>
      </c>
      <c r="BB15" s="141">
        <f>+'NCES-Private Grads-all races'!BB16+'NCES-Public Grads-all races'!BF17</f>
        <v>30819.018</v>
      </c>
      <c r="BC15" s="141">
        <f>+'NCES-Private Grads-all races'!BC16+'NCES-Public Grads-all races'!BG17</f>
        <v>31520</v>
      </c>
      <c r="BD15" s="141">
        <f>+'NCES-Private Grads-all races'!BD16+'NCES-Public Grads-all races'!BH17</f>
        <v>32879</v>
      </c>
      <c r="BE15" s="141">
        <f>+'NCES-Private Grads-all races'!BE16+'NCES-Public Grads-all races'!BI17</f>
        <v>32463</v>
      </c>
      <c r="BF15" s="140">
        <f>+'NCES-Private Grads-all races'!BF16+'NCES-Public Grads-all races'!BJ17</f>
        <v>31310</v>
      </c>
    </row>
    <row r="16" spans="1:60">
      <c r="A16" s="160" t="s">
        <v>42</v>
      </c>
      <c r="B16" s="141">
        <f>+'NCES-Private Grads-all races'!B17+'NCES-Public Grads-all races'!F18</f>
        <v>54380</v>
      </c>
      <c r="C16" s="141">
        <f>+'NCES-Private Grads-all races'!C17+'NCES-Public Grads-all races'!G18</f>
        <v>68480</v>
      </c>
      <c r="D16" s="141">
        <f>+'NCES-Private Grads-all races'!D17+'NCES-Public Grads-all races'!H18</f>
        <v>68773.2</v>
      </c>
      <c r="E16" s="141">
        <f>+'NCES-Private Grads-all races'!E17+'NCES-Public Grads-all races'!I18</f>
        <v>69066.399999999994</v>
      </c>
      <c r="F16" s="141">
        <f>+'NCES-Private Grads-all races'!F17+'NCES-Public Grads-all races'!J18</f>
        <v>69359.599999999991</v>
      </c>
      <c r="G16" s="141">
        <f>+'NCES-Private Grads-all races'!G17+'NCES-Public Grads-all races'!K18</f>
        <v>69652.799999999988</v>
      </c>
      <c r="H16" s="141">
        <f>+'NCES-Private Grads-all races'!H17+'NCES-Public Grads-all races'!L18</f>
        <v>69946</v>
      </c>
      <c r="I16" s="141">
        <f>+'NCES-Private Grads-all races'!I17+'NCES-Public Grads-all races'!M18</f>
        <v>69901</v>
      </c>
      <c r="J16" s="141">
        <f>+'NCES-Private Grads-all races'!J17+'NCES-Public Grads-all races'!N18</f>
        <v>71342</v>
      </c>
      <c r="K16" s="141">
        <f>+'NCES-Private Grads-all races'!K17+'NCES-Public Grads-all races'!O18</f>
        <v>70422</v>
      </c>
      <c r="L16" s="141">
        <f>+'NCES-Private Grads-all races'!L17+'NCES-Public Grads-all races'!P18</f>
        <v>70162</v>
      </c>
      <c r="M16" s="141">
        <f>+'NCES-Private Grads-all races'!M17+'NCES-Public Grads-all races'!Q18</f>
        <v>72194</v>
      </c>
      <c r="N16" s="141">
        <f>+'NCES-Private Grads-all races'!N17+'NCES-Public Grads-all races'!R18</f>
        <v>73498</v>
      </c>
      <c r="O16" s="141">
        <f>+'NCES-Private Grads-all races'!O17+'NCES-Public Grads-all races'!S18</f>
        <v>74146</v>
      </c>
      <c r="P16" s="141">
        <f>+'NCES-Private Grads-all races'!P17+'NCES-Public Grads-all races'!T18</f>
        <v>73880</v>
      </c>
      <c r="Q16" s="141">
        <f>+'NCES-Private Grads-all races'!Q17+'NCES-Public Grads-all races'!U18</f>
        <v>75318</v>
      </c>
      <c r="R16" s="141">
        <f>+'NCES-Private Grads-all races'!R17+'NCES-Public Grads-all races'!V18</f>
        <v>73643</v>
      </c>
      <c r="S16" s="141">
        <f>+'NCES-Private Grads-all races'!S17+'NCES-Public Grads-all races'!W18</f>
        <v>72155.888888888891</v>
      </c>
      <c r="T16" s="141">
        <f>+'NCES-Private Grads-all races'!T17+'NCES-Public Grads-all races'!X18</f>
        <v>73950.777777777781</v>
      </c>
      <c r="U16" s="141">
        <f>+'NCES-Private Grads-all races'!U17+'NCES-Public Grads-all races'!Y18</f>
        <v>71503.666666666672</v>
      </c>
      <c r="V16" s="141">
        <f>+'NCES-Private Grads-all races'!V17+'NCES-Public Grads-all races'!Z18</f>
        <v>69503.555555555562</v>
      </c>
      <c r="W16" s="141">
        <f>+'NCES-Private Grads-all races'!W17+'NCES-Public Grads-all races'!AA18</f>
        <v>69925.444444444438</v>
      </c>
      <c r="X16" s="141">
        <f>+'NCES-Private Grads-all races'!X17+'NCES-Public Grads-all races'!AB18</f>
        <v>68525.333333333328</v>
      </c>
      <c r="Y16" s="141">
        <f>+'NCES-Private Grads-all races'!Y17+'NCES-Public Grads-all races'!AC18</f>
        <v>68061.222222222219</v>
      </c>
      <c r="Z16" s="141">
        <f>+'NCES-Private Grads-all races'!Z17+'NCES-Public Grads-all races'!AD18</f>
        <v>70456.111111111109</v>
      </c>
      <c r="AA16" s="141">
        <f>+'NCES-Private Grads-all races'!AA17+'NCES-Public Grads-all races'!AE18</f>
        <v>72570</v>
      </c>
      <c r="AB16" s="141">
        <f>+'NCES-Private Grads-all races'!AB17+'NCES-Public Grads-all races'!AF18</f>
        <v>67677.5</v>
      </c>
      <c r="AC16" s="141">
        <f>+'NCES-Private Grads-all races'!AC17+'NCES-Public Grads-all races'!AG18</f>
        <v>65983</v>
      </c>
      <c r="AD16" s="141">
        <f>+'NCES-Private Grads-all races'!AD17+'NCES-Public Grads-all races'!AH18</f>
        <v>64348</v>
      </c>
      <c r="AE16" s="141">
        <f>+'NCES-Private Grads-all races'!AE17+'NCES-Public Grads-all races'!AI18</f>
        <v>63443</v>
      </c>
      <c r="AF16" s="141">
        <f>+'NCES-Private Grads-all races'!AF17+'NCES-Public Grads-all races'!AJ18</f>
        <v>60801.5</v>
      </c>
      <c r="AG16" s="141">
        <f>+'NCES-Private Grads-all races'!AG17+'NCES-Public Grads-all races'!AK18</f>
        <v>62684</v>
      </c>
      <c r="AH16" s="141">
        <f>+'NCES-Private Grads-all races'!AH17+'NCES-Public Grads-all races'!AL18</f>
        <v>60286</v>
      </c>
      <c r="AI16" s="141">
        <f>+'NCES-Private Grads-all races'!AI17+'NCES-Public Grads-all races'!AM18</f>
        <v>61451</v>
      </c>
      <c r="AJ16" s="141">
        <f>+'NCES-Private Grads-all races'!AJ17+'NCES-Public Grads-all races'!AN18</f>
        <v>63202.5</v>
      </c>
      <c r="AK16" s="141">
        <f>+'NCES-Private Grads-all races'!AK17+'NCES-Public Grads-all races'!AO18</f>
        <v>64337</v>
      </c>
      <c r="AL16" s="141">
        <f>+'NCES-Private Grads-all races'!AL17+'NCES-Public Grads-all races'!AP18</f>
        <v>66281</v>
      </c>
      <c r="AM16" s="141">
        <f>+'NCES-Private Grads-all races'!AM17+'NCES-Public Grads-all races'!AQ18</f>
        <v>67587</v>
      </c>
      <c r="AN16" s="141">
        <f>+'NCES-Private Grads-all races'!AN17+'NCES-Public Grads-all races'!AR18</f>
        <v>70669.5</v>
      </c>
      <c r="AO16" s="141">
        <f>+'NCES-Private Grads-all races'!AO17+'NCES-Public Grads-all races'!AS18</f>
        <v>74826</v>
      </c>
      <c r="AP16" s="141">
        <f>+'NCES-Private Grads-all races'!AP17+'NCES-Public Grads-all races'!AT18</f>
        <v>77356</v>
      </c>
      <c r="AQ16" s="141">
        <f>+'NCES-Private Grads-all races'!AQ17+'NCES-Public Grads-all races'!AU18</f>
        <v>80340</v>
      </c>
      <c r="AR16" s="141">
        <f>+'NCES-Private Grads-all races'!AR17+'NCES-Public Grads-all races'!AV18</f>
        <v>82170</v>
      </c>
      <c r="AS16" s="141">
        <f>+'NCES-Private Grads-all races'!AS17+'NCES-Public Grads-all races'!AW18</f>
        <v>81621</v>
      </c>
      <c r="AT16" s="141">
        <f>+'NCES-Private Grads-all races'!AT17+'NCES-Public Grads-all races'!AX18</f>
        <v>88967</v>
      </c>
      <c r="AU16" s="141">
        <f>+'NCES-Private Grads-all races'!AU17+'NCES-Public Grads-all races'!AY18</f>
        <v>92442</v>
      </c>
      <c r="AV16" s="141">
        <f>+'NCES-Private Grads-all races'!AV17+'NCES-Public Grads-all races'!AZ18</f>
        <v>94724</v>
      </c>
      <c r="AW16" s="141">
        <f>+'NCES-Private Grads-all races'!AW17+'NCES-Public Grads-all races'!BA18</f>
        <v>96202</v>
      </c>
      <c r="AX16" s="141">
        <f>+'NCES-Private Grads-all races'!AX17+'NCES-Public Grads-all races'!BB18</f>
        <v>100692</v>
      </c>
      <c r="AY16" s="141">
        <f>+'NCES-Private Grads-all races'!AY17+'NCES-Public Grads-all races'!BC18</f>
        <v>101459</v>
      </c>
      <c r="AZ16" s="141">
        <f>+'NCES-Private Grads-all races'!AZ17+'NCES-Public Grads-all races'!BD18</f>
        <v>99355.046000000002</v>
      </c>
      <c r="BA16" s="141">
        <f>+'NCES-Private Grads-all races'!BA17+'NCES-Public Grads-all races'!BE18</f>
        <v>102054.88799999999</v>
      </c>
      <c r="BB16" s="141">
        <f>+'NCES-Private Grads-all races'!BB17+'NCES-Public Grads-all races'!BF18</f>
        <v>104845.63400000001</v>
      </c>
      <c r="BC16" s="141">
        <f>+'NCES-Private Grads-all races'!BC17+'NCES-Public Grads-all races'!BG18</f>
        <v>109766</v>
      </c>
      <c r="BD16" s="141">
        <f>+'NCES-Private Grads-all races'!BD17+'NCES-Public Grads-all races'!BH18</f>
        <v>113940</v>
      </c>
      <c r="BE16" s="141">
        <f>+'NCES-Private Grads-all races'!BE17+'NCES-Public Grads-all races'!BI18</f>
        <v>115818</v>
      </c>
      <c r="BF16" s="140">
        <f>+'NCES-Private Grads-all races'!BF17+'NCES-Public Grads-all races'!BJ18</f>
        <v>114580</v>
      </c>
    </row>
    <row r="17" spans="1:58">
      <c r="A17" s="160" t="s">
        <v>43</v>
      </c>
      <c r="B17" s="141">
        <f>+'NCES-Private Grads-all races'!B18+'NCES-Public Grads-all races'!F19</f>
        <v>30832</v>
      </c>
      <c r="C17" s="141">
        <f>+'NCES-Private Grads-all races'!C18+'NCES-Public Grads-all races'!G19</f>
        <v>36558</v>
      </c>
      <c r="D17" s="141">
        <f>+'NCES-Private Grads-all races'!D18+'NCES-Public Grads-all races'!H19</f>
        <v>36670.142857142855</v>
      </c>
      <c r="E17" s="141">
        <f>+'NCES-Private Grads-all races'!E18+'NCES-Public Grads-all races'!I19</f>
        <v>36782.285714285717</v>
      </c>
      <c r="F17" s="141">
        <f>+'NCES-Private Grads-all races'!F18+'NCES-Public Grads-all races'!J19</f>
        <v>36894.428571428572</v>
      </c>
      <c r="G17" s="141">
        <f>+'NCES-Private Grads-all races'!G18+'NCES-Public Grads-all races'!K19</f>
        <v>37006.571428571428</v>
      </c>
      <c r="H17" s="141">
        <f>+'NCES-Private Grads-all races'!H18+'NCES-Public Grads-all races'!L19</f>
        <v>37118.714285714283</v>
      </c>
      <c r="I17" s="141">
        <f>+'NCES-Private Grads-all races'!I18+'NCES-Public Grads-all races'!M19</f>
        <v>38874.857142857145</v>
      </c>
      <c r="J17" s="141">
        <f>+'NCES-Private Grads-all races'!J18+'NCES-Public Grads-all races'!N19</f>
        <v>39209</v>
      </c>
      <c r="K17" s="141">
        <f>+'NCES-Private Grads-all races'!K18+'NCES-Public Grads-all races'!O19</f>
        <v>38149</v>
      </c>
      <c r="L17" s="141">
        <f>+'NCES-Private Grads-all races'!L18+'NCES-Public Grads-all races'!P19</f>
        <v>37570</v>
      </c>
      <c r="M17" s="141">
        <f>+'NCES-Private Grads-all races'!M18+'NCES-Public Grads-all races'!Q19</f>
        <v>38709</v>
      </c>
      <c r="N17" s="141">
        <f>+'NCES-Private Grads-all races'!N18+'NCES-Public Grads-all races'!R19</f>
        <v>38563</v>
      </c>
      <c r="O17" s="141">
        <f>+'NCES-Private Grads-all races'!O18+'NCES-Public Grads-all races'!S19</f>
        <v>39477</v>
      </c>
      <c r="P17" s="141">
        <f>+'NCES-Private Grads-all races'!P18+'NCES-Public Grads-all races'!T19</f>
        <v>39950</v>
      </c>
      <c r="Q17" s="141">
        <f>+'NCES-Private Grads-all races'!Q18+'NCES-Public Grads-all races'!U19</f>
        <v>40215</v>
      </c>
      <c r="R17" s="141">
        <f>+'NCES-Private Grads-all races'!R18+'NCES-Public Grads-all races'!V19</f>
        <v>40340</v>
      </c>
      <c r="S17" s="141">
        <f>+'NCES-Private Grads-all races'!S18+'NCES-Public Grads-all races'!W19</f>
        <v>39917.777777777781</v>
      </c>
      <c r="T17" s="141">
        <f>+'NCES-Private Grads-all races'!T18+'NCES-Public Grads-all races'!X19</f>
        <v>39397.555555555555</v>
      </c>
      <c r="U17" s="141">
        <f>+'NCES-Private Grads-all races'!U18+'NCES-Public Grads-all races'!Y19</f>
        <v>37857.333333333336</v>
      </c>
      <c r="V17" s="141">
        <f>+'NCES-Private Grads-all races'!V18+'NCES-Public Grads-all races'!Z19</f>
        <v>36320.111111111109</v>
      </c>
      <c r="W17" s="141">
        <f>+'NCES-Private Grads-all races'!W18+'NCES-Public Grads-all races'!AA19</f>
        <v>35699.888888888891</v>
      </c>
      <c r="X17" s="141">
        <f>+'NCES-Private Grads-all races'!X18+'NCES-Public Grads-all races'!AB19</f>
        <v>35533.666666666664</v>
      </c>
      <c r="Y17" s="141">
        <f>+'NCES-Private Grads-all races'!Y18+'NCES-Public Grads-all races'!AC19</f>
        <v>36603.444444444445</v>
      </c>
      <c r="Z17" s="141">
        <f>+'NCES-Private Grads-all races'!Z18+'NCES-Public Grads-all races'!AD19</f>
        <v>37242.222222222219</v>
      </c>
      <c r="AA17" s="141">
        <f>+'NCES-Private Grads-all races'!AA18+'NCES-Public Grads-all races'!AE19</f>
        <v>37878</v>
      </c>
      <c r="AB17" s="141">
        <f>+'NCES-Private Grads-all races'!AB18+'NCES-Public Grads-all races'!AF19</f>
        <v>36898.5</v>
      </c>
      <c r="AC17" s="141">
        <f>+'NCES-Private Grads-all races'!AC18+'NCES-Public Grads-all races'!AG19</f>
        <v>34487</v>
      </c>
      <c r="AD17" s="141">
        <f>+'NCES-Private Grads-all races'!AD18+'NCES-Public Grads-all races'!AH19</f>
        <v>34150</v>
      </c>
      <c r="AE17" s="141">
        <f>+'NCES-Private Grads-all races'!AE18+'NCES-Public Grads-all races'!AI19</f>
        <v>32078</v>
      </c>
      <c r="AF17" s="141">
        <f>+'NCES-Private Grads-all races'!AF18+'NCES-Public Grads-all races'!AJ19</f>
        <v>33288</v>
      </c>
      <c r="AG17" s="141">
        <f>+'NCES-Private Grads-all races'!AG18+'NCES-Public Grads-all races'!AK19</f>
        <v>34615</v>
      </c>
      <c r="AH17" s="141">
        <f>+'NCES-Private Grads-all races'!AH18+'NCES-Public Grads-all races'!AL19</f>
        <v>34509</v>
      </c>
      <c r="AI17" s="141">
        <f>+'NCES-Private Grads-all races'!AI18+'NCES-Public Grads-all races'!AM19</f>
        <v>34786</v>
      </c>
      <c r="AJ17" s="141">
        <f>+'NCES-Private Grads-all races'!AJ18+'NCES-Public Grads-all races'!AN19</f>
        <v>36655.5</v>
      </c>
      <c r="AK17" s="141">
        <f>+'NCES-Private Grads-all races'!AK18+'NCES-Public Grads-all races'!AO19</f>
        <v>38191</v>
      </c>
      <c r="AL17" s="141">
        <f>+'NCES-Private Grads-all races'!AL18+'NCES-Public Grads-all races'!AP19</f>
        <v>39028</v>
      </c>
      <c r="AM17" s="141">
        <f>+'NCES-Private Grads-all races'!AM18+'NCES-Public Grads-all races'!AQ19</f>
        <v>39039</v>
      </c>
      <c r="AN17" s="141">
        <f>+'NCES-Private Grads-all races'!AN18+'NCES-Public Grads-all races'!AR19</f>
        <v>38417.5</v>
      </c>
      <c r="AO17" s="141">
        <f>+'NCES-Private Grads-all races'!AO18+'NCES-Public Grads-all races'!AS19</f>
        <v>38244</v>
      </c>
      <c r="AP17" s="141">
        <f>+'NCES-Private Grads-all races'!AP18+'NCES-Public Grads-all races'!AT19</f>
        <v>38464</v>
      </c>
      <c r="AQ17" s="141">
        <f>+'NCES-Private Grads-all races'!AQ18+'NCES-Public Grads-all races'!AU19</f>
        <v>38007</v>
      </c>
      <c r="AR17" s="141">
        <f>+'NCES-Private Grads-all races'!AR18+'NCES-Public Grads-all races'!AV19</f>
        <v>38402</v>
      </c>
      <c r="AS17" s="141">
        <f>+'NCES-Private Grads-all races'!AS18+'NCES-Public Grads-all races'!AW19</f>
        <v>39130</v>
      </c>
      <c r="AT17" s="141">
        <f>+'NCES-Private Grads-all races'!AT18+'NCES-Public Grads-all races'!AX19</f>
        <v>39410</v>
      </c>
      <c r="AU17" s="141">
        <f>+'NCES-Private Grads-all races'!AU18+'NCES-Public Grads-all races'!AY19</f>
        <v>38749</v>
      </c>
      <c r="AV17" s="141">
        <f>+'NCES-Private Grads-all races'!AV18+'NCES-Public Grads-all races'!AZ19</f>
        <v>40148</v>
      </c>
      <c r="AW17" s="141">
        <f>+'NCES-Private Grads-all races'!AW18+'NCES-Public Grads-all races'!BA19</f>
        <v>39504</v>
      </c>
      <c r="AX17" s="141">
        <f>+'NCES-Private Grads-all races'!AX18+'NCES-Public Grads-all races'!BB19</f>
        <v>39180</v>
      </c>
      <c r="AY17" s="141">
        <f>+'NCES-Private Grads-all races'!AY18+'NCES-Public Grads-all races'!BC19</f>
        <v>39023</v>
      </c>
      <c r="AZ17" s="141">
        <f>+'NCES-Private Grads-all races'!AZ18+'NCES-Public Grads-all races'!BD19</f>
        <v>38019.967000000004</v>
      </c>
      <c r="BA17" s="141">
        <f>+'NCES-Private Grads-all races'!BA18+'NCES-Public Grads-all races'!BE19</f>
        <v>38914.449999999997</v>
      </c>
      <c r="BB17" s="141">
        <f>+'NCES-Private Grads-all races'!BB18+'NCES-Public Grads-all races'!BF19</f>
        <v>40678.063999999998</v>
      </c>
      <c r="BC17" s="141">
        <f>+'NCES-Private Grads-all races'!BC18+'NCES-Public Grads-all races'!BG19</f>
        <v>43972</v>
      </c>
      <c r="BD17" s="141">
        <f>+'NCES-Private Grads-all races'!BD18+'NCES-Public Grads-all races'!BH19</f>
        <v>43605</v>
      </c>
      <c r="BE17" s="141">
        <f>+'NCES-Private Grads-all races'!BE18+'NCES-Public Grads-all races'!BI19</f>
        <v>45364</v>
      </c>
      <c r="BF17" s="140">
        <f>+'NCES-Private Grads-all races'!BF18+'NCES-Public Grads-all races'!BJ19</f>
        <v>45120</v>
      </c>
    </row>
    <row r="18" spans="1:58">
      <c r="A18" s="160" t="s">
        <v>44</v>
      </c>
      <c r="B18" s="141">
        <f>+'NCES-Private Grads-all races'!B19+'NCES-Public Grads-all races'!F20</f>
        <v>28598</v>
      </c>
      <c r="C18" s="141">
        <f>+'NCES-Private Grads-all races'!C19+'NCES-Public Grads-all races'!G20</f>
        <v>33892</v>
      </c>
      <c r="D18" s="141">
        <f>+'NCES-Private Grads-all races'!D19+'NCES-Public Grads-all races'!H20</f>
        <v>34241.599999999999</v>
      </c>
      <c r="E18" s="141">
        <f>+'NCES-Private Grads-all races'!E19+'NCES-Public Grads-all races'!I20</f>
        <v>34591.199999999997</v>
      </c>
      <c r="F18" s="141">
        <f>+'NCES-Private Grads-all races'!F19+'NCES-Public Grads-all races'!J20</f>
        <v>34940.799999999996</v>
      </c>
      <c r="G18" s="141">
        <f>+'NCES-Private Grads-all races'!G19+'NCES-Public Grads-all races'!K20</f>
        <v>35290.399999999994</v>
      </c>
      <c r="H18" s="141">
        <f>+'NCES-Private Grads-all races'!H19+'NCES-Public Grads-all races'!L20</f>
        <v>35640</v>
      </c>
      <c r="I18" s="141">
        <f>+'NCES-Private Grads-all races'!I19+'NCES-Public Grads-all races'!M20</f>
        <v>36692</v>
      </c>
      <c r="J18" s="141">
        <f>+'NCES-Private Grads-all races'!J19+'NCES-Public Grads-all races'!N20</f>
        <v>37771</v>
      </c>
      <c r="K18" s="141">
        <f>+'NCES-Private Grads-all races'!K19+'NCES-Public Grads-all races'!O20</f>
        <v>36850</v>
      </c>
      <c r="L18" s="141">
        <f>+'NCES-Private Grads-all races'!L19+'NCES-Public Grads-all races'!P20</f>
        <v>39537</v>
      </c>
      <c r="M18" s="141">
        <f>+'NCES-Private Grads-all races'!M19+'NCES-Public Grads-all races'!Q20</f>
        <v>40712</v>
      </c>
      <c r="N18" s="141">
        <f>+'NCES-Private Grads-all races'!N19+'NCES-Public Grads-all races'!R20</f>
        <v>41073</v>
      </c>
      <c r="O18" s="141">
        <f>+'NCES-Private Grads-all races'!O19+'NCES-Public Grads-all races'!S20</f>
        <v>40780</v>
      </c>
      <c r="P18" s="141">
        <f>+'NCES-Private Grads-all races'!P19+'NCES-Public Grads-all races'!T20</f>
        <v>41632.666666666664</v>
      </c>
      <c r="Q18" s="141">
        <f>+'NCES-Private Grads-all races'!Q19+'NCES-Public Grads-all races'!U20</f>
        <v>40874.333333333336</v>
      </c>
      <c r="R18" s="141">
        <f>+'NCES-Private Grads-all races'!R19+'NCES-Public Grads-all races'!V20</f>
        <v>41390</v>
      </c>
      <c r="S18" s="141">
        <f>+'NCES-Private Grads-all races'!S19+'NCES-Public Grads-all races'!W20</f>
        <v>41018.833333333336</v>
      </c>
      <c r="T18" s="141">
        <f>+'NCES-Private Grads-all races'!T19+'NCES-Public Grads-all races'!X20</f>
        <v>41297.666666666664</v>
      </c>
      <c r="U18" s="141">
        <f>+'NCES-Private Grads-all races'!U19+'NCES-Public Grads-all races'!Y20</f>
        <v>40199.5</v>
      </c>
      <c r="V18" s="141">
        <f>+'NCES-Private Grads-all races'!V19+'NCES-Public Grads-all races'!Z20</f>
        <v>39408.333333333336</v>
      </c>
      <c r="W18" s="141">
        <f>+'NCES-Private Grads-all races'!W19+'NCES-Public Grads-all races'!AA20</f>
        <v>37087.166666666664</v>
      </c>
      <c r="X18" s="141">
        <f>+'NCES-Private Grads-all races'!X19+'NCES-Public Grads-all races'!AB20</f>
        <v>37066</v>
      </c>
      <c r="Y18" s="141">
        <f>+'NCES-Private Grads-all races'!Y19+'NCES-Public Grads-all races'!AC20</f>
        <v>38544.833333333336</v>
      </c>
      <c r="Z18" s="141">
        <f>+'NCES-Private Grads-all races'!Z19+'NCES-Public Grads-all races'!AD20</f>
        <v>38636.666666666672</v>
      </c>
      <c r="AA18" s="141">
        <f>+'NCES-Private Grads-all races'!AA19+'NCES-Public Grads-all races'!AE20</f>
        <v>39522.5</v>
      </c>
      <c r="AB18" s="141">
        <f>+'NCES-Private Grads-all races'!AB19+'NCES-Public Grads-all races'!AF20</f>
        <v>34890.25</v>
      </c>
      <c r="AC18" s="141">
        <f>+'NCES-Private Grads-all races'!AC19+'NCES-Public Grads-all races'!AG20</f>
        <v>35311</v>
      </c>
      <c r="AD18" s="141">
        <f>+'NCES-Private Grads-all races'!AD19+'NCES-Public Grads-all races'!AH20</f>
        <v>33010</v>
      </c>
      <c r="AE18" s="141">
        <f>+'NCES-Private Grads-all races'!AE19+'NCES-Public Grads-all races'!AI20</f>
        <v>33680</v>
      </c>
      <c r="AF18" s="141">
        <f>+'NCES-Private Grads-all races'!AF19+'NCES-Public Grads-all races'!AJ20</f>
        <v>32983.5</v>
      </c>
      <c r="AG18" s="141">
        <f>+'NCES-Private Grads-all races'!AG19+'NCES-Public Grads-all races'!AK20</f>
        <v>33058</v>
      </c>
      <c r="AH18" s="141">
        <f>+'NCES-Private Grads-all races'!AH19+'NCES-Public Grads-all races'!AL20</f>
        <v>32883</v>
      </c>
      <c r="AI18" s="141">
        <f>+'NCES-Private Grads-all races'!AI19+'NCES-Public Grads-all races'!AM20</f>
        <v>33247</v>
      </c>
      <c r="AJ18" s="141">
        <f>+'NCES-Private Grads-all races'!AJ19+'NCES-Public Grads-all races'!AN20</f>
        <v>34039.5</v>
      </c>
      <c r="AK18" s="141">
        <f>+'NCES-Private Grads-all races'!AK19+'NCES-Public Grads-all races'!AO20</f>
        <v>34410</v>
      </c>
      <c r="AL18" s="141">
        <f>+'NCES-Private Grads-all races'!AL19+'NCES-Public Grads-all races'!AP20</f>
        <v>35149</v>
      </c>
      <c r="AM18" s="141">
        <f>+'NCES-Private Grads-all races'!AM19+'NCES-Public Grads-all races'!AQ20</f>
        <v>32949</v>
      </c>
      <c r="AN18" s="141">
        <f>+'NCES-Private Grads-all races'!AN19+'NCES-Public Grads-all races'!AR20</f>
        <v>34178.5</v>
      </c>
      <c r="AO18" s="141">
        <f>+'NCES-Private Grads-all races'!AO19+'NCES-Public Grads-all races'!AS20</f>
        <v>35312</v>
      </c>
      <c r="AP18" s="141">
        <f>+'NCES-Private Grads-all races'!AP19+'NCES-Public Grads-all races'!AT20</f>
        <v>36125</v>
      </c>
      <c r="AQ18" s="141">
        <f>+'NCES-Private Grads-all races'!AQ19+'NCES-Public Grads-all races'!AU20</f>
        <v>36389</v>
      </c>
      <c r="AR18" s="141">
        <f>+'NCES-Private Grads-all races'!AR19+'NCES-Public Grads-all races'!AV20</f>
        <v>38050</v>
      </c>
      <c r="AS18" s="141">
        <f>+'NCES-Private Grads-all races'!AS19+'NCES-Public Grads-all races'!AW20</f>
        <v>38318</v>
      </c>
      <c r="AT18" s="141">
        <f>+'NCES-Private Grads-all races'!AT19+'NCES-Public Grads-all races'!AX20</f>
        <v>38443</v>
      </c>
      <c r="AU18" s="141">
        <f>+'NCES-Private Grads-all races'!AU19+'NCES-Public Grads-all races'!AY20</f>
        <v>42184</v>
      </c>
      <c r="AV18" s="141">
        <f>+'NCES-Private Grads-all races'!AV19+'NCES-Public Grads-all races'!AZ20</f>
        <v>43453</v>
      </c>
      <c r="AW18" s="141">
        <f>+'NCES-Private Grads-all races'!AW19+'NCES-Public Grads-all races'!BA20</f>
        <v>43668</v>
      </c>
      <c r="AX18" s="141">
        <f>+'NCES-Private Grads-all races'!AX19+'NCES-Public Grads-all races'!BB20</f>
        <v>44427</v>
      </c>
      <c r="AY18" s="141">
        <f>+'NCES-Private Grads-all races'!AY19+'NCES-Public Grads-all races'!BC20</f>
        <v>45256</v>
      </c>
      <c r="AZ18" s="141">
        <f>+'NCES-Private Grads-all races'!AZ19+'NCES-Public Grads-all races'!BD20</f>
        <v>44634.690999999999</v>
      </c>
      <c r="BA18" s="141">
        <f>+'NCES-Private Grads-all races'!BA19+'NCES-Public Grads-all races'!BE20</f>
        <v>46508.06</v>
      </c>
      <c r="BB18" s="141">
        <f>+'NCES-Private Grads-all races'!BB19+'NCES-Public Grads-all races'!BF20</f>
        <v>48079.839999999997</v>
      </c>
      <c r="BC18" s="141">
        <f>+'NCES-Private Grads-all races'!BC19+'NCES-Public Grads-all races'!BG20</f>
        <v>51826</v>
      </c>
      <c r="BD18" s="141">
        <f>+'NCES-Private Grads-all races'!BD19+'NCES-Public Grads-all races'!BH20</f>
        <v>53863</v>
      </c>
      <c r="BE18" s="141">
        <f>+'NCES-Private Grads-all races'!BE19+'NCES-Public Grads-all races'!BI20</f>
        <v>52750</v>
      </c>
      <c r="BF18" s="140">
        <f>+'NCES-Private Grads-all races'!BF19+'NCES-Public Grads-all races'!BJ20</f>
        <v>52840</v>
      </c>
    </row>
    <row r="19" spans="1:58">
      <c r="A19" s="160" t="s">
        <v>45</v>
      </c>
      <c r="B19" s="141">
        <f>+'NCES-Private Grads-all races'!B20+'NCES-Public Grads-all races'!F21</f>
        <v>42527</v>
      </c>
      <c r="C19" s="141">
        <f>+'NCES-Private Grads-all races'!C20+'NCES-Public Grads-all races'!G21</f>
        <v>48961</v>
      </c>
      <c r="D19" s="141">
        <f>+'NCES-Private Grads-all races'!D20+'NCES-Public Grads-all races'!H21</f>
        <v>49492.800000000003</v>
      </c>
      <c r="E19" s="141">
        <f>+'NCES-Private Grads-all races'!E20+'NCES-Public Grads-all races'!I21</f>
        <v>50024.600000000006</v>
      </c>
      <c r="F19" s="141">
        <f>+'NCES-Private Grads-all races'!F20+'NCES-Public Grads-all races'!J21</f>
        <v>50556.400000000009</v>
      </c>
      <c r="G19" s="141">
        <f>+'NCES-Private Grads-all races'!G20+'NCES-Public Grads-all races'!K21</f>
        <v>51088.200000000012</v>
      </c>
      <c r="H19" s="141">
        <f>+'NCES-Private Grads-all races'!H20+'NCES-Public Grads-all races'!L21</f>
        <v>51620</v>
      </c>
      <c r="I19" s="141">
        <f>+'NCES-Private Grads-all races'!I20+'NCES-Public Grads-all races'!M21</f>
        <v>53160</v>
      </c>
      <c r="J19" s="141">
        <f>+'NCES-Private Grads-all races'!J20+'NCES-Public Grads-all races'!N21</f>
        <v>54322</v>
      </c>
      <c r="K19" s="141">
        <f>+'NCES-Private Grads-all races'!K20+'NCES-Public Grads-all races'!O21</f>
        <v>54815</v>
      </c>
      <c r="L19" s="141">
        <f>+'NCES-Private Grads-all races'!L20+'NCES-Public Grads-all races'!P21</f>
        <v>52341</v>
      </c>
      <c r="M19" s="141">
        <f>+'NCES-Private Grads-all races'!M20+'NCES-Public Grads-all races'!Q21</f>
        <v>52363</v>
      </c>
      <c r="N19" s="141">
        <f>+'NCES-Private Grads-all races'!N20+'NCES-Public Grads-all races'!R21</f>
        <v>55118</v>
      </c>
      <c r="O19" s="141">
        <f>+'NCES-Private Grads-all races'!O20+'NCES-Public Grads-all races'!S21</f>
        <v>54290</v>
      </c>
      <c r="P19" s="141">
        <f>+'NCES-Private Grads-all races'!P20+'NCES-Public Grads-all races'!T21</f>
        <v>52590.333333333336</v>
      </c>
      <c r="Q19" s="141">
        <f>+'NCES-Private Grads-all races'!Q20+'NCES-Public Grads-all races'!U21</f>
        <v>52553.666666666664</v>
      </c>
      <c r="R19" s="141">
        <f>+'NCES-Private Grads-all races'!R20+'NCES-Public Grads-all races'!V21</f>
        <v>55071</v>
      </c>
      <c r="S19" s="141">
        <f>+'NCES-Private Grads-all races'!S20+'NCES-Public Grads-all races'!W21</f>
        <v>55954.333333333336</v>
      </c>
      <c r="T19" s="141">
        <f>+'NCES-Private Grads-all races'!T20+'NCES-Public Grads-all races'!X21</f>
        <v>56833.666666666664</v>
      </c>
      <c r="U19" s="141">
        <f>+'NCES-Private Grads-all races'!U20+'NCES-Public Grads-all races'!Y21</f>
        <v>52171</v>
      </c>
      <c r="V19" s="141">
        <f>+'NCES-Private Grads-all races'!V20+'NCES-Public Grads-all races'!Z21</f>
        <v>50258.333333333328</v>
      </c>
      <c r="W19" s="141">
        <f>+'NCES-Private Grads-all races'!W20+'NCES-Public Grads-all races'!AA21</f>
        <v>48920.666666666664</v>
      </c>
      <c r="X19" s="141">
        <f>+'NCES-Private Grads-all races'!X20+'NCES-Public Grads-all races'!AB21</f>
        <v>48971</v>
      </c>
      <c r="Y19" s="141">
        <f>+'NCES-Private Grads-all races'!Y20+'NCES-Public Grads-all races'!AC21</f>
        <v>50519.333333333328</v>
      </c>
      <c r="Z19" s="141">
        <f>+'NCES-Private Grads-all races'!Z20+'NCES-Public Grads-all races'!AD21</f>
        <v>53772.666666666664</v>
      </c>
      <c r="AA19" s="141">
        <f>+'NCES-Private Grads-all races'!AA20+'NCES-Public Grads-all races'!AE21</f>
        <v>54502</v>
      </c>
      <c r="AB19" s="141">
        <f>+'NCES-Private Grads-all races'!AB20+'NCES-Public Grads-all races'!AF21</f>
        <v>51519</v>
      </c>
      <c r="AC19" s="141">
        <f>+'NCES-Private Grads-all races'!AC20+'NCES-Public Grads-all races'!AG21</f>
        <v>49748</v>
      </c>
      <c r="AD19" s="141">
        <f>+'NCES-Private Grads-all races'!AD20+'NCES-Public Grads-all races'!AH21</f>
        <v>50039</v>
      </c>
      <c r="AE19" s="141">
        <f>+'NCES-Private Grads-all races'!AE20+'NCES-Public Grads-all races'!AI21</f>
        <v>49136</v>
      </c>
      <c r="AF19" s="141">
        <f>+'NCES-Private Grads-all races'!AF20+'NCES-Public Grads-all races'!AJ21</f>
        <v>45341.5</v>
      </c>
      <c r="AG19" s="141">
        <f>+'NCES-Private Grads-all races'!AG20+'NCES-Public Grads-all races'!AK21</f>
        <v>47983</v>
      </c>
      <c r="AH19" s="141">
        <f>+'NCES-Private Grads-all races'!AH20+'NCES-Public Grads-all races'!AL21</f>
        <v>50124</v>
      </c>
      <c r="AI19" s="141">
        <f>+'NCES-Private Grads-all races'!AI20+'NCES-Public Grads-all races'!AM21</f>
        <v>46660</v>
      </c>
      <c r="AJ19" s="141">
        <f>+'NCES-Private Grads-all races'!AJ20+'NCES-Public Grads-all races'!AN21</f>
        <v>45746</v>
      </c>
      <c r="AK19" s="141">
        <f>+'NCES-Private Grads-all races'!AK20+'NCES-Public Grads-all races'!AO21</f>
        <v>47540</v>
      </c>
      <c r="AL19" s="141">
        <f>+'NCES-Private Grads-all races'!AL20+'NCES-Public Grads-all races'!AP21</f>
        <v>48930</v>
      </c>
      <c r="AM19" s="141">
        <f>+'NCES-Private Grads-all races'!AM20+'NCES-Public Grads-all races'!AQ21</f>
        <v>46104</v>
      </c>
      <c r="AN19" s="141">
        <f>+'NCES-Private Grads-all races'!AN20+'NCES-Public Grads-all races'!AR21</f>
        <v>46265</v>
      </c>
      <c r="AO19" s="141">
        <f>+'NCES-Private Grads-all races'!AO20+'NCES-Public Grads-all races'!AS21</f>
        <v>49393</v>
      </c>
      <c r="AP19" s="141">
        <f>+'NCES-Private Grads-all races'!AP20+'NCES-Public Grads-all races'!AT21</f>
        <v>51666</v>
      </c>
      <c r="AQ19" s="141">
        <f>+'NCES-Private Grads-all races'!AQ20+'NCES-Public Grads-all races'!AU21</f>
        <v>53827</v>
      </c>
      <c r="AR19" s="141">
        <f>+'NCES-Private Grads-all races'!AR20+'NCES-Public Grads-all races'!AV21</f>
        <v>56755</v>
      </c>
      <c r="AS19" s="141">
        <f>+'NCES-Private Grads-all races'!AS20+'NCES-Public Grads-all races'!AW21</f>
        <v>60392</v>
      </c>
      <c r="AT19" s="141">
        <f>+'NCES-Private Grads-all races'!AT20+'NCES-Public Grads-all races'!AX21</f>
        <v>63541</v>
      </c>
      <c r="AU19" s="141">
        <f>+'NCES-Private Grads-all races'!AU20+'NCES-Public Grads-all races'!AY21</f>
        <v>66588</v>
      </c>
      <c r="AV19" s="141">
        <f>+'NCES-Private Grads-all races'!AV20+'NCES-Public Grads-all races'!AZ21</f>
        <v>68448</v>
      </c>
      <c r="AW19" s="141">
        <f>+'NCES-Private Grads-all races'!AW20+'NCES-Public Grads-all races'!BA21</f>
        <v>67722</v>
      </c>
      <c r="AX19" s="141">
        <f>+'NCES-Private Grads-all races'!AX20+'NCES-Public Grads-all races'!BB21</f>
        <v>68139</v>
      </c>
      <c r="AY19" s="141">
        <f>+'NCES-Private Grads-all races'!AY20+'NCES-Public Grads-all races'!BC21</f>
        <v>66833</v>
      </c>
      <c r="AZ19" s="141">
        <f>+'NCES-Private Grads-all races'!AZ20+'NCES-Public Grads-all races'!BD21</f>
        <v>66381.616000000009</v>
      </c>
      <c r="BA19" s="141">
        <f>+'NCES-Private Grads-all races'!BA20+'NCES-Public Grads-all races'!BE21</f>
        <v>67520.775999999998</v>
      </c>
      <c r="BB19" s="141">
        <f>+'NCES-Private Grads-all races'!BB20+'NCES-Public Grads-all races'!BF21</f>
        <v>70080.10500000001</v>
      </c>
      <c r="BC19" s="141">
        <f>+'NCES-Private Grads-all races'!BC20+'NCES-Public Grads-all races'!BG21</f>
        <v>72614</v>
      </c>
      <c r="BD19" s="141">
        <f>+'NCES-Private Grads-all races'!BD20+'NCES-Public Grads-all races'!BH21</f>
        <v>71482</v>
      </c>
      <c r="BE19" s="141">
        <f>+'NCES-Private Grads-all races'!BE20+'NCES-Public Grads-all races'!BI21</f>
        <v>72156</v>
      </c>
      <c r="BF19" s="140">
        <f>+'NCES-Private Grads-all races'!BF20+'NCES-Public Grads-all races'!BJ21</f>
        <v>72130</v>
      </c>
    </row>
    <row r="20" spans="1:58">
      <c r="A20" s="160" t="s">
        <v>46</v>
      </c>
      <c r="B20" s="141">
        <f>+'NCES-Private Grads-all races'!B21+'NCES-Public Grads-all races'!F22</f>
        <v>102215</v>
      </c>
      <c r="C20" s="141">
        <f>+'NCES-Private Grads-all races'!C21+'NCES-Public Grads-all races'!G22</f>
        <v>126779</v>
      </c>
      <c r="D20" s="141">
        <f>+'NCES-Private Grads-all races'!D21+'NCES-Public Grads-all races'!H22</f>
        <v>130333.54285714285</v>
      </c>
      <c r="E20" s="141">
        <f>+'NCES-Private Grads-all races'!E21+'NCES-Public Grads-all races'!I22</f>
        <v>133888.0857142857</v>
      </c>
      <c r="F20" s="141">
        <f>+'NCES-Private Grads-all races'!F21+'NCES-Public Grads-all races'!J22</f>
        <v>137442.62857142856</v>
      </c>
      <c r="G20" s="141">
        <f>+'NCES-Private Grads-all races'!G21+'NCES-Public Grads-all races'!K22</f>
        <v>140997.1714285714</v>
      </c>
      <c r="H20" s="141">
        <f>+'NCES-Private Grads-all races'!H21+'NCES-Public Grads-all races'!L22</f>
        <v>144551.71428571429</v>
      </c>
      <c r="I20" s="141">
        <f>+'NCES-Private Grads-all races'!I21+'NCES-Public Grads-all races'!M22</f>
        <v>153707.85714285713</v>
      </c>
      <c r="J20" s="141">
        <f>+'NCES-Private Grads-all races'!J21+'NCES-Public Grads-all races'!N22</f>
        <v>159353</v>
      </c>
      <c r="K20" s="141">
        <f>+'NCES-Private Grads-all races'!K21+'NCES-Public Grads-all races'!O22</f>
        <v>159229</v>
      </c>
      <c r="L20" s="141">
        <f>+'NCES-Private Grads-all races'!L21+'NCES-Public Grads-all races'!P22</f>
        <v>162684</v>
      </c>
      <c r="M20" s="141">
        <f>+'NCES-Private Grads-all races'!M21+'NCES-Public Grads-all races'!Q22</f>
        <v>164087</v>
      </c>
      <c r="N20" s="141">
        <f>+'NCES-Private Grads-all races'!N21+'NCES-Public Grads-all races'!R22</f>
        <v>165855</v>
      </c>
      <c r="O20" s="141">
        <f>+'NCES-Private Grads-all races'!O21+'NCES-Public Grads-all races'!S22</f>
        <v>169574</v>
      </c>
      <c r="P20" s="141">
        <f>+'NCES-Private Grads-all races'!P21+'NCES-Public Grads-all races'!T22</f>
        <v>174346</v>
      </c>
      <c r="Q20" s="141">
        <f>+'NCES-Private Grads-all races'!Q21+'NCES-Public Grads-all races'!U22</f>
        <v>175244</v>
      </c>
      <c r="R20" s="141">
        <f>+'NCES-Private Grads-all races'!R21+'NCES-Public Grads-all races'!V22</f>
        <v>178538</v>
      </c>
      <c r="S20" s="141">
        <f>+'NCES-Private Grads-all races'!S21+'NCES-Public Grads-all races'!W22</f>
        <v>179027.66666666666</v>
      </c>
      <c r="T20" s="141">
        <f>+'NCES-Private Grads-all races'!T21+'NCES-Public Grads-all races'!X22</f>
        <v>179721.33333333334</v>
      </c>
      <c r="U20" s="141">
        <f>+'NCES-Private Grads-all races'!U21+'NCES-Public Grads-all races'!Y22</f>
        <v>176807</v>
      </c>
      <c r="V20" s="141">
        <f>+'NCES-Private Grads-all races'!V21+'NCES-Public Grads-all races'!Z22</f>
        <v>169763.66666666666</v>
      </c>
      <c r="W20" s="141">
        <f>+'NCES-Private Grads-all races'!W21+'NCES-Public Grads-all races'!AA22</f>
        <v>167691.33333333334</v>
      </c>
      <c r="X20" s="141">
        <f>+'NCES-Private Grads-all races'!X21+'NCES-Public Grads-all races'!AB22</f>
        <v>169881</v>
      </c>
      <c r="Y20" s="141">
        <f>+'NCES-Private Grads-all races'!Y21+'NCES-Public Grads-all races'!AC22</f>
        <v>177434.66666666666</v>
      </c>
      <c r="Z20" s="141">
        <f>+'NCES-Private Grads-all races'!Z21+'NCES-Public Grads-all races'!AD22</f>
        <v>180714.33333333334</v>
      </c>
      <c r="AA20" s="141">
        <f>+'NCES-Private Grads-all races'!AA21+'NCES-Public Grads-all races'!AE22</f>
        <v>186503</v>
      </c>
      <c r="AB20" s="141">
        <f>+'NCES-Private Grads-all races'!AB21+'NCES-Public Grads-all races'!AF22</f>
        <v>180923</v>
      </c>
      <c r="AC20" s="141">
        <f>+'NCES-Private Grads-all races'!AC21+'NCES-Public Grads-all races'!AG22</f>
        <v>181640</v>
      </c>
      <c r="AD20" s="141">
        <f>+'NCES-Private Grads-all races'!AD21+'NCES-Public Grads-all races'!AH22</f>
        <v>169604</v>
      </c>
      <c r="AE20" s="141">
        <f>+'NCES-Private Grads-all races'!AE21+'NCES-Public Grads-all races'!AI22</f>
        <v>168993</v>
      </c>
      <c r="AF20" s="141">
        <f>+'NCES-Private Grads-all races'!AF21+'NCES-Public Grads-all races'!AJ22</f>
        <v>171798</v>
      </c>
      <c r="AG20" s="141">
        <f>+'NCES-Private Grads-all races'!AG21+'NCES-Public Grads-all races'!AK22</f>
        <v>179089</v>
      </c>
      <c r="AH20" s="141">
        <f>+'NCES-Private Grads-all races'!AH21+'NCES-Public Grads-all races'!AL22</f>
        <v>184224</v>
      </c>
      <c r="AI20" s="141">
        <f>+'NCES-Private Grads-all races'!AI21+'NCES-Public Grads-all races'!AM22</f>
        <v>190523</v>
      </c>
      <c r="AJ20" s="141">
        <f>+'NCES-Private Grads-all races'!AJ21+'NCES-Public Grads-all races'!AN22</f>
        <v>206544.5</v>
      </c>
      <c r="AK20" s="141">
        <f>+'NCES-Private Grads-all races'!AK21+'NCES-Public Grads-all races'!AO22</f>
        <v>213381</v>
      </c>
      <c r="AL20" s="141">
        <f>+'NCES-Private Grads-all races'!AL21+'NCES-Public Grads-all races'!AP22</f>
        <v>226567</v>
      </c>
      <c r="AM20" s="141">
        <f>+'NCES-Private Grads-all races'!AM21+'NCES-Public Grads-all races'!AQ22</f>
        <v>225816</v>
      </c>
      <c r="AN20" s="141">
        <f>+'NCES-Private Grads-all races'!AN21+'NCES-Public Grads-all races'!AR22</f>
        <v>235717</v>
      </c>
      <c r="AO20" s="141">
        <f>+'NCES-Private Grads-all races'!AO21+'NCES-Public Grads-all races'!AS22</f>
        <v>248711</v>
      </c>
      <c r="AP20" s="141">
        <f>+'NCES-Private Grads-all races'!AP21+'NCES-Public Grads-all races'!AT22</f>
        <v>255215</v>
      </c>
      <c r="AQ20" s="141">
        <f>+'NCES-Private Grads-all races'!AQ21+'NCES-Public Grads-all races'!AU22</f>
        <v>251217</v>
      </c>
      <c r="AR20" s="141">
        <f>+'NCES-Private Grads-all races'!AR21+'NCES-Public Grads-all races'!AV22</f>
        <v>252195</v>
      </c>
      <c r="AS20" s="141">
        <f>+'NCES-Private Grads-all races'!AS21+'NCES-Public Grads-all races'!AW22</f>
        <v>253113</v>
      </c>
      <c r="AT20" s="141">
        <f>+'NCES-Private Grads-all races'!AT21+'NCES-Public Grads-all races'!AX22</f>
        <v>264531</v>
      </c>
      <c r="AU20" s="141">
        <f>+'NCES-Private Grads-all races'!AU21+'NCES-Public Grads-all races'!AY22</f>
        <v>277175</v>
      </c>
      <c r="AV20" s="141">
        <f>+'NCES-Private Grads-all races'!AV21+'NCES-Public Grads-all races'!AZ22</f>
        <v>293764</v>
      </c>
      <c r="AW20" s="141">
        <f>+'NCES-Private Grads-all races'!AW21+'NCES-Public Grads-all races'!BA22</f>
        <v>303310</v>
      </c>
      <c r="AX20" s="141">
        <f>+'NCES-Private Grads-all races'!AX21+'NCES-Public Grads-all races'!BB22</f>
        <v>305981</v>
      </c>
      <c r="AY20" s="141">
        <f>+'NCES-Private Grads-all races'!AY21+'NCES-Public Grads-all races'!BC22</f>
        <v>315450</v>
      </c>
      <c r="AZ20" s="141">
        <f>+'NCES-Private Grads-all races'!AZ21+'NCES-Public Grads-all races'!BD22</f>
        <v>309591.538</v>
      </c>
      <c r="BA20" s="141">
        <f>+'NCES-Private Grads-all races'!BA21+'NCES-Public Grads-all races'!BE22</f>
        <v>318807.14</v>
      </c>
      <c r="BB20" s="141">
        <f>+'NCES-Private Grads-all races'!BB21+'NCES-Public Grads-all races'!BF22</f>
        <v>329424.44399999996</v>
      </c>
      <c r="BC20" s="141">
        <f>+'NCES-Private Grads-all races'!BC21+'NCES-Public Grads-all races'!BG22</f>
        <v>351814</v>
      </c>
      <c r="BD20" s="141">
        <f>+'NCES-Private Grads-all races'!BD21+'NCES-Public Grads-all races'!BH22</f>
        <v>365743</v>
      </c>
      <c r="BE20" s="141">
        <f>+'NCES-Private Grads-all races'!BE21+'NCES-Public Grads-all races'!BI22</f>
        <v>374295</v>
      </c>
      <c r="BF20" s="140">
        <f>+'NCES-Private Grads-all races'!BF21+'NCES-Public Grads-all races'!BJ22</f>
        <v>374620</v>
      </c>
    </row>
    <row r="21" spans="1:58">
      <c r="A21" s="160" t="s">
        <v>48</v>
      </c>
      <c r="B21" s="141">
        <f>+'NCES-Private Grads-all races'!B22+'NCES-Public Grads-all races'!F23</f>
        <v>42593</v>
      </c>
      <c r="C21" s="141">
        <f>+'NCES-Private Grads-all races'!C22+'NCES-Public Grads-all races'!G23</f>
        <v>52848</v>
      </c>
      <c r="D21" s="141">
        <f>+'NCES-Private Grads-all races'!D22+'NCES-Public Grads-all races'!H23</f>
        <v>54728.514285714286</v>
      </c>
      <c r="E21" s="141">
        <f>+'NCES-Private Grads-all races'!E22+'NCES-Public Grads-all races'!I23</f>
        <v>56609.028571428578</v>
      </c>
      <c r="F21" s="141">
        <f>+'NCES-Private Grads-all races'!F22+'NCES-Public Grads-all races'!J23</f>
        <v>58489.542857142864</v>
      </c>
      <c r="G21" s="141">
        <f>+'NCES-Private Grads-all races'!G22+'NCES-Public Grads-all races'!K23</f>
        <v>60370.057142857157</v>
      </c>
      <c r="H21" s="141">
        <f>+'NCES-Private Grads-all races'!H22+'NCES-Public Grads-all races'!L23</f>
        <v>62250.571428571428</v>
      </c>
      <c r="I21" s="141">
        <f>+'NCES-Private Grads-all races'!I22+'NCES-Public Grads-all races'!M23</f>
        <v>63416.285714285717</v>
      </c>
      <c r="J21" s="141">
        <f>+'NCES-Private Grads-all races'!J22+'NCES-Public Grads-all races'!N23</f>
        <v>66172</v>
      </c>
      <c r="K21" s="141">
        <f>+'NCES-Private Grads-all races'!K22+'NCES-Public Grads-all races'!O23</f>
        <v>66389</v>
      </c>
      <c r="L21" s="141">
        <f>+'NCES-Private Grads-all races'!L22+'NCES-Public Grads-all races'!P23</f>
        <v>67646</v>
      </c>
      <c r="M21" s="141">
        <f>+'NCES-Private Grads-all races'!M22+'NCES-Public Grads-all races'!Q23</f>
        <v>69970</v>
      </c>
      <c r="N21" s="141">
        <f>+'NCES-Private Grads-all races'!N22+'NCES-Public Grads-all races'!R23</f>
        <v>70061</v>
      </c>
      <c r="O21" s="141">
        <f>+'NCES-Private Grads-all races'!O22+'NCES-Public Grads-all races'!S23</f>
        <v>70738</v>
      </c>
      <c r="P21" s="141">
        <f>+'NCES-Private Grads-all races'!P22+'NCES-Public Grads-all races'!T23</f>
        <v>70427.666666666672</v>
      </c>
      <c r="Q21" s="141">
        <f>+'NCES-Private Grads-all races'!Q22+'NCES-Public Grads-all races'!U23</f>
        <v>71342.333333333328</v>
      </c>
      <c r="R21" s="141">
        <f>+'NCES-Private Grads-all races'!R22+'NCES-Public Grads-all races'!V23</f>
        <v>71094</v>
      </c>
      <c r="S21" s="141">
        <f>+'NCES-Private Grads-all races'!S22+'NCES-Public Grads-all races'!W23</f>
        <v>71570.222222222219</v>
      </c>
      <c r="T21" s="141">
        <f>+'NCES-Private Grads-all races'!T22+'NCES-Public Grads-all races'!X23</f>
        <v>72224.444444444438</v>
      </c>
      <c r="U21" s="141">
        <f>+'NCES-Private Grads-all races'!U22+'NCES-Public Grads-all races'!Y23</f>
        <v>69957.666666666672</v>
      </c>
      <c r="V21" s="141">
        <f>+'NCES-Private Grads-all races'!V22+'NCES-Public Grads-all races'!Z23</f>
        <v>66534.888888888891</v>
      </c>
      <c r="W21" s="141">
        <f>+'NCES-Private Grads-all races'!W22+'NCES-Public Grads-all races'!AA23</f>
        <v>65288.111111111109</v>
      </c>
      <c r="X21" s="141">
        <f>+'NCES-Private Grads-all races'!X22+'NCES-Public Grads-all races'!AB23</f>
        <v>67413.333333333343</v>
      </c>
      <c r="Y21" s="141">
        <f>+'NCES-Private Grads-all races'!Y22+'NCES-Public Grads-all races'!AC23</f>
        <v>69279.555555555562</v>
      </c>
      <c r="Z21" s="141">
        <f>+'NCES-Private Grads-all races'!Z22+'NCES-Public Grads-all races'!AD23</f>
        <v>69930.777777777781</v>
      </c>
      <c r="AA21" s="141">
        <f>+'NCES-Private Grads-all races'!AA22+'NCES-Public Grads-all races'!AE23</f>
        <v>69218</v>
      </c>
      <c r="AB21" s="141">
        <f>+'NCES-Private Grads-all races'!AB22+'NCES-Public Grads-all races'!AF23</f>
        <v>64980</v>
      </c>
      <c r="AC21" s="141">
        <f>+'NCES-Private Grads-all races'!AC22+'NCES-Public Grads-all races'!AG23</f>
        <v>62977</v>
      </c>
      <c r="AD21" s="141">
        <f>+'NCES-Private Grads-all races'!AD22+'NCES-Public Grads-all races'!AH23</f>
        <v>61874</v>
      </c>
      <c r="AE21" s="141">
        <f>+'NCES-Private Grads-all races'!AE22+'NCES-Public Grads-all races'!AI23</f>
        <v>61528</v>
      </c>
      <c r="AF21" s="141">
        <f>+'NCES-Private Grads-all races'!AF22+'NCES-Public Grads-all races'!AJ23</f>
        <v>60661.5</v>
      </c>
      <c r="AG21" s="141">
        <f>+'NCES-Private Grads-all races'!AG22+'NCES-Public Grads-all races'!AK23</f>
        <v>62723</v>
      </c>
      <c r="AH21" s="141">
        <f>+'NCES-Private Grads-all races'!AH22+'NCES-Public Grads-all races'!AL23</f>
        <v>63027</v>
      </c>
      <c r="AI21" s="141">
        <f>+'NCES-Private Grads-all races'!AI22+'NCES-Public Grads-all races'!AM23</f>
        <v>65585</v>
      </c>
      <c r="AJ21" s="141">
        <f>+'NCES-Private Grads-all races'!AJ22+'NCES-Public Grads-all races'!AN23</f>
        <v>67742</v>
      </c>
      <c r="AK21" s="141">
        <f>+'NCES-Private Grads-all races'!AK22+'NCES-Public Grads-all races'!AO23</f>
        <v>68885</v>
      </c>
      <c r="AL21" s="141">
        <f>+'NCES-Private Grads-all races'!AL22+'NCES-Public Grads-all races'!AP23</f>
        <v>71408</v>
      </c>
      <c r="AM21" s="141">
        <f>+'NCES-Private Grads-all races'!AM22+'NCES-Public Grads-all races'!AQ23</f>
        <v>71537</v>
      </c>
      <c r="AN21" s="141">
        <f>+'NCES-Private Grads-all races'!AN22+'NCES-Public Grads-all races'!AR23</f>
        <v>72174</v>
      </c>
      <c r="AO21" s="141">
        <f>+'NCES-Private Grads-all races'!AO22+'NCES-Public Grads-all races'!AS23</f>
        <v>78783</v>
      </c>
      <c r="AP21" s="141">
        <f>+'NCES-Private Grads-all races'!AP22+'NCES-Public Grads-all races'!AT23</f>
        <v>78512</v>
      </c>
      <c r="AQ21" s="141">
        <f>+'NCES-Private Grads-all races'!AQ22+'NCES-Public Grads-all races'!AU23</f>
        <v>80767</v>
      </c>
      <c r="AR21" s="141">
        <f>+'NCES-Private Grads-all races'!AR22+'NCES-Public Grads-all races'!AV23</f>
        <v>76602</v>
      </c>
      <c r="AS21" s="141">
        <f>+'NCES-Private Grads-all races'!AS22+'NCES-Public Grads-all races'!AW23</f>
        <v>80907</v>
      </c>
      <c r="AT21" s="141">
        <f>+'NCES-Private Grads-all races'!AT22+'NCES-Public Grads-all races'!AX23</f>
        <v>84079</v>
      </c>
      <c r="AU21" s="141">
        <f>+'NCES-Private Grads-all races'!AU22+'NCES-Public Grads-all races'!AY23</f>
        <v>86161</v>
      </c>
      <c r="AV21" s="141">
        <f>+'NCES-Private Grads-all races'!AV22+'NCES-Public Grads-all races'!AZ23</f>
        <v>87966</v>
      </c>
      <c r="AW21" s="141">
        <f>+'NCES-Private Grads-all races'!AW22+'NCES-Public Grads-all races'!BA23</f>
        <v>89295</v>
      </c>
      <c r="AX21" s="141">
        <f>+'NCES-Private Grads-all races'!AX22+'NCES-Public Grads-all races'!BB23</f>
        <v>89801</v>
      </c>
      <c r="AY21" s="141">
        <f>+'NCES-Private Grads-all races'!AY22+'NCES-Public Grads-all races'!BC23</f>
        <v>89809</v>
      </c>
      <c r="AZ21" s="141">
        <f>+'NCES-Private Grads-all races'!AZ22+'NCES-Public Grads-all races'!BD23</f>
        <v>87583.274000000005</v>
      </c>
      <c r="BA21" s="141">
        <f>+'NCES-Private Grads-all races'!BA22+'NCES-Public Grads-all races'!BE23</f>
        <v>87207.512000000002</v>
      </c>
      <c r="BB21" s="141">
        <f>+'NCES-Private Grads-all races'!BB22+'NCES-Public Grads-all races'!BF23</f>
        <v>89797.853000000003</v>
      </c>
      <c r="BC21" s="141">
        <f>+'NCES-Private Grads-all races'!BC22+'NCES-Public Grads-all races'!BG23</f>
        <v>92779</v>
      </c>
      <c r="BD21" s="141">
        <f>+'NCES-Private Grads-all races'!BD22+'NCES-Public Grads-all races'!BH23</f>
        <v>95921</v>
      </c>
      <c r="BE21" s="141">
        <f>+'NCES-Private Grads-all races'!BE22+'NCES-Public Grads-all races'!BI23</f>
        <v>96160</v>
      </c>
      <c r="BF21" s="140">
        <f>+'NCES-Private Grads-all races'!BF22+'NCES-Public Grads-all races'!BJ23</f>
        <v>94510</v>
      </c>
    </row>
    <row r="22" spans="1:58">
      <c r="A22" s="162" t="s">
        <v>49</v>
      </c>
      <c r="B22" s="163">
        <f>+'NCES-Private Grads-all races'!B23+'NCES-Public Grads-all races'!F24</f>
        <v>24562</v>
      </c>
      <c r="C22" s="163">
        <f>+'NCES-Private Grads-all races'!C23+'NCES-Public Grads-all races'!G24</f>
        <v>28074</v>
      </c>
      <c r="D22" s="163">
        <f>+'NCES-Private Grads-all races'!D23+'NCES-Public Grads-all races'!H24</f>
        <v>27864.142857142859</v>
      </c>
      <c r="E22" s="163">
        <f>+'NCES-Private Grads-all races'!E23+'NCES-Public Grads-all races'!I24</f>
        <v>27654.285714285714</v>
      </c>
      <c r="F22" s="163">
        <f>+'NCES-Private Grads-all races'!F23+'NCES-Public Grads-all races'!J24</f>
        <v>27444.428571428572</v>
      </c>
      <c r="G22" s="163">
        <f>+'NCES-Private Grads-all races'!G23+'NCES-Public Grads-all races'!K24</f>
        <v>27234.571428571428</v>
      </c>
      <c r="H22" s="163">
        <f>+'NCES-Private Grads-all races'!H23+'NCES-Public Grads-all races'!L24</f>
        <v>27024.714285714286</v>
      </c>
      <c r="I22" s="163">
        <f>+'NCES-Private Grads-all races'!I23+'NCES-Public Grads-all races'!M24</f>
        <v>26327.857142857141</v>
      </c>
      <c r="J22" s="163">
        <f>+'NCES-Private Grads-all races'!J23+'NCES-Public Grads-all races'!N24</f>
        <v>22959</v>
      </c>
      <c r="K22" s="163">
        <f>+'NCES-Private Grads-all races'!K23+'NCES-Public Grads-all races'!O24</f>
        <v>25341</v>
      </c>
      <c r="L22" s="163">
        <f>+'NCES-Private Grads-all races'!L23+'NCES-Public Grads-all races'!P24</f>
        <v>26201</v>
      </c>
      <c r="M22" s="163">
        <f>+'NCES-Private Grads-all races'!M23+'NCES-Public Grads-all races'!Q24</f>
        <v>25431</v>
      </c>
      <c r="N22" s="163">
        <f>+'NCES-Private Grads-all races'!N23+'NCES-Public Grads-all races'!R24</f>
        <v>25679</v>
      </c>
      <c r="O22" s="163">
        <f>+'NCES-Private Grads-all races'!O23+'NCES-Public Grads-all races'!S24</f>
        <v>25519</v>
      </c>
      <c r="P22" s="163">
        <f>+'NCES-Private Grads-all races'!P23+'NCES-Public Grads-all races'!T24</f>
        <v>24802.666666666668</v>
      </c>
      <c r="Q22" s="163">
        <f>+'NCES-Private Grads-all races'!Q23+'NCES-Public Grads-all races'!U24</f>
        <v>24403.333333333332</v>
      </c>
      <c r="R22" s="163">
        <f>+'NCES-Private Grads-all races'!R23+'NCES-Public Grads-all races'!V24</f>
        <v>24219</v>
      </c>
      <c r="S22" s="163">
        <f>+'NCES-Private Grads-all races'!S23+'NCES-Public Grads-all races'!W24</f>
        <v>24411</v>
      </c>
      <c r="T22" s="163">
        <f>+'NCES-Private Grads-all races'!T23+'NCES-Public Grads-all races'!X24</f>
        <v>24401</v>
      </c>
      <c r="U22" s="163">
        <f>+'NCES-Private Grads-all races'!U23+'NCES-Public Grads-all races'!Y24</f>
        <v>24354</v>
      </c>
      <c r="V22" s="163">
        <f>+'NCES-Private Grads-all races'!V23+'NCES-Public Grads-all races'!Z24</f>
        <v>23387</v>
      </c>
      <c r="W22" s="163">
        <f>+'NCES-Private Grads-all races'!W23+'NCES-Public Grads-all races'!AA24</f>
        <v>23017</v>
      </c>
      <c r="X22" s="163">
        <f>+'NCES-Private Grads-all races'!X23+'NCES-Public Grads-all races'!AB24</f>
        <v>22606</v>
      </c>
      <c r="Y22" s="163">
        <f>+'NCES-Private Grads-all races'!Y23+'NCES-Public Grads-all races'!AC24</f>
        <v>23118</v>
      </c>
      <c r="Z22" s="163">
        <f>+'NCES-Private Grads-all races'!Z23+'NCES-Public Grads-all races'!AD24</f>
        <v>23104</v>
      </c>
      <c r="AA22" s="163">
        <f>+'NCES-Private Grads-all races'!AA23+'NCES-Public Grads-all races'!AE24</f>
        <v>23565</v>
      </c>
      <c r="AB22" s="163">
        <f>+'NCES-Private Grads-all races'!AB23+'NCES-Public Grads-all races'!AF24</f>
        <v>22516.5</v>
      </c>
      <c r="AC22" s="163">
        <f>+'NCES-Private Grads-all races'!AC23+'NCES-Public Grads-all races'!AG24</f>
        <v>21710</v>
      </c>
      <c r="AD22" s="163">
        <f>+'NCES-Private Grads-all races'!AD23+'NCES-Public Grads-all races'!AH24</f>
        <v>20700</v>
      </c>
      <c r="AE22" s="163">
        <f>+'NCES-Private Grads-all races'!AE23+'NCES-Public Grads-all races'!AI24</f>
        <v>20900</v>
      </c>
      <c r="AF22" s="163">
        <f>+'NCES-Private Grads-all races'!AF23+'NCES-Public Grads-all races'!AJ24</f>
        <v>20569</v>
      </c>
      <c r="AG22" s="163">
        <f>+'NCES-Private Grads-all races'!AG23+'NCES-Public Grads-all races'!AK24</f>
        <v>20829</v>
      </c>
      <c r="AH22" s="163">
        <f>+'NCES-Private Grads-all races'!AH23+'NCES-Public Grads-all races'!AL24</f>
        <v>20952</v>
      </c>
      <c r="AI22" s="163">
        <f>+'NCES-Private Grads-all races'!AI23+'NCES-Public Grads-all races'!AM24</f>
        <v>20286</v>
      </c>
      <c r="AJ22" s="163">
        <f>+'NCES-Private Grads-all races'!AJ23+'NCES-Public Grads-all races'!AN24</f>
        <v>20962</v>
      </c>
      <c r="AK22" s="163">
        <f>+'NCES-Private Grads-all races'!AK23+'NCES-Public Grads-all races'!AO24</f>
        <v>20772</v>
      </c>
      <c r="AL22" s="163">
        <f>+'NCES-Private Grads-all races'!AL23+'NCES-Public Grads-all races'!AP24</f>
        <v>20136</v>
      </c>
      <c r="AM22" s="163">
        <f>+'NCES-Private Grads-all races'!AM23+'NCES-Public Grads-all races'!AQ24</f>
        <v>19267</v>
      </c>
      <c r="AN22" s="163">
        <f>+'NCES-Private Grads-all races'!AN23+'NCES-Public Grads-all races'!AR24</f>
        <v>17921.5</v>
      </c>
      <c r="AO22" s="163">
        <f>+'NCES-Private Grads-all races'!AO23+'NCES-Public Grads-all races'!AS24</f>
        <v>18047</v>
      </c>
      <c r="AP22" s="163">
        <f>+'NCES-Private Grads-all races'!AP23+'NCES-Public Grads-all races'!AT24</f>
        <v>18119</v>
      </c>
      <c r="AQ22" s="163">
        <f>+'NCES-Private Grads-all races'!AQ23+'NCES-Public Grads-all races'!AU24</f>
        <v>17937</v>
      </c>
      <c r="AR22" s="163">
        <f>+'NCES-Private Grads-all races'!AR23+'NCES-Public Grads-all races'!AV24</f>
        <v>17463</v>
      </c>
      <c r="AS22" s="163">
        <f>+'NCES-Private Grads-all races'!AS23+'NCES-Public Grads-all races'!AW24</f>
        <v>18007</v>
      </c>
      <c r="AT22" s="163">
        <f>+'NCES-Private Grads-all races'!AT23+'NCES-Public Grads-all races'!AX24</f>
        <v>18159</v>
      </c>
      <c r="AU22" s="163">
        <f>+'NCES-Private Grads-all races'!AU23+'NCES-Public Grads-all races'!AY24</f>
        <v>18430</v>
      </c>
      <c r="AV22" s="163">
        <f>+'NCES-Private Grads-all races'!AV23+'NCES-Public Grads-all races'!AZ24</f>
        <v>18351</v>
      </c>
      <c r="AW22" s="163">
        <f>+'NCES-Private Grads-all races'!AW23+'NCES-Public Grads-all races'!BA24</f>
        <v>17971</v>
      </c>
      <c r="AX22" s="163">
        <f>+'NCES-Private Grads-all races'!AX23+'NCES-Public Grads-all races'!BB24</f>
        <v>18323</v>
      </c>
      <c r="AY22" s="163">
        <f>+'NCES-Private Grads-all races'!AY23+'NCES-Public Grads-all races'!BC24</f>
        <v>18704</v>
      </c>
      <c r="AZ22" s="163">
        <f>+'NCES-Private Grads-all races'!AZ23+'NCES-Public Grads-all races'!BD24</f>
        <v>17540.084999999999</v>
      </c>
      <c r="BA22" s="163">
        <f>+'NCES-Private Grads-all races'!BA23+'NCES-Public Grads-all races'!BE24</f>
        <v>17855.900000000001</v>
      </c>
      <c r="BB22" s="163">
        <f>+'NCES-Private Grads-all races'!BB23+'NCES-Public Grads-all races'!BF24</f>
        <v>17679.03</v>
      </c>
      <c r="BC22" s="163">
        <f>+'NCES-Private Grads-all races'!BC23+'NCES-Public Grads-all races'!BG24</f>
        <v>18909</v>
      </c>
      <c r="BD22" s="163">
        <f>+'NCES-Private Grads-all races'!BD23+'NCES-Public Grads-all races'!BH24</f>
        <v>19050</v>
      </c>
      <c r="BE22" s="163">
        <f>+'NCES-Private Grads-all races'!BE23+'NCES-Public Grads-all races'!BI24</f>
        <v>18744</v>
      </c>
      <c r="BF22" s="140">
        <f>+'NCES-Private Grads-all races'!BF23+'NCES-Public Grads-all races'!BJ24</f>
        <v>18510</v>
      </c>
    </row>
    <row r="23" spans="1:58">
      <c r="A23" s="161" t="s">
        <v>50</v>
      </c>
      <c r="B23" s="141">
        <f>+'NCES-Private Grads-all races'!B24+'NCES-Public Grads-all races'!F25</f>
        <v>399296</v>
      </c>
      <c r="C23" s="141">
        <f>+'NCES-Private Grads-all races'!C24+'NCES-Public Grads-all races'!G25</f>
        <v>452209</v>
      </c>
      <c r="D23" s="141">
        <f>+'NCES-Private Grads-all races'!D24+'NCES-Public Grads-all races'!H25</f>
        <v>463815.08571428573</v>
      </c>
      <c r="E23" s="141">
        <f>+'NCES-Private Grads-all races'!E24+'NCES-Public Grads-all races'!I25</f>
        <v>475421.17142857146</v>
      </c>
      <c r="F23" s="141">
        <f>+'NCES-Private Grads-all races'!F24+'NCES-Public Grads-all races'!J25</f>
        <v>487027.25714285718</v>
      </c>
      <c r="G23" s="141">
        <f>+'NCES-Private Grads-all races'!G24+'NCES-Public Grads-all races'!K25</f>
        <v>498633.34285714279</v>
      </c>
      <c r="H23" s="141">
        <f>+'NCES-Private Grads-all races'!H24+'NCES-Public Grads-all races'!L25</f>
        <v>510239.42857142858</v>
      </c>
      <c r="I23" s="141">
        <f>+'NCES-Private Grads-all races'!I24+'NCES-Public Grads-all races'!M25</f>
        <v>518359.71428571432</v>
      </c>
      <c r="J23" s="141">
        <f>+'NCES-Private Grads-all races'!J24+'NCES-Public Grads-all races'!N25</f>
        <v>530150</v>
      </c>
      <c r="K23" s="141">
        <f>+'NCES-Private Grads-all races'!K24+'NCES-Public Grads-all races'!O25</f>
        <v>526643</v>
      </c>
      <c r="L23" s="141">
        <f>+'NCES-Private Grads-all races'!L24+'NCES-Public Grads-all races'!P25</f>
        <v>532414</v>
      </c>
      <c r="M23" s="141">
        <f>+'NCES-Private Grads-all races'!M24+'NCES-Public Grads-all races'!Q25</f>
        <v>542074</v>
      </c>
      <c r="N23" s="141">
        <f>+'NCES-Private Grads-all races'!N24+'NCES-Public Grads-all races'!R25</f>
        <v>541669</v>
      </c>
      <c r="O23" s="141">
        <f>+'NCES-Private Grads-all races'!O24+'NCES-Public Grads-all races'!S25</f>
        <v>542483</v>
      </c>
      <c r="P23" s="141">
        <f>+'NCES-Private Grads-all races'!P24+'NCES-Public Grads-all races'!T25</f>
        <v>542213</v>
      </c>
      <c r="Q23" s="141">
        <f>+'NCES-Private Grads-all races'!Q24+'NCES-Public Grads-all races'!U25</f>
        <v>532314</v>
      </c>
      <c r="R23" s="141">
        <f>+'NCES-Private Grads-all races'!R24+'NCES-Public Grads-all races'!V25</f>
        <v>528778</v>
      </c>
      <c r="S23" s="141">
        <f>+'NCES-Private Grads-all races'!S24+'NCES-Public Grads-all races'!W25</f>
        <v>518709.77777777775</v>
      </c>
      <c r="T23" s="141">
        <f>+'NCES-Private Grads-all races'!T24+'NCES-Public Grads-all races'!X25</f>
        <v>516690.55555555556</v>
      </c>
      <c r="U23" s="141">
        <f>+'NCES-Private Grads-all races'!U24+'NCES-Public Grads-all races'!Y25</f>
        <v>502422.33333333331</v>
      </c>
      <c r="V23" s="141">
        <f>+'NCES-Private Grads-all races'!V24+'NCES-Public Grads-all races'!Z25</f>
        <v>494179.11111111112</v>
      </c>
      <c r="W23" s="141">
        <f>+'NCES-Private Grads-all races'!W24+'NCES-Public Grads-all races'!AA25</f>
        <v>486297.88888888888</v>
      </c>
      <c r="X23" s="141">
        <f>+'NCES-Private Grads-all races'!X24+'NCES-Public Grads-all races'!AB25</f>
        <v>490165.66666666669</v>
      </c>
      <c r="Y23" s="141">
        <f>+'NCES-Private Grads-all races'!Y24+'NCES-Public Grads-all races'!AC25</f>
        <v>511239.44444444444</v>
      </c>
      <c r="Z23" s="141">
        <f>+'NCES-Private Grads-all races'!Z24+'NCES-Public Grads-all races'!AD25</f>
        <v>531186.22222222225</v>
      </c>
      <c r="AA23" s="141">
        <f>+'NCES-Private Grads-all races'!AA24+'NCES-Public Grads-all races'!AE25</f>
        <v>524604</v>
      </c>
      <c r="AB23" s="141">
        <f>+'NCES-Private Grads-all races'!AB24+'NCES-Public Grads-all races'!AF25</f>
        <v>504035.5</v>
      </c>
      <c r="AC23" s="141">
        <f>+'NCES-Private Grads-all races'!AC24+'NCES-Public Grads-all races'!AG25</f>
        <v>493698</v>
      </c>
      <c r="AD23" s="141">
        <f>+'NCES-Private Grads-all races'!AD24+'NCES-Public Grads-all races'!AH25</f>
        <v>508012</v>
      </c>
      <c r="AE23" s="141">
        <f>+'NCES-Private Grads-all races'!AE24+'NCES-Public Grads-all races'!AI25</f>
        <v>513918</v>
      </c>
      <c r="AF23" s="141">
        <f>+'NCES-Private Grads-all races'!AF24+'NCES-Public Grads-all races'!AJ25</f>
        <v>524657.5</v>
      </c>
      <c r="AG23" s="141">
        <f>+'NCES-Private Grads-all races'!AG24+'NCES-Public Grads-all races'!AK25</f>
        <v>533635</v>
      </c>
      <c r="AH23" s="141">
        <f>+'NCES-Private Grads-all races'!AH24+'NCES-Public Grads-all races'!AL25</f>
        <v>537220</v>
      </c>
      <c r="AI23" s="141">
        <f>+'NCES-Private Grads-all races'!AI24+'NCES-Public Grads-all races'!AM25</f>
        <v>565718</v>
      </c>
      <c r="AJ23" s="141">
        <f>+'NCES-Private Grads-all races'!AJ24+'NCES-Public Grads-all races'!AN25</f>
        <v>590383</v>
      </c>
      <c r="AK23" s="141">
        <f>+'NCES-Private Grads-all races'!AK24+'NCES-Public Grads-all races'!AO25</f>
        <v>612935</v>
      </c>
      <c r="AL23" s="141">
        <f>+'NCES-Private Grads-all races'!AL24+'NCES-Public Grads-all races'!AP25</f>
        <v>638867</v>
      </c>
      <c r="AM23" s="141">
        <f>+'NCES-Private Grads-all races'!AM24+'NCES-Public Grads-all races'!AQ25</f>
        <v>648404</v>
      </c>
      <c r="AN23" s="141">
        <f>+'NCES-Private Grads-all races'!AN24+'NCES-Public Grads-all races'!AR25</f>
        <v>667159.5</v>
      </c>
      <c r="AO23" s="141">
        <f>+'NCES-Private Grads-all races'!AO24+'NCES-Public Grads-all races'!AS25</f>
        <v>689452</v>
      </c>
      <c r="AP23" s="141">
        <f>+'NCES-Private Grads-all races'!AP24+'NCES-Public Grads-all races'!AT25</f>
        <v>696692</v>
      </c>
      <c r="AQ23" s="141">
        <f>+'NCES-Private Grads-all races'!AQ24+'NCES-Public Grads-all races'!AU25</f>
        <v>727080</v>
      </c>
      <c r="AR23" s="141">
        <f>+'NCES-Private Grads-all races'!AR24+'NCES-Public Grads-all races'!AV25</f>
        <v>706888</v>
      </c>
      <c r="AS23" s="141">
        <f>+'NCES-Private Grads-all races'!AS24+'NCES-Public Grads-all races'!AW25</f>
        <v>722680</v>
      </c>
      <c r="AT23" s="141">
        <f>+'NCES-Private Grads-all races'!AT24+'NCES-Public Grads-all races'!AX25</f>
        <v>751975</v>
      </c>
      <c r="AU23" s="141">
        <f>+'NCES-Private Grads-all races'!AU24+'NCES-Public Grads-all races'!AY25</f>
        <v>755956</v>
      </c>
      <c r="AV23" s="141">
        <f>+'NCES-Private Grads-all races'!AV24+'NCES-Public Grads-all races'!AZ25</f>
        <v>795123</v>
      </c>
      <c r="AW23" s="141">
        <f>+'NCES-Private Grads-all races'!AW24+'NCES-Public Grads-all races'!BA25</f>
        <v>803806</v>
      </c>
      <c r="AX23" s="141">
        <f>+'NCES-Private Grads-all races'!AX24+'NCES-Public Grads-all races'!BB25</f>
        <v>811588</v>
      </c>
      <c r="AY23" s="141">
        <f>+'NCES-Private Grads-all races'!AY24+'NCES-Public Grads-all races'!BC25</f>
        <v>816078</v>
      </c>
      <c r="AZ23" s="141">
        <f>+'NCES-Private Grads-all races'!AZ24+'NCES-Public Grads-all races'!BD25</f>
        <v>790868.98199999996</v>
      </c>
      <c r="BA23" s="141">
        <f>+'NCES-Private Grads-all races'!BA24+'NCES-Public Grads-all races'!BE25</f>
        <v>795392.8139999999</v>
      </c>
      <c r="BB23" s="141">
        <f>+'NCES-Private Grads-all races'!BB24+'NCES-Public Grads-all races'!BF25</f>
        <v>813661.15100000019</v>
      </c>
      <c r="BC23" s="141">
        <f>+'NCES-Private Grads-all races'!BC24+'NCES-Public Grads-all races'!BG25</f>
        <v>867142</v>
      </c>
      <c r="BD23" s="141">
        <f>+'NCES-Private Grads-all races'!BD24+'NCES-Public Grads-all races'!BH25</f>
        <v>889795</v>
      </c>
      <c r="BE23" s="141">
        <f>+'NCES-Private Grads-all races'!BE24+'NCES-Public Grads-all races'!BI25</f>
        <v>894264</v>
      </c>
      <c r="BF23" s="140">
        <f>+'NCES-Private Grads-all races'!BF24+'NCES-Public Grads-all races'!BJ25</f>
        <v>888500</v>
      </c>
    </row>
    <row r="24" spans="1:58">
      <c r="A24" s="161"/>
      <c r="B24" s="141"/>
      <c r="C24" s="141"/>
      <c r="D24" s="141"/>
      <c r="E24" s="141"/>
      <c r="F24" s="141"/>
      <c r="G24" s="141"/>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0">
        <f>+'NCES-Private Grads-all races'!BF25+'NCES-Public Grads-all races'!BJ26</f>
        <v>0</v>
      </c>
    </row>
    <row r="25" spans="1:58">
      <c r="A25" s="164" t="s">
        <v>51</v>
      </c>
      <c r="B25" s="141">
        <f>+'NCES-Private Grads-all races'!B26+'NCES-Public Grads-all races'!F27</f>
        <v>1939</v>
      </c>
      <c r="C25" s="141">
        <f>+'NCES-Private Grads-all races'!C26+'NCES-Public Grads-all races'!G27</f>
        <v>2338</v>
      </c>
      <c r="D25" s="141">
        <f>+'NCES-Private Grads-all races'!D26+'NCES-Public Grads-all races'!H27</f>
        <v>2562.9428571428575</v>
      </c>
      <c r="E25" s="141">
        <f>+'NCES-Private Grads-all races'!E26+'NCES-Public Grads-all races'!I27</f>
        <v>2787.8857142857146</v>
      </c>
      <c r="F25" s="141">
        <f>+'NCES-Private Grads-all races'!F26+'NCES-Public Grads-all races'!J27</f>
        <v>3012.8285714285721</v>
      </c>
      <c r="G25" s="141">
        <f>+'NCES-Private Grads-all races'!G26+'NCES-Public Grads-all races'!K27</f>
        <v>3237.7714285714292</v>
      </c>
      <c r="H25" s="141">
        <f>+'NCES-Private Grads-all races'!H26+'NCES-Public Grads-all races'!L27</f>
        <v>3462.7142857142858</v>
      </c>
      <c r="I25" s="141">
        <f>+'NCES-Private Grads-all races'!I26+'NCES-Public Grads-all races'!M27</f>
        <v>3716.8571428571427</v>
      </c>
      <c r="J25" s="141">
        <f>+'NCES-Private Grads-all races'!J26+'NCES-Public Grads-all races'!N27</f>
        <v>3960</v>
      </c>
      <c r="K25" s="141">
        <f>+'NCES-Private Grads-all races'!K26+'NCES-Public Grads-all races'!O27</f>
        <v>4170</v>
      </c>
      <c r="L25" s="141">
        <f>+'NCES-Private Grads-all races'!L26+'NCES-Public Grads-all races'!P27</f>
        <v>4448</v>
      </c>
      <c r="M25" s="141">
        <f>+'NCES-Private Grads-all races'!M26+'NCES-Public Grads-all races'!Q27</f>
        <v>4320</v>
      </c>
      <c r="N25" s="141">
        <f>+'NCES-Private Grads-all races'!N26+'NCES-Public Grads-all races'!R27</f>
        <v>4323</v>
      </c>
      <c r="O25" s="141">
        <f>+'NCES-Private Grads-all races'!O26+'NCES-Public Grads-all races'!S27</f>
        <v>4626</v>
      </c>
      <c r="P25" s="141">
        <f>+'NCES-Private Grads-all races'!P26+'NCES-Public Grads-all races'!T27</f>
        <v>4957</v>
      </c>
      <c r="Q25" s="141">
        <f>+'NCES-Private Grads-all races'!Q26+'NCES-Public Grads-all races'!U27</f>
        <v>5188</v>
      </c>
      <c r="R25" s="141">
        <f>+'NCES-Private Grads-all races'!R26+'NCES-Public Grads-all races'!V27</f>
        <v>5398</v>
      </c>
      <c r="S25" s="141">
        <f>+'NCES-Private Grads-all races'!S26+'NCES-Public Grads-all races'!W27</f>
        <v>5509.8888888888887</v>
      </c>
      <c r="T25" s="141">
        <f>+'NCES-Private Grads-all races'!T26+'NCES-Public Grads-all races'!X27</f>
        <v>5635.7777777777774</v>
      </c>
      <c r="U25" s="141">
        <f>+'NCES-Private Grads-all races'!U26+'NCES-Public Grads-all races'!Y27</f>
        <v>5772.666666666667</v>
      </c>
      <c r="V25" s="141">
        <f>+'NCES-Private Grads-all races'!V26+'NCES-Public Grads-all races'!Z27</f>
        <v>5599.5555555555557</v>
      </c>
      <c r="W25" s="141">
        <f>+'NCES-Private Grads-all races'!W26+'NCES-Public Grads-all races'!AA27</f>
        <v>5318.4444444444443</v>
      </c>
      <c r="X25" s="141">
        <f>+'NCES-Private Grads-all races'!X26+'NCES-Public Grads-all races'!AB27</f>
        <v>5590.333333333333</v>
      </c>
      <c r="Y25" s="141">
        <f>+'NCES-Private Grads-all races'!Y26+'NCES-Public Grads-all races'!AC27</f>
        <v>5810.2222222222226</v>
      </c>
      <c r="Z25" s="141">
        <f>+'NCES-Private Grads-all races'!Z26+'NCES-Public Grads-all races'!AD27</f>
        <v>6017.1111111111113</v>
      </c>
      <c r="AA25" s="141">
        <f>+'NCES-Private Grads-all races'!AA26+'NCES-Public Grads-all races'!AE27</f>
        <v>5733</v>
      </c>
      <c r="AB25" s="141">
        <f>+'NCES-Private Grads-all races'!AB26+'NCES-Public Grads-all races'!AF27</f>
        <v>5526</v>
      </c>
      <c r="AC25" s="141">
        <f>+'NCES-Private Grads-all races'!AC26+'NCES-Public Grads-all races'!AG27</f>
        <v>5636</v>
      </c>
      <c r="AD25" s="141">
        <f>+'NCES-Private Grads-all races'!AD26+'NCES-Public Grads-all races'!AH27</f>
        <v>5713</v>
      </c>
      <c r="AE25" s="141">
        <f>+'NCES-Private Grads-all races'!AE26+'NCES-Public Grads-all races'!AI27</f>
        <v>5748</v>
      </c>
      <c r="AF25" s="141">
        <f>+'NCES-Private Grads-all races'!AF26+'NCES-Public Grads-all races'!AJ27</f>
        <v>5942.5</v>
      </c>
      <c r="AG25" s="141">
        <f>+'NCES-Private Grads-all races'!AG26+'NCES-Public Grads-all races'!AK27</f>
        <v>5943</v>
      </c>
      <c r="AH25" s="141">
        <f>+'NCES-Private Grads-all races'!AH26+'NCES-Public Grads-all races'!AL27</f>
        <v>6102</v>
      </c>
      <c r="AI25" s="141">
        <f>+'NCES-Private Grads-all races'!AI26+'NCES-Public Grads-all races'!AM27</f>
        <v>6294</v>
      </c>
      <c r="AJ25" s="141">
        <f>+'NCES-Private Grads-all races'!AJ26+'NCES-Public Grads-all races'!AN27</f>
        <v>6665</v>
      </c>
      <c r="AK25" s="141">
        <f>+'NCES-Private Grads-all races'!AK26+'NCES-Public Grads-all races'!AO27</f>
        <v>7055</v>
      </c>
      <c r="AL25" s="141">
        <f>+'NCES-Private Grads-all races'!AL26+'NCES-Public Grads-all races'!AP27</f>
        <v>6803</v>
      </c>
      <c r="AM25" s="141">
        <f>+'NCES-Private Grads-all races'!AM26+'NCES-Public Grads-all races'!AQ27</f>
        <v>7059</v>
      </c>
      <c r="AN25" s="141">
        <f>+'NCES-Private Grads-all races'!AN26+'NCES-Public Grads-all races'!AR27</f>
        <v>7208.5</v>
      </c>
      <c r="AO25" s="141">
        <f>+'NCES-Private Grads-all races'!AO26+'NCES-Public Grads-all races'!AS27</f>
        <v>7577</v>
      </c>
      <c r="AP25" s="141">
        <f>+'NCES-Private Grads-all races'!AP26+'NCES-Public Grads-all races'!AT27</f>
        <v>7521</v>
      </c>
      <c r="AQ25" s="141">
        <f>+'NCES-Private Grads-all races'!AQ26+'NCES-Public Grads-all races'!AU27</f>
        <v>7199</v>
      </c>
      <c r="AR25" s="141">
        <f>+'NCES-Private Grads-all races'!AR26+'NCES-Public Grads-all races'!AV27</f>
        <v>7606</v>
      </c>
      <c r="AS25" s="141">
        <f>+'NCES-Private Grads-all races'!AS26+'NCES-Public Grads-all races'!AW27</f>
        <v>7866</v>
      </c>
      <c r="AT25" s="141">
        <f>+'NCES-Private Grads-all races'!AT26+'NCES-Public Grads-all races'!AX27</f>
        <v>8050</v>
      </c>
      <c r="AU25" s="141">
        <f>+'NCES-Private Grads-all races'!AU26+'NCES-Public Grads-all races'!AY27</f>
        <v>8198</v>
      </c>
      <c r="AV25" s="141">
        <f>+'NCES-Private Grads-all races'!AV26+'NCES-Public Grads-all races'!AZ27</f>
        <v>8450</v>
      </c>
      <c r="AW25" s="141">
        <f>+'NCES-Private Grads-all races'!AW26+'NCES-Public Grads-all races'!BA27</f>
        <v>8284</v>
      </c>
      <c r="AX25" s="141">
        <f>+'NCES-Private Grads-all races'!AX26+'NCES-Public Grads-all races'!BB27</f>
        <v>8199</v>
      </c>
      <c r="AY25" s="141">
        <f>+'NCES-Private Grads-all races'!AY26+'NCES-Public Grads-all races'!BC27</f>
        <v>8060</v>
      </c>
      <c r="AZ25" s="141">
        <f>+'NCES-Private Grads-all races'!AZ26+'NCES-Public Grads-all races'!BD27</f>
        <v>7228.2809999999999</v>
      </c>
      <c r="BA25" s="141">
        <f>+'NCES-Private Grads-all races'!BA26+'NCES-Public Grads-all races'!BE27</f>
        <v>7535.0559999999987</v>
      </c>
      <c r="BB25" s="141" t="e">
        <f>+'NCES-Private Grads-all races'!BB26+'NCES-Public Grads-all races'!BF27</f>
        <v>#VALUE!</v>
      </c>
      <c r="BC25" s="141" t="e">
        <f>+'NCES-Private Grads-all races'!BC26+'NCES-Public Grads-all races'!BG27</f>
        <v>#VALUE!</v>
      </c>
      <c r="BD25" s="141">
        <f>+'NCES-Private Grads-all races'!BD26+'NCES-Public Grads-all races'!BH27</f>
        <v>8591</v>
      </c>
      <c r="BE25" s="141">
        <f>+'NCES-Private Grads-all races'!BE26+'NCES-Public Grads-all races'!BI27</f>
        <v>8591</v>
      </c>
      <c r="BF25" s="140">
        <f>+'NCES-Private Grads-all races'!BF26+'NCES-Public Grads-all races'!BJ27</f>
        <v>8060</v>
      </c>
    </row>
    <row r="26" spans="1:58">
      <c r="A26" s="164" t="s">
        <v>52</v>
      </c>
      <c r="B26" s="141">
        <f>+'NCES-Private Grads-all races'!B27+'NCES-Public Grads-all races'!F28</f>
        <v>16993</v>
      </c>
      <c r="C26" s="141">
        <f>+'NCES-Private Grads-all races'!C27+'NCES-Public Grads-all races'!G28</f>
        <v>20120</v>
      </c>
      <c r="D26" s="141">
        <f>+'NCES-Private Grads-all races'!D27+'NCES-Public Grads-all races'!H28</f>
        <v>20772.571428571428</v>
      </c>
      <c r="E26" s="141">
        <f>+'NCES-Private Grads-all races'!E27+'NCES-Public Grads-all races'!I28</f>
        <v>21425.142857142859</v>
      </c>
      <c r="F26" s="141">
        <f>+'NCES-Private Grads-all races'!F27+'NCES-Public Grads-all races'!J28</f>
        <v>22077.714285714286</v>
      </c>
      <c r="G26" s="141">
        <f>+'NCES-Private Grads-all races'!G27+'NCES-Public Grads-all races'!K28</f>
        <v>22730.285714285714</v>
      </c>
      <c r="H26" s="141">
        <f>+'NCES-Private Grads-all races'!H27+'NCES-Public Grads-all races'!L28</f>
        <v>23382.857142857145</v>
      </c>
      <c r="I26" s="141">
        <f>+'NCES-Private Grads-all races'!I27+'NCES-Public Grads-all races'!M28</f>
        <v>24778.428571428572</v>
      </c>
      <c r="J26" s="141">
        <f>+'NCES-Private Grads-all races'!J27+'NCES-Public Grads-all races'!N28</f>
        <v>25353</v>
      </c>
      <c r="K26" s="141">
        <f>+'NCES-Private Grads-all races'!K27+'NCES-Public Grads-all races'!O28</f>
        <v>25412</v>
      </c>
      <c r="L26" s="141">
        <f>+'NCES-Private Grads-all races'!L27+'NCES-Public Grads-all races'!P28</f>
        <v>26324</v>
      </c>
      <c r="M26" s="141">
        <f>+'NCES-Private Grads-all races'!M27+'NCES-Public Grads-all races'!Q28</f>
        <v>27465</v>
      </c>
      <c r="N26" s="141">
        <f>+'NCES-Private Grads-all races'!N27+'NCES-Public Grads-all races'!R28</f>
        <v>28019</v>
      </c>
      <c r="O26" s="141">
        <f>+'NCES-Private Grads-all races'!O27+'NCES-Public Grads-all races'!S28</f>
        <v>31855</v>
      </c>
      <c r="P26" s="141">
        <f>+'NCES-Private Grads-all races'!P27+'NCES-Public Grads-all races'!T28</f>
        <v>32748</v>
      </c>
      <c r="Q26" s="141">
        <f>+'NCES-Private Grads-all races'!Q27+'NCES-Public Grads-all races'!U28</f>
        <v>31927</v>
      </c>
      <c r="R26" s="141">
        <f>+'NCES-Private Grads-all races'!R27+'NCES-Public Grads-all races'!V28</f>
        <v>30435</v>
      </c>
      <c r="S26" s="141">
        <f>+'NCES-Private Grads-all races'!S27+'NCES-Public Grads-all races'!W28</f>
        <v>30191.666666666668</v>
      </c>
      <c r="T26" s="141">
        <f>+'NCES-Private Grads-all races'!T27+'NCES-Public Grads-all races'!X28</f>
        <v>29798.333333333332</v>
      </c>
      <c r="U26" s="141">
        <f>+'NCES-Private Grads-all races'!U27+'NCES-Public Grads-all races'!Y28</f>
        <v>28253</v>
      </c>
      <c r="V26" s="141">
        <f>+'NCES-Private Grads-all races'!V27+'NCES-Public Grads-all races'!Z28</f>
        <v>30028.666666666668</v>
      </c>
      <c r="W26" s="141">
        <f>+'NCES-Private Grads-all races'!W27+'NCES-Public Grads-all races'!AA28</f>
        <v>29547.333333333332</v>
      </c>
      <c r="X26" s="141">
        <f>+'NCES-Private Grads-all races'!X27+'NCES-Public Grads-all races'!AB28</f>
        <v>29177</v>
      </c>
      <c r="Y26" s="141">
        <f>+'NCES-Private Grads-all races'!Y27+'NCES-Public Grads-all races'!AC28</f>
        <v>31166.666666666668</v>
      </c>
      <c r="Z26" s="141">
        <f>+'NCES-Private Grads-all races'!Z27+'NCES-Public Grads-all races'!AD28</f>
        <v>31368.333333333336</v>
      </c>
      <c r="AA26" s="141">
        <f>+'NCES-Private Grads-all races'!AA27+'NCES-Public Grads-all races'!AE28</f>
        <v>33484</v>
      </c>
      <c r="AB26" s="141">
        <f>+'NCES-Private Grads-all races'!AB27+'NCES-Public Grads-all races'!AF28</f>
        <v>33905</v>
      </c>
      <c r="AC26" s="141">
        <f>+'NCES-Private Grads-all races'!AC27+'NCES-Public Grads-all races'!AG28</f>
        <v>33321</v>
      </c>
      <c r="AD26" s="141">
        <f>+'NCES-Private Grads-all races'!AD27+'NCES-Public Grads-all races'!AH28</f>
        <v>33303</v>
      </c>
      <c r="AE26" s="141">
        <f>+'NCES-Private Grads-all races'!AE27+'NCES-Public Grads-all races'!AI28</f>
        <v>34162</v>
      </c>
      <c r="AF26" s="141">
        <f>+'NCES-Private Grads-all races'!AF27+'NCES-Public Grads-all races'!AJ28</f>
        <v>34117</v>
      </c>
      <c r="AG26" s="141">
        <f>+'NCES-Private Grads-all races'!AG27+'NCES-Public Grads-all races'!AK28</f>
        <v>33210</v>
      </c>
      <c r="AH26" s="141">
        <f>+'NCES-Private Grads-all races'!AH27+'NCES-Public Grads-all races'!AL28</f>
        <v>31506</v>
      </c>
      <c r="AI26" s="141">
        <f>+'NCES-Private Grads-all races'!AI27+'NCES-Public Grads-all races'!AM28</f>
        <v>36430</v>
      </c>
      <c r="AJ26" s="141">
        <f>+'NCES-Private Grads-all races'!AJ27+'NCES-Public Grads-all races'!AN28</f>
        <v>38734.5</v>
      </c>
      <c r="AK26" s="141">
        <f>+'NCES-Private Grads-all races'!AK27+'NCES-Public Grads-all races'!AO28</f>
        <v>38127</v>
      </c>
      <c r="AL26" s="141">
        <f>+'NCES-Private Grads-all races'!AL27+'NCES-Public Grads-all races'!AP28</f>
        <v>40628</v>
      </c>
      <c r="AM26" s="141">
        <f>+'NCES-Private Grads-all races'!AM27+'NCES-Public Grads-all races'!AQ28</f>
        <v>48812</v>
      </c>
      <c r="AN26" s="141">
        <f>+'NCES-Private Grads-all races'!AN27+'NCES-Public Grads-all races'!AR28</f>
        <v>49419.5</v>
      </c>
      <c r="AO26" s="141">
        <f>+'NCES-Private Grads-all races'!AO27+'NCES-Public Grads-all races'!AS28</f>
        <v>52396</v>
      </c>
      <c r="AP26" s="141">
        <f>+'NCES-Private Grads-all races'!AP27+'NCES-Public Grads-all races'!AT28</f>
        <v>48028</v>
      </c>
      <c r="AQ26" s="141">
        <f>+'NCES-Private Grads-all races'!AQ27+'NCES-Public Grads-all races'!AU28</f>
        <v>62128</v>
      </c>
      <c r="AR26" s="141">
        <f>+'NCES-Private Grads-all races'!AR27+'NCES-Public Grads-all races'!AV28</f>
        <v>56701</v>
      </c>
      <c r="AS26" s="141">
        <f>+'NCES-Private Grads-all races'!AS27+'NCES-Public Grads-all races'!AW28</f>
        <v>58544</v>
      </c>
      <c r="AT26" s="141">
        <f>+'NCES-Private Grads-all races'!AT27+'NCES-Public Grads-all races'!AX28</f>
        <v>64342</v>
      </c>
      <c r="AU26" s="141">
        <f>+'NCES-Private Grads-all races'!AU27+'NCES-Public Grads-all races'!AY28</f>
        <v>65134</v>
      </c>
      <c r="AV26" s="141">
        <f>+'NCES-Private Grads-all races'!AV27+'NCES-Public Grads-all races'!AZ28</f>
        <v>63850</v>
      </c>
      <c r="AW26" s="141">
        <f>+'NCES-Private Grads-all races'!AW27+'NCES-Public Grads-all races'!BA28</f>
        <v>67122</v>
      </c>
      <c r="AX26" s="141">
        <f>+'NCES-Private Grads-all races'!AX27+'NCES-Public Grads-all races'!BB28</f>
        <v>66038</v>
      </c>
      <c r="AY26" s="141">
        <f>+'NCES-Private Grads-all races'!AY27+'NCES-Public Grads-all races'!BC28</f>
        <v>65218</v>
      </c>
      <c r="AZ26" s="141">
        <f>+'NCES-Private Grads-all races'!AZ27+'NCES-Public Grads-all races'!BD28</f>
        <v>63019.063000000002</v>
      </c>
      <c r="BA26" s="141">
        <f>+'NCES-Private Grads-all races'!BA27+'NCES-Public Grads-all races'!BE28</f>
        <v>65176.008000000002</v>
      </c>
      <c r="BB26" s="141">
        <f>+'NCES-Private Grads-all races'!BB27+'NCES-Public Grads-all races'!BF28</f>
        <v>67761.78</v>
      </c>
      <c r="BC26" s="141">
        <f>+'NCES-Private Grads-all races'!BC27+'NCES-Public Grads-all races'!BG28</f>
        <v>72134</v>
      </c>
      <c r="BD26" s="141">
        <f>+'NCES-Private Grads-all races'!BD27+'NCES-Public Grads-all races'!BH28</f>
        <v>75186</v>
      </c>
      <c r="BE26" s="141">
        <f>+'NCES-Private Grads-all races'!BE27+'NCES-Public Grads-all races'!BI28</f>
        <v>75607</v>
      </c>
      <c r="BF26" s="140">
        <f>+'NCES-Private Grads-all races'!BF27+'NCES-Public Grads-all races'!BJ28</f>
        <v>76620</v>
      </c>
    </row>
    <row r="27" spans="1:58">
      <c r="A27" s="164" t="s">
        <v>53</v>
      </c>
      <c r="B27" s="141">
        <f>+'NCES-Private Grads-all races'!B28+'NCES-Public Grads-all races'!F29</f>
        <v>227949</v>
      </c>
      <c r="C27" s="141">
        <f>+'NCES-Private Grads-all races'!C28+'NCES-Public Grads-all races'!G29</f>
        <v>244310</v>
      </c>
      <c r="D27" s="141">
        <f>+'NCES-Private Grads-all races'!D28+'NCES-Public Grads-all races'!H29</f>
        <v>251433.02857142859</v>
      </c>
      <c r="E27" s="141">
        <f>+'NCES-Private Grads-all races'!E28+'NCES-Public Grads-all races'!I29</f>
        <v>258556.05714285717</v>
      </c>
      <c r="F27" s="141">
        <f>+'NCES-Private Grads-all races'!F28+'NCES-Public Grads-all races'!J29</f>
        <v>265679.08571428573</v>
      </c>
      <c r="G27" s="141">
        <f>+'NCES-Private Grads-all races'!G28+'NCES-Public Grads-all races'!K29</f>
        <v>272802.11428571434</v>
      </c>
      <c r="H27" s="141">
        <f>+'NCES-Private Grads-all races'!H28+'NCES-Public Grads-all races'!L29</f>
        <v>279925.14285714284</v>
      </c>
      <c r="I27" s="141">
        <f>+'NCES-Private Grads-all races'!I28+'NCES-Public Grads-all races'!M29</f>
        <v>281919.57142857142</v>
      </c>
      <c r="J27" s="141">
        <f>+'NCES-Private Grads-all races'!J28+'NCES-Public Grads-all races'!N29</f>
        <v>290018</v>
      </c>
      <c r="K27" s="141">
        <f>+'NCES-Private Grads-all races'!K28+'NCES-Public Grads-all races'!O29</f>
        <v>287521</v>
      </c>
      <c r="L27" s="141">
        <f>+'NCES-Private Grads-all races'!L28+'NCES-Public Grads-all races'!P29</f>
        <v>287993</v>
      </c>
      <c r="M27" s="141">
        <f>+'NCES-Private Grads-all races'!M28+'NCES-Public Grads-all races'!Q29</f>
        <v>295311</v>
      </c>
      <c r="N27" s="141">
        <f>+'NCES-Private Grads-all races'!N28+'NCES-Public Grads-all races'!R29</f>
        <v>294500</v>
      </c>
      <c r="O27" s="141">
        <f>+'NCES-Private Grads-all races'!O28+'NCES-Public Grads-all races'!S29</f>
        <v>288143</v>
      </c>
      <c r="P27" s="141">
        <f>+'NCES-Private Grads-all races'!P28+'NCES-Public Grads-all races'!T29</f>
        <v>284652</v>
      </c>
      <c r="Q27" s="141">
        <f>+'NCES-Private Grads-all races'!Q28+'NCES-Public Grads-all races'!U29</f>
        <v>274616</v>
      </c>
      <c r="R27" s="141">
        <f>+'NCES-Private Grads-all races'!R28+'NCES-Public Grads-all races'!V29</f>
        <v>274079</v>
      </c>
      <c r="S27" s="141">
        <f>+'NCES-Private Grads-all races'!S28+'NCES-Public Grads-all races'!W29</f>
        <v>267563.55555555556</v>
      </c>
      <c r="T27" s="141">
        <f>+'NCES-Private Grads-all races'!T28+'NCES-Public Grads-all races'!X29</f>
        <v>267264.11111111112</v>
      </c>
      <c r="U27" s="141">
        <f>+'NCES-Private Grads-all races'!U28+'NCES-Public Grads-all races'!Y29</f>
        <v>263347.66666666669</v>
      </c>
      <c r="V27" s="141">
        <f>+'NCES-Private Grads-all races'!V28+'NCES-Public Grads-all races'!Z29</f>
        <v>259179.22222222222</v>
      </c>
      <c r="W27" s="141">
        <f>+'NCES-Private Grads-all races'!W28+'NCES-Public Grads-all races'!AA29</f>
        <v>252957.77777777778</v>
      </c>
      <c r="X27" s="141">
        <f>+'NCES-Private Grads-all races'!X28+'NCES-Public Grads-all races'!AB29</f>
        <v>257065.33333333331</v>
      </c>
      <c r="Y27" s="141">
        <f>+'NCES-Private Grads-all races'!Y28+'NCES-Public Grads-all races'!AC29</f>
        <v>265982.88888888888</v>
      </c>
      <c r="Z27" s="141">
        <f>+'NCES-Private Grads-all races'!Z28+'NCES-Public Grads-all races'!AD29</f>
        <v>278715.44444444444</v>
      </c>
      <c r="AA27" s="141">
        <f>+'NCES-Private Grads-all races'!AA28+'NCES-Public Grads-all races'!AE29</f>
        <v>274257</v>
      </c>
      <c r="AB27" s="141">
        <f>+'NCES-Private Grads-all races'!AB28+'NCES-Public Grads-all races'!AF29</f>
        <v>264956</v>
      </c>
      <c r="AC27" s="141">
        <f>+'NCES-Private Grads-all races'!AC28+'NCES-Public Grads-all races'!AG29</f>
        <v>261866</v>
      </c>
      <c r="AD27" s="141">
        <f>+'NCES-Private Grads-all races'!AD28+'NCES-Public Grads-all races'!AH29</f>
        <v>272296</v>
      </c>
      <c r="AE27" s="141">
        <f>+'NCES-Private Grads-all races'!AE28+'NCES-Public Grads-all races'!AI29</f>
        <v>273756</v>
      </c>
      <c r="AF27" s="141">
        <f>+'NCES-Private Grads-all races'!AF28+'NCES-Public Grads-all races'!AJ29</f>
        <v>278477.5</v>
      </c>
      <c r="AG27" s="141">
        <f>+'NCES-Private Grads-all races'!AG28+'NCES-Public Grads-all races'!AK29</f>
        <v>281553</v>
      </c>
      <c r="AH27" s="141">
        <f>+'NCES-Private Grads-all races'!AH28+'NCES-Public Grads-all races'!AL29</f>
        <v>286069</v>
      </c>
      <c r="AI27" s="141">
        <f>+'NCES-Private Grads-all races'!AI28+'NCES-Public Grads-all races'!AM29</f>
        <v>295940</v>
      </c>
      <c r="AJ27" s="141">
        <f>+'NCES-Private Grads-all races'!AJ28+'NCES-Public Grads-all races'!AN29</f>
        <v>310380</v>
      </c>
      <c r="AK27" s="141">
        <f>+'NCES-Private Grads-all races'!AK28+'NCES-Public Grads-all races'!AO29</f>
        <v>327318</v>
      </c>
      <c r="AL27" s="141">
        <f>+'NCES-Private Grads-all races'!AL28+'NCES-Public Grads-all races'!AP29</f>
        <v>340012</v>
      </c>
      <c r="AM27" s="141">
        <f>+'NCES-Private Grads-all races'!AM28+'NCES-Public Grads-all races'!AQ29</f>
        <v>345474</v>
      </c>
      <c r="AN27" s="141">
        <f>+'NCES-Private Grads-all races'!AN28+'NCES-Public Grads-all races'!AR29</f>
        <v>357037.5</v>
      </c>
      <c r="AO27" s="141">
        <f>+'NCES-Private Grads-all races'!AO28+'NCES-Public Grads-all races'!AS29</f>
        <v>373097</v>
      </c>
      <c r="AP27" s="141">
        <f>+'NCES-Private Grads-all races'!AP28+'NCES-Public Grads-all races'!AT29</f>
        <v>376250</v>
      </c>
      <c r="AQ27" s="141">
        <f>+'NCES-Private Grads-all races'!AQ28+'NCES-Public Grads-all races'!AU29</f>
        <v>388757</v>
      </c>
      <c r="AR27" s="141">
        <f>+'NCES-Private Grads-all races'!AR28+'NCES-Public Grads-all races'!AV29</f>
        <v>377725</v>
      </c>
      <c r="AS27" s="141">
        <f>+'NCES-Private Grads-all races'!AS28+'NCES-Public Grads-all races'!AW29</f>
        <v>391521</v>
      </c>
      <c r="AT27" s="141">
        <f>+'NCES-Private Grads-all races'!AT28+'NCES-Public Grads-all races'!AX29</f>
        <v>409626</v>
      </c>
      <c r="AU27" s="141">
        <f>+'NCES-Private Grads-all races'!AU28+'NCES-Public Grads-all races'!AY29</f>
        <v>407560</v>
      </c>
      <c r="AV27" s="141">
        <f>+'NCES-Private Grads-all races'!AV28+'NCES-Public Grads-all races'!AZ29</f>
        <v>439802</v>
      </c>
      <c r="AW27" s="141">
        <f>+'NCES-Private Grads-all races'!AW28+'NCES-Public Grads-all races'!BA29</f>
        <v>444847</v>
      </c>
      <c r="AX27" s="141">
        <f>+'NCES-Private Grads-all races'!AX28+'NCES-Public Grads-all races'!BB29</f>
        <v>452204</v>
      </c>
      <c r="AY27" s="141">
        <f>+'NCES-Private Grads-all races'!AY28+'NCES-Public Grads-all races'!BC29</f>
        <v>454825</v>
      </c>
      <c r="AZ27" s="141">
        <f>+'NCES-Private Grads-all races'!AZ28+'NCES-Public Grads-all races'!BD29</f>
        <v>434121.51</v>
      </c>
      <c r="BA27" s="141">
        <f>+'NCES-Private Grads-all races'!BA28+'NCES-Public Grads-all races'!BE29</f>
        <v>437591.83999999997</v>
      </c>
      <c r="BB27" s="141">
        <f>+'NCES-Private Grads-all races'!BB28+'NCES-Public Grads-all races'!BF29</f>
        <v>445019.88</v>
      </c>
      <c r="BC27" s="141">
        <f>+'NCES-Private Grads-all races'!BC28+'NCES-Public Grads-all races'!BG29</f>
        <v>470870</v>
      </c>
      <c r="BD27" s="141">
        <f>+'NCES-Private Grads-all races'!BD28+'NCES-Public Grads-all races'!BH29</f>
        <v>481729</v>
      </c>
      <c r="BE27" s="141">
        <f>+'NCES-Private Grads-all races'!BE28+'NCES-Public Grads-all races'!BI29</f>
        <v>484630</v>
      </c>
      <c r="BF27" s="140">
        <f>+'NCES-Private Grads-all races'!BF28+'NCES-Public Grads-all races'!BJ29</f>
        <v>480580</v>
      </c>
    </row>
    <row r="28" spans="1:58">
      <c r="A28" s="164" t="s">
        <v>54</v>
      </c>
      <c r="B28" s="141">
        <f>+'NCES-Private Grads-all races'!B29+'NCES-Public Grads-all races'!F30</f>
        <v>23728</v>
      </c>
      <c r="C28" s="141">
        <f>+'NCES-Private Grads-all races'!C29+'NCES-Public Grads-all races'!G30</f>
        <v>28549</v>
      </c>
      <c r="D28" s="141">
        <f>+'NCES-Private Grads-all races'!D29+'NCES-Public Grads-all races'!H30</f>
        <v>29304.45714285714</v>
      </c>
      <c r="E28" s="141">
        <f>+'NCES-Private Grads-all races'!E29+'NCES-Public Grads-all races'!I30</f>
        <v>30059.914285714283</v>
      </c>
      <c r="F28" s="141">
        <f>+'NCES-Private Grads-all races'!F29+'NCES-Public Grads-all races'!J30</f>
        <v>30815.371428571423</v>
      </c>
      <c r="G28" s="141">
        <f>+'NCES-Private Grads-all races'!G29+'NCES-Public Grads-all races'!K30</f>
        <v>31570.828571428567</v>
      </c>
      <c r="H28" s="141">
        <f>+'NCES-Private Grads-all races'!H29+'NCES-Public Grads-all races'!L30</f>
        <v>32326.285714285714</v>
      </c>
      <c r="I28" s="141">
        <f>+'NCES-Private Grads-all races'!I29+'NCES-Public Grads-all races'!M30</f>
        <v>33967.142857142855</v>
      </c>
      <c r="J28" s="141">
        <f>+'NCES-Private Grads-all races'!J29+'NCES-Public Grads-all races'!N30</f>
        <v>35554</v>
      </c>
      <c r="K28" s="141">
        <f>+'NCES-Private Grads-all races'!K29+'NCES-Public Grads-all races'!O30</f>
        <v>35458</v>
      </c>
      <c r="L28" s="141">
        <f>+'NCES-Private Grads-all races'!L29+'NCES-Public Grads-all races'!P30</f>
        <v>36453</v>
      </c>
      <c r="M28" s="141">
        <f>+'NCES-Private Grads-all races'!M29+'NCES-Public Grads-all races'!Q30</f>
        <v>36863</v>
      </c>
      <c r="N28" s="141">
        <f>+'NCES-Private Grads-all races'!N29+'NCES-Public Grads-all races'!R30</f>
        <v>37555</v>
      </c>
      <c r="O28" s="141">
        <f>+'NCES-Private Grads-all races'!O29+'NCES-Public Grads-all races'!S30</f>
        <v>38647</v>
      </c>
      <c r="P28" s="141">
        <f>+'NCES-Private Grads-all races'!P29+'NCES-Public Grads-all races'!T30</f>
        <v>39326.333333333336</v>
      </c>
      <c r="Q28" s="141">
        <f>+'NCES-Private Grads-all races'!Q29+'NCES-Public Grads-all races'!U30</f>
        <v>39140.666666666664</v>
      </c>
      <c r="R28" s="141">
        <f>+'NCES-Private Grads-all races'!R29+'NCES-Public Grads-all races'!V30</f>
        <v>38664</v>
      </c>
      <c r="S28" s="141">
        <f>+'NCES-Private Grads-all races'!S29+'NCES-Public Grads-all races'!W30</f>
        <v>37788.333333333336</v>
      </c>
      <c r="T28" s="141">
        <f>+'NCES-Private Grads-all races'!T29+'NCES-Public Grads-all races'!X30</f>
        <v>37416.666666666664</v>
      </c>
      <c r="U28" s="141">
        <f>+'NCES-Private Grads-all races'!U29+'NCES-Public Grads-all races'!Y30</f>
        <v>36829</v>
      </c>
      <c r="V28" s="141">
        <f>+'NCES-Private Grads-all races'!V29+'NCES-Public Grads-all races'!Z30</f>
        <v>34939.333333333336</v>
      </c>
      <c r="W28" s="141">
        <f>+'NCES-Private Grads-all races'!W29+'NCES-Public Grads-all races'!AA30</f>
        <v>34271.666666666664</v>
      </c>
      <c r="X28" s="141">
        <f>+'NCES-Private Grads-all races'!X29+'NCES-Public Grads-all races'!AB30</f>
        <v>34669</v>
      </c>
      <c r="Y28" s="141">
        <f>+'NCES-Private Grads-all races'!Y29+'NCES-Public Grads-all races'!AC30</f>
        <v>36279.333333333336</v>
      </c>
      <c r="Z28" s="141">
        <f>+'NCES-Private Grads-all races'!Z29+'NCES-Public Grads-all races'!AD30</f>
        <v>38087.666666666664</v>
      </c>
      <c r="AA28" s="141">
        <f>+'NCES-Private Grads-all races'!AA29+'NCES-Public Grads-all races'!AE30</f>
        <v>37662</v>
      </c>
      <c r="AB28" s="141">
        <f>+'NCES-Private Grads-all races'!AB29+'NCES-Public Grads-all races'!AF30</f>
        <v>35230</v>
      </c>
      <c r="AC28" s="141">
        <f>+'NCES-Private Grads-all races'!AC29+'NCES-Public Grads-all races'!AG30</f>
        <v>33677</v>
      </c>
      <c r="AD28" s="141">
        <f>+'NCES-Private Grads-all races'!AD29+'NCES-Public Grads-all races'!AH30</f>
        <v>33443</v>
      </c>
      <c r="AE28" s="141">
        <f>+'NCES-Private Grads-all races'!AE29+'NCES-Public Grads-all races'!AI30</f>
        <v>33665</v>
      </c>
      <c r="AF28" s="141">
        <f>+'NCES-Private Grads-all races'!AF29+'NCES-Public Grads-all races'!AJ30</f>
        <v>33744</v>
      </c>
      <c r="AG28" s="141">
        <f>+'NCES-Private Grads-all races'!AG29+'NCES-Public Grads-all races'!AK30</f>
        <v>34337</v>
      </c>
      <c r="AH28" s="141">
        <f>+'NCES-Private Grads-all races'!AH29+'NCES-Public Grads-all races'!AL30</f>
        <v>34686</v>
      </c>
      <c r="AI28" s="141">
        <f>+'NCES-Private Grads-all races'!AI29+'NCES-Public Grads-all races'!AM30</f>
        <v>36653</v>
      </c>
      <c r="AJ28" s="141">
        <f>+'NCES-Private Grads-all races'!AJ29+'NCES-Public Grads-all races'!AN30</f>
        <v>38240</v>
      </c>
      <c r="AK28" s="141">
        <f>+'NCES-Private Grads-all races'!AK29+'NCES-Public Grads-all races'!AO30</f>
        <v>39428</v>
      </c>
      <c r="AL28" s="141">
        <f>+'NCES-Private Grads-all races'!AL29+'NCES-Public Grads-all races'!AP30</f>
        <v>41722</v>
      </c>
      <c r="AM28" s="141">
        <f>+'NCES-Private Grads-all races'!AM29+'NCES-Public Grads-all races'!AQ30</f>
        <v>41659</v>
      </c>
      <c r="AN28" s="141">
        <f>+'NCES-Private Grads-all races'!AN29+'NCES-Public Grads-all races'!AR30</f>
        <v>43149</v>
      </c>
      <c r="AO28" s="141">
        <f>+'NCES-Private Grads-all races'!AO29+'NCES-Public Grads-all races'!AS30</f>
        <v>44739</v>
      </c>
      <c r="AP28" s="141">
        <f>+'NCES-Private Grads-all races'!AP29+'NCES-Public Grads-all races'!AT30</f>
        <v>47377</v>
      </c>
      <c r="AQ28" s="141">
        <f>+'NCES-Private Grads-all races'!AQ29+'NCES-Public Grads-all races'!AU30</f>
        <v>47372</v>
      </c>
      <c r="AR28" s="141">
        <f>+'NCES-Private Grads-all races'!AR29+'NCES-Public Grads-all races'!AV30</f>
        <v>47104</v>
      </c>
      <c r="AS28" s="141">
        <f>+'NCES-Private Grads-all races'!AS29+'NCES-Public Grads-all races'!AW30</f>
        <v>48148</v>
      </c>
      <c r="AT28" s="141">
        <f>+'NCES-Private Grads-all races'!AT29+'NCES-Public Grads-all races'!AX30</f>
        <v>48762</v>
      </c>
      <c r="AU28" s="141">
        <f>+'NCES-Private Grads-all races'!AU29+'NCES-Public Grads-all races'!AY30</f>
        <v>50299</v>
      </c>
      <c r="AV28" s="141">
        <f>+'NCES-Private Grads-all races'!AV29+'NCES-Public Grads-all races'!AZ30</f>
        <v>52186</v>
      </c>
      <c r="AW28" s="141">
        <f>+'NCES-Private Grads-all races'!AW29+'NCES-Public Grads-all races'!BA30</f>
        <v>53012</v>
      </c>
      <c r="AX28" s="141">
        <f>+'NCES-Private Grads-all races'!AX29+'NCES-Public Grads-all races'!BB30</f>
        <v>52792</v>
      </c>
      <c r="AY28" s="141">
        <f>+'NCES-Private Grads-all races'!AY29+'NCES-Public Grads-all races'!BC30</f>
        <v>53488</v>
      </c>
      <c r="AZ28" s="141">
        <f>+'NCES-Private Grads-all races'!AZ29+'NCES-Public Grads-all races'!BD30</f>
        <v>50148.12</v>
      </c>
      <c r="BA28" s="141">
        <f>+'NCES-Private Grads-all races'!BA29+'NCES-Public Grads-all races'!BE30</f>
        <v>50553.67</v>
      </c>
      <c r="BB28" s="141">
        <f>+'NCES-Private Grads-all races'!BB29+'NCES-Public Grads-all races'!BF30</f>
        <v>52712.974000000002</v>
      </c>
      <c r="BC28" s="141">
        <f>+'NCES-Private Grads-all races'!BC29+'NCES-Public Grads-all races'!BG30</f>
        <v>58316</v>
      </c>
      <c r="BD28" s="141">
        <f>+'NCES-Private Grads-all races'!BD29+'NCES-Public Grads-all races'!BH30</f>
        <v>60909</v>
      </c>
      <c r="BE28" s="141">
        <f>+'NCES-Private Grads-all races'!BE29+'NCES-Public Grads-all races'!BI30</f>
        <v>61221</v>
      </c>
      <c r="BF28" s="140">
        <f>+'NCES-Private Grads-all races'!BF29+'NCES-Public Grads-all races'!BJ30</f>
        <v>61680</v>
      </c>
    </row>
    <row r="29" spans="1:58">
      <c r="A29" s="164" t="s">
        <v>55</v>
      </c>
      <c r="B29" s="141">
        <f>+'NCES-Private Grads-all races'!B30+'NCES-Public Grads-all races'!F31</f>
        <v>10187</v>
      </c>
      <c r="C29" s="141">
        <f>+'NCES-Private Grads-all races'!C30+'NCES-Public Grads-all races'!G31</f>
        <v>11050</v>
      </c>
      <c r="D29" s="141">
        <f>+'NCES-Private Grads-all races'!D30+'NCES-Public Grads-all races'!H31</f>
        <v>11284.257142857143</v>
      </c>
      <c r="E29" s="141">
        <f>+'NCES-Private Grads-all races'!E30+'NCES-Public Grads-all races'!I31</f>
        <v>11518.514285714286</v>
      </c>
      <c r="F29" s="141">
        <f>+'NCES-Private Grads-all races'!F30+'NCES-Public Grads-all races'!J31</f>
        <v>11752.771428571428</v>
      </c>
      <c r="G29" s="141">
        <f>+'NCES-Private Grads-all races'!G30+'NCES-Public Grads-all races'!K31</f>
        <v>11987.028571428571</v>
      </c>
      <c r="H29" s="141">
        <f>+'NCES-Private Grads-all races'!H30+'NCES-Public Grads-all races'!L31</f>
        <v>12221.285714285714</v>
      </c>
      <c r="I29" s="141">
        <f>+'NCES-Private Grads-all races'!I30+'NCES-Public Grads-all races'!M31</f>
        <v>12278.142857142857</v>
      </c>
      <c r="J29" s="141">
        <f>+'NCES-Private Grads-all races'!J30+'NCES-Public Grads-all races'!N31</f>
        <v>12985</v>
      </c>
      <c r="K29" s="141">
        <f>+'NCES-Private Grads-all races'!K30+'NCES-Public Grads-all races'!O31</f>
        <v>12947</v>
      </c>
      <c r="L29" s="141">
        <f>+'NCES-Private Grads-all races'!L30+'NCES-Public Grads-all races'!P31</f>
        <v>13226</v>
      </c>
      <c r="M29" s="141">
        <f>+'NCES-Private Grads-all races'!M30+'NCES-Public Grads-all races'!Q31</f>
        <v>13583</v>
      </c>
      <c r="N29" s="141">
        <f>+'NCES-Private Grads-all races'!N30+'NCES-Public Grads-all races'!R31</f>
        <v>13284</v>
      </c>
      <c r="O29" s="141">
        <f>+'NCES-Private Grads-all races'!O30+'NCES-Public Grads-all races'!S31</f>
        <v>13637</v>
      </c>
      <c r="P29" s="141">
        <f>+'NCES-Private Grads-all races'!P30+'NCES-Public Grads-all races'!T31</f>
        <v>13399.333333333334</v>
      </c>
      <c r="Q29" s="141">
        <f>+'NCES-Private Grads-all races'!Q30+'NCES-Public Grads-all races'!U31</f>
        <v>14055.666666666668</v>
      </c>
      <c r="R29" s="141">
        <f>+'NCES-Private Grads-all races'!R30+'NCES-Public Grads-all races'!V31</f>
        <v>14121</v>
      </c>
      <c r="S29" s="141">
        <f>+'NCES-Private Grads-all races'!S30+'NCES-Public Grads-all races'!W31</f>
        <v>14094.444444444445</v>
      </c>
      <c r="T29" s="141">
        <f>+'NCES-Private Grads-all races'!T30+'NCES-Public Grads-all races'!X31</f>
        <v>14179.888888888889</v>
      </c>
      <c r="U29" s="141">
        <f>+'NCES-Private Grads-all races'!U30+'NCES-Public Grads-all races'!Y31</f>
        <v>13368.333333333332</v>
      </c>
      <c r="V29" s="141">
        <f>+'NCES-Private Grads-all races'!V30+'NCES-Public Grads-all races'!Z31</f>
        <v>13059.777777777777</v>
      </c>
      <c r="W29" s="141">
        <f>+'NCES-Private Grads-all races'!W30+'NCES-Public Grads-all races'!AA31</f>
        <v>12692.222222222223</v>
      </c>
      <c r="X29" s="141">
        <f>+'NCES-Private Grads-all races'!X30+'NCES-Public Grads-all races'!AB31</f>
        <v>12552.666666666666</v>
      </c>
      <c r="Y29" s="141">
        <f>+'NCES-Private Grads-all races'!Y30+'NCES-Public Grads-all races'!AC31</f>
        <v>12960.111111111109</v>
      </c>
      <c r="Z29" s="141">
        <f>+'NCES-Private Grads-all races'!Z30+'NCES-Public Grads-all races'!AD31</f>
        <v>13158.555555555555</v>
      </c>
      <c r="AA29" s="141">
        <f>+'NCES-Private Grads-all races'!AA30+'NCES-Public Grads-all races'!AE31</f>
        <v>12982</v>
      </c>
      <c r="AB29" s="141">
        <f>+'NCES-Private Grads-all races'!AB30+'NCES-Public Grads-all races'!AF31</f>
        <v>12999.5</v>
      </c>
      <c r="AC29" s="141">
        <f>+'NCES-Private Grads-all races'!AC30+'NCES-Public Grads-all races'!AG31</f>
        <v>11745</v>
      </c>
      <c r="AD29" s="141">
        <f>+'NCES-Private Grads-all races'!AD30+'NCES-Public Grads-all races'!AH31</f>
        <v>11931</v>
      </c>
      <c r="AE29" s="141">
        <f>+'NCES-Private Grads-all races'!AE30+'NCES-Public Grads-all races'!AI31</f>
        <v>10740</v>
      </c>
      <c r="AF29" s="141">
        <f>+'NCES-Private Grads-all races'!AF30+'NCES-Public Grads-all races'!AJ31</f>
        <v>11613.5</v>
      </c>
      <c r="AG29" s="141">
        <f>+'NCES-Private Grads-all races'!AG30+'NCES-Public Grads-all races'!AK31</f>
        <v>12010</v>
      </c>
      <c r="AH29" s="141">
        <f>+'NCES-Private Grads-all races'!AH30+'NCES-Public Grads-all races'!AL31</f>
        <v>11836</v>
      </c>
      <c r="AI29" s="141">
        <f>+'NCES-Private Grads-all races'!AI30+'NCES-Public Grads-all races'!AM31</f>
        <v>11547</v>
      </c>
      <c r="AJ29" s="141">
        <f>+'NCES-Private Grads-all races'!AJ30+'NCES-Public Grads-all races'!AN31</f>
        <v>12245.5</v>
      </c>
      <c r="AK29" s="141">
        <f>+'NCES-Private Grads-all races'!AK30+'NCES-Public Grads-all races'!AO31</f>
        <v>12247</v>
      </c>
      <c r="AL29" s="141">
        <f>+'NCES-Private Grads-all races'!AL30+'NCES-Public Grads-all races'!AP31</f>
        <v>13129</v>
      </c>
      <c r="AM29" s="141">
        <f>+'NCES-Private Grads-all races'!AM30+'NCES-Public Grads-all races'!AQ31</f>
        <v>13490</v>
      </c>
      <c r="AN29" s="141">
        <f>+'NCES-Private Grads-all races'!AN30+'NCES-Public Grads-all races'!AR31</f>
        <v>13516</v>
      </c>
      <c r="AO29" s="141">
        <f>+'NCES-Private Grads-all races'!AO30+'NCES-Public Grads-all races'!AS31</f>
        <v>12753</v>
      </c>
      <c r="AP29" s="141">
        <f>+'NCES-Private Grads-all races'!AP30+'NCES-Public Grads-all races'!AT31</f>
        <v>12529</v>
      </c>
      <c r="AQ29" s="141">
        <f>+'NCES-Private Grads-all races'!AQ30+'NCES-Public Grads-all races'!AU31</f>
        <v>12483</v>
      </c>
      <c r="AR29" s="141">
        <f>+'NCES-Private Grads-all races'!AR30+'NCES-Public Grads-all races'!AV31</f>
        <v>12952</v>
      </c>
      <c r="AS29" s="141">
        <f>+'NCES-Private Grads-all races'!AS30+'NCES-Public Grads-all races'!AW31</f>
        <v>13453</v>
      </c>
      <c r="AT29" s="141">
        <f>+'NCES-Private Grads-all races'!AT30+'NCES-Public Grads-all races'!AX31</f>
        <v>14138</v>
      </c>
      <c r="AU29" s="141">
        <f>+'NCES-Private Grads-all races'!AU30+'NCES-Public Grads-all races'!AY31</f>
        <v>14168</v>
      </c>
      <c r="AV29" s="141">
        <f>+'NCES-Private Grads-all races'!AV30+'NCES-Public Grads-all races'!AZ31</f>
        <v>13708</v>
      </c>
      <c r="AW29" s="141">
        <f>+'NCES-Private Grads-all races'!AW30+'NCES-Public Grads-all races'!BA31</f>
        <v>13476</v>
      </c>
      <c r="AX29" s="141">
        <f>+'NCES-Private Grads-all races'!AX30+'NCES-Public Grads-all races'!BB31</f>
        <v>14045</v>
      </c>
      <c r="AY29" s="141">
        <f>+'NCES-Private Grads-all races'!AY30+'NCES-Public Grads-all races'!BC31</f>
        <v>13400</v>
      </c>
      <c r="AZ29" s="141">
        <f>+'NCES-Private Grads-all races'!AZ30+'NCES-Public Grads-all races'!BD31</f>
        <v>13744.715999999999</v>
      </c>
      <c r="BA29" s="141">
        <f>+'NCES-Private Grads-all races'!BA30+'NCES-Public Grads-all races'!BE31</f>
        <v>13913.183999999999</v>
      </c>
      <c r="BB29" s="141">
        <f>+'NCES-Private Grads-all races'!BB30+'NCES-Public Grads-all races'!BF31</f>
        <v>14154.317000000001</v>
      </c>
      <c r="BC29" s="141">
        <f>+'NCES-Private Grads-all races'!BC30+'NCES-Public Grads-all races'!BG31</f>
        <v>14397</v>
      </c>
      <c r="BD29" s="141">
        <f>+'NCES-Private Grads-all races'!BD30+'NCES-Public Grads-all races'!BH31</f>
        <v>14960</v>
      </c>
      <c r="BE29" s="141">
        <f>+'NCES-Private Grads-all races'!BE30+'NCES-Public Grads-all races'!BI31</f>
        <v>14483</v>
      </c>
      <c r="BF29" s="140">
        <f>+'NCES-Private Grads-all races'!BF30+'NCES-Public Grads-all races'!BJ31</f>
        <v>14830</v>
      </c>
    </row>
    <row r="30" spans="1:58">
      <c r="A30" s="164" t="s">
        <v>56</v>
      </c>
      <c r="B30" s="141">
        <f>+'NCES-Private Grads-all races'!B31+'NCES-Public Grads-all races'!F32</f>
        <v>9440</v>
      </c>
      <c r="C30" s="141">
        <f>+'NCES-Private Grads-all races'!C31+'NCES-Public Grads-all races'!G32</f>
        <v>11708</v>
      </c>
      <c r="D30" s="141">
        <f>+'NCES-Private Grads-all races'!D31+'NCES-Public Grads-all races'!H32</f>
        <v>11879.314285714287</v>
      </c>
      <c r="E30" s="141">
        <f>+'NCES-Private Grads-all races'!E31+'NCES-Public Grads-all races'!I32</f>
        <v>12050.628571428571</v>
      </c>
      <c r="F30" s="141">
        <f>+'NCES-Private Grads-all races'!F31+'NCES-Public Grads-all races'!J32</f>
        <v>12221.942857142858</v>
      </c>
      <c r="G30" s="141">
        <f>+'NCES-Private Grads-all races'!G31+'NCES-Public Grads-all races'!K32</f>
        <v>12393.257142857145</v>
      </c>
      <c r="H30" s="141">
        <f>+'NCES-Private Grads-all races'!H31+'NCES-Public Grads-all races'!L32</f>
        <v>12564.571428571429</v>
      </c>
      <c r="I30" s="141">
        <f>+'NCES-Private Grads-all races'!I31+'NCES-Public Grads-all races'!M32</f>
        <v>12644.285714285714</v>
      </c>
      <c r="J30" s="141">
        <f>+'NCES-Private Grads-all races'!J31+'NCES-Public Grads-all races'!N32</f>
        <v>13129</v>
      </c>
      <c r="K30" s="141">
        <f>+'NCES-Private Grads-all races'!K31+'NCES-Public Grads-all races'!O32</f>
        <v>13014</v>
      </c>
      <c r="L30" s="141">
        <f>+'NCES-Private Grads-all races'!L31+'NCES-Public Grads-all races'!P32</f>
        <v>13076</v>
      </c>
      <c r="M30" s="141">
        <f>+'NCES-Private Grads-all races'!M31+'NCES-Public Grads-all races'!Q32</f>
        <v>12831</v>
      </c>
      <c r="N30" s="141">
        <f>+'NCES-Private Grads-all races'!N31+'NCES-Public Grads-all races'!R32</f>
        <v>12140</v>
      </c>
      <c r="O30" s="141">
        <f>+'NCES-Private Grads-all races'!O31+'NCES-Public Grads-all races'!S32</f>
        <v>13229</v>
      </c>
      <c r="P30" s="141">
        <f>+'NCES-Private Grads-all races'!P31+'NCES-Public Grads-all races'!T32</f>
        <v>13539</v>
      </c>
      <c r="Q30" s="141">
        <f>+'NCES-Private Grads-all races'!Q31+'NCES-Public Grads-all races'!U32</f>
        <v>13708</v>
      </c>
      <c r="R30" s="141">
        <f>+'NCES-Private Grads-all races'!R31+'NCES-Public Grads-all races'!V32</f>
        <v>13501</v>
      </c>
      <c r="S30" s="141">
        <f>+'NCES-Private Grads-all races'!S31+'NCES-Public Grads-all races'!W32</f>
        <v>13010.555555555555</v>
      </c>
      <c r="T30" s="141">
        <f>+'NCES-Private Grads-all races'!T31+'NCES-Public Grads-all races'!X32</f>
        <v>12909.111111111111</v>
      </c>
      <c r="U30" s="141">
        <f>+'NCES-Private Grads-all races'!U31+'NCES-Public Grads-all races'!Y32</f>
        <v>12492.666666666666</v>
      </c>
      <c r="V30" s="141">
        <f>+'NCES-Private Grads-all races'!V31+'NCES-Public Grads-all races'!Z32</f>
        <v>12116.222222222223</v>
      </c>
      <c r="W30" s="141">
        <f>+'NCES-Private Grads-all races'!W31+'NCES-Public Grads-all races'!AA32</f>
        <v>12549.777777777777</v>
      </c>
      <c r="X30" s="141">
        <f>+'NCES-Private Grads-all races'!X31+'NCES-Public Grads-all races'!AB32</f>
        <v>12478.333333333334</v>
      </c>
      <c r="Y30" s="141">
        <f>+'NCES-Private Grads-all races'!Y31+'NCES-Public Grads-all races'!AC32</f>
        <v>12679.888888888889</v>
      </c>
      <c r="Z30" s="141">
        <f>+'NCES-Private Grads-all races'!Z31+'NCES-Public Grads-all races'!AD32</f>
        <v>12879.444444444445</v>
      </c>
      <c r="AA30" s="141">
        <f>+'NCES-Private Grads-all races'!AA31+'NCES-Public Grads-all races'!AE32</f>
        <v>12992</v>
      </c>
      <c r="AB30" s="141">
        <f>+'NCES-Private Grads-all races'!AB31+'NCES-Public Grads-all races'!AF32</f>
        <v>12365.5</v>
      </c>
      <c r="AC30" s="141">
        <f>+'NCES-Private Grads-all races'!AC31+'NCES-Public Grads-all races'!AG32</f>
        <v>12278</v>
      </c>
      <c r="AD30" s="141">
        <f>+'NCES-Private Grads-all races'!AD31+'NCES-Public Grads-all races'!AH32</f>
        <v>13051</v>
      </c>
      <c r="AE30" s="141">
        <f>+'NCES-Private Grads-all races'!AE31+'NCES-Public Grads-all races'!AI32</f>
        <v>13315</v>
      </c>
      <c r="AF30" s="141">
        <f>+'NCES-Private Grads-all races'!AF31+'NCES-Public Grads-all races'!AJ32</f>
        <v>13641.5</v>
      </c>
      <c r="AG30" s="141">
        <f>+'NCES-Private Grads-all races'!AG31+'NCES-Public Grads-all races'!AK32</f>
        <v>14578</v>
      </c>
      <c r="AH30" s="141">
        <f>+'NCES-Private Grads-all races'!AH31+'NCES-Public Grads-all races'!AL32</f>
        <v>15077</v>
      </c>
      <c r="AI30" s="141">
        <f>+'NCES-Private Grads-all races'!AI31+'NCES-Public Grads-all races'!AM32</f>
        <v>15837</v>
      </c>
      <c r="AJ30" s="141">
        <f>+'NCES-Private Grads-all races'!AJ31+'NCES-Public Grads-all races'!AN32</f>
        <v>15967.5</v>
      </c>
      <c r="AK30" s="141">
        <f>+'NCES-Private Grads-all races'!AK31+'NCES-Public Grads-all races'!AO32</f>
        <v>16175</v>
      </c>
      <c r="AL30" s="141">
        <f>+'NCES-Private Grads-all races'!AL31+'NCES-Public Grads-all races'!AP32</f>
        <v>16799</v>
      </c>
      <c r="AM30" s="141">
        <f>+'NCES-Private Grads-all races'!AM31+'NCES-Public Grads-all races'!AQ32</f>
        <v>16402</v>
      </c>
      <c r="AN30" s="141">
        <f>+'NCES-Private Grads-all races'!AN31+'NCES-Public Grads-all races'!AR32</f>
        <v>16359.5</v>
      </c>
      <c r="AO30" s="141">
        <f>+'NCES-Private Grads-all races'!AO31+'NCES-Public Grads-all races'!AS32</f>
        <v>16368</v>
      </c>
      <c r="AP30" s="141">
        <f>+'NCES-Private Grads-all races'!AP31+'NCES-Public Grads-all races'!AT32</f>
        <v>16077</v>
      </c>
      <c r="AQ30" s="141">
        <f>+'NCES-Private Grads-all races'!AQ31+'NCES-Public Grads-all races'!AU32</f>
        <v>16318</v>
      </c>
      <c r="AR30" s="141">
        <f>+'NCES-Private Grads-all races'!AR31+'NCES-Public Grads-all races'!AV32</f>
        <v>16826</v>
      </c>
      <c r="AS30" s="141">
        <f>+'NCES-Private Grads-all races'!AS31+'NCES-Public Grads-all races'!AW32</f>
        <v>17152</v>
      </c>
      <c r="AT30" s="141">
        <f>+'NCES-Private Grads-all races'!AT31+'NCES-Public Grads-all races'!AX32</f>
        <v>17297</v>
      </c>
      <c r="AU30" s="141">
        <f>+'NCES-Private Grads-all races'!AU31+'NCES-Public Grads-all races'!AY32</f>
        <v>17357</v>
      </c>
      <c r="AV30" s="141">
        <f>+'NCES-Private Grads-all races'!AV31+'NCES-Public Grads-all races'!AZ32</f>
        <v>18358</v>
      </c>
      <c r="AW30" s="141">
        <f>+'NCES-Private Grads-all races'!AW31+'NCES-Public Grads-all races'!BA32</f>
        <v>18105</v>
      </c>
      <c r="AX30" s="141">
        <f>+'NCES-Private Grads-all races'!AX31+'NCES-Public Grads-all races'!BB32</f>
        <v>18193</v>
      </c>
      <c r="AY30" s="141">
        <f>+'NCES-Private Grads-all races'!AY31+'NCES-Public Grads-all races'!BC32</f>
        <v>17868</v>
      </c>
      <c r="AZ30" s="141">
        <f>+'NCES-Private Grads-all races'!AZ31+'NCES-Public Grads-all races'!BD32</f>
        <v>18310.32</v>
      </c>
      <c r="BA30" s="141">
        <f>+'NCES-Private Grads-all races'!BA31+'NCES-Public Grads-all races'!BE32</f>
        <v>17560.894</v>
      </c>
      <c r="BB30" s="141">
        <f>+'NCES-Private Grads-all races'!BB31+'NCES-Public Grads-all races'!BF32</f>
        <v>18205.751</v>
      </c>
      <c r="BC30" s="141">
        <f>+'NCES-Private Grads-all races'!BC31+'NCES-Public Grads-all races'!BG32</f>
        <v>18923</v>
      </c>
      <c r="BD30" s="141">
        <f>+'NCES-Private Grads-all races'!BD31+'NCES-Public Grads-all races'!BH32</f>
        <v>20067</v>
      </c>
      <c r="BE30" s="141">
        <f>+'NCES-Private Grads-all races'!BE31+'NCES-Public Grads-all races'!BI32</f>
        <v>20429</v>
      </c>
      <c r="BF30" s="140">
        <f>+'NCES-Private Grads-all races'!BF31+'NCES-Public Grads-all races'!BJ32</f>
        <v>20710</v>
      </c>
    </row>
    <row r="31" spans="1:58">
      <c r="A31" s="164" t="s">
        <v>57</v>
      </c>
      <c r="B31" s="141">
        <f>+'NCES-Private Grads-all races'!B32+'NCES-Public Grads-all races'!F33</f>
        <v>9236</v>
      </c>
      <c r="C31" s="141">
        <f>+'NCES-Private Grads-all races'!C32+'NCES-Public Grads-all races'!G33</f>
        <v>10801</v>
      </c>
      <c r="D31" s="141">
        <f>+'NCES-Private Grads-all races'!D32+'NCES-Public Grads-all races'!H33</f>
        <v>11151.085714285713</v>
      </c>
      <c r="E31" s="141">
        <f>+'NCES-Private Grads-all races'!E32+'NCES-Public Grads-all races'!I33</f>
        <v>11501.171428571428</v>
      </c>
      <c r="F31" s="141">
        <f>+'NCES-Private Grads-all races'!F32+'NCES-Public Grads-all races'!J33</f>
        <v>11851.257142857141</v>
      </c>
      <c r="G31" s="141">
        <f>+'NCES-Private Grads-all races'!G32+'NCES-Public Grads-all races'!K33</f>
        <v>12201.342857142854</v>
      </c>
      <c r="H31" s="141">
        <f>+'NCES-Private Grads-all races'!H32+'NCES-Public Grads-all races'!L33</f>
        <v>12551.428571428572</v>
      </c>
      <c r="I31" s="141">
        <f>+'NCES-Private Grads-all races'!I32+'NCES-Public Grads-all races'!M33</f>
        <v>12565.714285714286</v>
      </c>
      <c r="J31" s="141">
        <f>+'NCES-Private Grads-all races'!J32+'NCES-Public Grads-all races'!N33</f>
        <v>11752</v>
      </c>
      <c r="K31" s="141">
        <f>+'NCES-Private Grads-all races'!K32+'NCES-Public Grads-all races'!O33</f>
        <v>11604</v>
      </c>
      <c r="L31" s="141">
        <f>+'NCES-Private Grads-all races'!L32+'NCES-Public Grads-all races'!P33</f>
        <v>13235</v>
      </c>
      <c r="M31" s="141">
        <f>+'NCES-Private Grads-all races'!M32+'NCES-Public Grads-all races'!Q33</f>
        <v>13493</v>
      </c>
      <c r="N31" s="141">
        <f>+'NCES-Private Grads-all races'!N32+'NCES-Public Grads-all races'!R33</f>
        <v>12636</v>
      </c>
      <c r="O31" s="141">
        <f>+'NCES-Private Grads-all races'!O32+'NCES-Public Grads-all races'!S33</f>
        <v>12828</v>
      </c>
      <c r="P31" s="141">
        <f>+'NCES-Private Grads-all races'!P32+'NCES-Public Grads-all races'!T33</f>
        <v>12668.333333333334</v>
      </c>
      <c r="Q31" s="141">
        <f>+'NCES-Private Grads-all races'!Q32+'NCES-Public Grads-all races'!U33</f>
        <v>12536.666666666666</v>
      </c>
      <c r="R31" s="141">
        <f>+'NCES-Private Grads-all races'!R32+'NCES-Public Grads-all races'!V33</f>
        <v>12588</v>
      </c>
      <c r="S31" s="141">
        <f>+'NCES-Private Grads-all races'!S32+'NCES-Public Grads-all races'!W33</f>
        <v>12093.222222222223</v>
      </c>
      <c r="T31" s="141">
        <f>+'NCES-Private Grads-all races'!T32+'NCES-Public Grads-all races'!X33</f>
        <v>11627.444444444445</v>
      </c>
      <c r="U31" s="141">
        <f>+'NCES-Private Grads-all races'!U32+'NCES-Public Grads-all races'!Y33</f>
        <v>11160.666666666666</v>
      </c>
      <c r="V31" s="141">
        <f>+'NCES-Private Grads-all races'!V32+'NCES-Public Grads-all races'!Z33</f>
        <v>10701.888888888889</v>
      </c>
      <c r="W31" s="141">
        <f>+'NCES-Private Grads-all races'!W32+'NCES-Public Grads-all races'!AA33</f>
        <v>10500.111111111111</v>
      </c>
      <c r="X31" s="141">
        <f>+'NCES-Private Grads-all races'!X32+'NCES-Public Grads-all races'!AB33</f>
        <v>10251.333333333334</v>
      </c>
      <c r="Y31" s="141">
        <f>+'NCES-Private Grads-all races'!Y32+'NCES-Public Grads-all races'!AC33</f>
        <v>10569.555555555555</v>
      </c>
      <c r="Z31" s="141">
        <f>+'NCES-Private Grads-all races'!Z32+'NCES-Public Grads-all races'!AD33</f>
        <v>10813.777777777777</v>
      </c>
      <c r="AA31" s="141">
        <f>+'NCES-Private Grads-all races'!AA32+'NCES-Public Grads-all races'!AE33</f>
        <v>10999</v>
      </c>
      <c r="AB31" s="141">
        <f>+'NCES-Private Grads-all races'!AB32+'NCES-Public Grads-all races'!AF33</f>
        <v>9840</v>
      </c>
      <c r="AC31" s="141">
        <f>+'NCES-Private Grads-all races'!AC32+'NCES-Public Grads-all races'!AG33</f>
        <v>9444</v>
      </c>
      <c r="AD31" s="141">
        <f>+'NCES-Private Grads-all races'!AD32+'NCES-Public Grads-all races'!AH33</f>
        <v>9477</v>
      </c>
      <c r="AE31" s="141">
        <f>+'NCES-Private Grads-all races'!AE32+'NCES-Public Grads-all races'!AI33</f>
        <v>9744</v>
      </c>
      <c r="AF31" s="141">
        <f>+'NCES-Private Grads-all races'!AF32+'NCES-Public Grads-all races'!AJ33</f>
        <v>9956.5</v>
      </c>
      <c r="AG31" s="141">
        <f>+'NCES-Private Grads-all races'!AG32+'NCES-Public Grads-all races'!AK33</f>
        <v>10490</v>
      </c>
      <c r="AH31" s="141">
        <f>+'NCES-Private Grads-all races'!AH32+'NCES-Public Grads-all races'!AL33</f>
        <v>10594</v>
      </c>
      <c r="AI31" s="141">
        <f>+'NCES-Private Grads-all races'!AI32+'NCES-Public Grads-all races'!AM33</f>
        <v>10684</v>
      </c>
      <c r="AJ31" s="141">
        <f>+'NCES-Private Grads-all races'!AJ32+'NCES-Public Grads-all races'!AN33</f>
        <v>11034.5</v>
      </c>
      <c r="AK31" s="141">
        <f>+'NCES-Private Grads-all races'!AK32+'NCES-Public Grads-all races'!AO33</f>
        <v>11320</v>
      </c>
      <c r="AL31" s="141">
        <f>+'NCES-Private Grads-all races'!AL32+'NCES-Public Grads-all races'!AP33</f>
        <v>11410</v>
      </c>
      <c r="AM31" s="141">
        <f>+'NCES-Private Grads-all races'!AM32+'NCES-Public Grads-all races'!AQ33</f>
        <v>11171</v>
      </c>
      <c r="AN31" s="141">
        <f>+'NCES-Private Grads-all races'!AN32+'NCES-Public Grads-all races'!AR33</f>
        <v>11240.5</v>
      </c>
      <c r="AO31" s="141">
        <f>+'NCES-Private Grads-all races'!AO32+'NCES-Public Grads-all races'!AS33</f>
        <v>11487</v>
      </c>
      <c r="AP31" s="141">
        <f>+'NCES-Private Grads-all races'!AP32+'NCES-Public Grads-all races'!AT33</f>
        <v>15530</v>
      </c>
      <c r="AQ31" s="141">
        <f>+'NCES-Private Grads-all races'!AQ32+'NCES-Public Grads-all races'!AU33</f>
        <v>19565</v>
      </c>
      <c r="AR31" s="141">
        <f>+'NCES-Private Grads-all races'!AR32+'NCES-Public Grads-all races'!AV33</f>
        <v>15748</v>
      </c>
      <c r="AS31" s="141">
        <f>+'NCES-Private Grads-all races'!AS32+'NCES-Public Grads-all races'!AW33</f>
        <v>11822</v>
      </c>
      <c r="AT31" s="141">
        <f>+'NCES-Private Grads-all races'!AT32+'NCES-Public Grads-all races'!AX33</f>
        <v>11431</v>
      </c>
      <c r="AU31" s="141">
        <f>+'NCES-Private Grads-all races'!AU32+'NCES-Public Grads-all races'!AY33</f>
        <v>10447</v>
      </c>
      <c r="AV31" s="141">
        <f>+'NCES-Private Grads-all races'!AV32+'NCES-Public Grads-all races'!AZ33</f>
        <v>10475</v>
      </c>
      <c r="AW31" s="141">
        <f>+'NCES-Private Grads-all races'!AW32+'NCES-Public Grads-all races'!BA33</f>
        <v>10162</v>
      </c>
      <c r="AX31" s="141">
        <f>+'NCES-Private Grads-all races'!AX32+'NCES-Public Grads-all races'!BB33</f>
        <v>10160</v>
      </c>
      <c r="AY31" s="141">
        <f>+'NCES-Private Grads-all races'!AY32+'NCES-Public Grads-all races'!BC33</f>
        <v>9759</v>
      </c>
      <c r="AZ31" s="141">
        <f>+'NCES-Private Grads-all races'!AZ32+'NCES-Public Grads-all races'!BD33</f>
        <v>9665.1700000000019</v>
      </c>
      <c r="BA31" s="141">
        <f>+'NCES-Private Grads-all races'!BA32+'NCES-Public Grads-all races'!BE33</f>
        <v>9556.42</v>
      </c>
      <c r="BB31" s="141">
        <f>+'NCES-Private Grads-all races'!BB32+'NCES-Public Grads-all races'!BF33</f>
        <v>9584.8240000000005</v>
      </c>
      <c r="BC31" s="141">
        <f>+'NCES-Private Grads-all races'!BC32+'NCES-Public Grads-all races'!BG33</f>
        <v>9833</v>
      </c>
      <c r="BD31" s="141">
        <f>+'NCES-Private Grads-all races'!BD32+'NCES-Public Grads-all races'!BH33</f>
        <v>9765</v>
      </c>
      <c r="BE31" s="141">
        <f>+'NCES-Private Grads-all races'!BE32+'NCES-Public Grads-all races'!BI33</f>
        <v>9892</v>
      </c>
      <c r="BF31" s="140">
        <f>+'NCES-Private Grads-all races'!BF32+'NCES-Public Grads-all races'!BJ33</f>
        <v>9900</v>
      </c>
    </row>
    <row r="32" spans="1:58">
      <c r="A32" s="164" t="s">
        <v>58</v>
      </c>
      <c r="B32" s="141">
        <f>+'NCES-Private Grads-all races'!B33+'NCES-Public Grads-all races'!F34</f>
        <v>3857</v>
      </c>
      <c r="C32" s="141">
        <f>+'NCES-Private Grads-all races'!C33+'NCES-Public Grads-all races'!G34</f>
        <v>4981</v>
      </c>
      <c r="D32" s="141">
        <f>+'NCES-Private Grads-all races'!D33+'NCES-Public Grads-all races'!H34</f>
        <v>5116.3142857142857</v>
      </c>
      <c r="E32" s="141">
        <f>+'NCES-Private Grads-all races'!E33+'NCES-Public Grads-all races'!I34</f>
        <v>5251.6285714285723</v>
      </c>
      <c r="F32" s="141">
        <f>+'NCES-Private Grads-all races'!F33+'NCES-Public Grads-all races'!J34</f>
        <v>5386.942857142858</v>
      </c>
      <c r="G32" s="141">
        <f>+'NCES-Private Grads-all races'!G33+'NCES-Public Grads-all races'!K34</f>
        <v>5522.2571428571446</v>
      </c>
      <c r="H32" s="141">
        <f>+'NCES-Private Grads-all races'!H33+'NCES-Public Grads-all races'!L34</f>
        <v>5657.5714285714284</v>
      </c>
      <c r="I32" s="141">
        <f>+'NCES-Private Grads-all races'!I33+'NCES-Public Grads-all races'!M34</f>
        <v>6103.2857142857147</v>
      </c>
      <c r="J32" s="141">
        <f>+'NCES-Private Grads-all races'!J33+'NCES-Public Grads-all races'!N34</f>
        <v>6406</v>
      </c>
      <c r="K32" s="141">
        <f>+'NCES-Private Grads-all races'!K33+'NCES-Public Grads-all races'!O34</f>
        <v>6614</v>
      </c>
      <c r="L32" s="141">
        <f>+'NCES-Private Grads-all races'!L33+'NCES-Public Grads-all races'!P34</f>
        <v>7160</v>
      </c>
      <c r="M32" s="141">
        <f>+'NCES-Private Grads-all races'!M33+'NCES-Public Grads-all races'!Q34</f>
        <v>7532</v>
      </c>
      <c r="N32" s="141">
        <f>+'NCES-Private Grads-all races'!N33+'NCES-Public Grads-all races'!R34</f>
        <v>7866</v>
      </c>
      <c r="O32" s="141">
        <f>+'NCES-Private Grads-all races'!O33+'NCES-Public Grads-all races'!S34</f>
        <v>8292</v>
      </c>
      <c r="P32" s="141">
        <f>+'NCES-Private Grads-all races'!P33+'NCES-Public Grads-all races'!T34</f>
        <v>8532.6666666666661</v>
      </c>
      <c r="Q32" s="141">
        <f>+'NCES-Private Grads-all races'!Q33+'NCES-Public Grads-all races'!U34</f>
        <v>8618.3333333333339</v>
      </c>
      <c r="R32" s="141">
        <f>+'NCES-Private Grads-all races'!R33+'NCES-Public Grads-all races'!V34</f>
        <v>8772</v>
      </c>
      <c r="S32" s="141">
        <f>+'NCES-Private Grads-all races'!S33+'NCES-Public Grads-all races'!W34</f>
        <v>9377.8888888888887</v>
      </c>
      <c r="T32" s="141">
        <f>+'NCES-Private Grads-all races'!T33+'NCES-Public Grads-all races'!X34</f>
        <v>9558.7777777777774</v>
      </c>
      <c r="U32" s="141">
        <f>+'NCES-Private Grads-all races'!U33+'NCES-Public Grads-all races'!Y34</f>
        <v>9307.6666666666661</v>
      </c>
      <c r="V32" s="141">
        <f>+'NCES-Private Grads-all races'!V33+'NCES-Public Grads-all races'!Z34</f>
        <v>9064.5555555555547</v>
      </c>
      <c r="W32" s="141">
        <f>+'NCES-Private Grads-all races'!W33+'NCES-Public Grads-all races'!AA34</f>
        <v>8920.4444444444453</v>
      </c>
      <c r="X32" s="141">
        <f>+'NCES-Private Grads-all races'!X33+'NCES-Public Grads-all races'!AB34</f>
        <v>9142.3333333333339</v>
      </c>
      <c r="Y32" s="141">
        <f>+'NCES-Private Grads-all races'!Y33+'NCES-Public Grads-all races'!AC34</f>
        <v>9874.2222222222226</v>
      </c>
      <c r="Z32" s="141">
        <f>+'NCES-Private Grads-all races'!Z33+'NCES-Public Grads-all races'!AD34</f>
        <v>9782.1111111111113</v>
      </c>
      <c r="AA32" s="141">
        <f>+'NCES-Private Grads-all races'!AA33+'NCES-Public Grads-all races'!AE34</f>
        <v>9852</v>
      </c>
      <c r="AB32" s="141">
        <f>+'NCES-Private Grads-all races'!AB33+'NCES-Public Grads-all races'!AF34</f>
        <v>9825</v>
      </c>
      <c r="AC32" s="141">
        <f>+'NCES-Private Grads-all races'!AC33+'NCES-Public Grads-all races'!AG34</f>
        <v>9678</v>
      </c>
      <c r="AD32" s="141">
        <f>+'NCES-Private Grads-all races'!AD33+'NCES-Public Grads-all races'!AH34</f>
        <v>9119</v>
      </c>
      <c r="AE32" s="141">
        <f>+'NCES-Private Grads-all races'!AE33+'NCES-Public Grads-all races'!AI34</f>
        <v>9688</v>
      </c>
      <c r="AF32" s="141">
        <f>+'NCES-Private Grads-all races'!AF33+'NCES-Public Grads-all races'!AJ34</f>
        <v>9998.5</v>
      </c>
      <c r="AG32" s="141">
        <f>+'NCES-Private Grads-all races'!AG33+'NCES-Public Grads-all races'!AK34</f>
        <v>10419</v>
      </c>
      <c r="AH32" s="141">
        <f>+'NCES-Private Grads-all races'!AH33+'NCES-Public Grads-all races'!AL34</f>
        <v>10771</v>
      </c>
      <c r="AI32" s="141">
        <f>+'NCES-Private Grads-all races'!AI33+'NCES-Public Grads-all races'!AM34</f>
        <v>12864</v>
      </c>
      <c r="AJ32" s="141">
        <f>+'NCES-Private Grads-all races'!AJ33+'NCES-Public Grads-all races'!AN34</f>
        <v>13591</v>
      </c>
      <c r="AK32" s="141">
        <f>+'NCES-Private Grads-all races'!AK33+'NCES-Public Grads-all races'!AO34</f>
        <v>14531</v>
      </c>
      <c r="AL32" s="141">
        <f>+'NCES-Private Grads-all races'!AL33+'NCES-Public Grads-all races'!AP34</f>
        <v>15118</v>
      </c>
      <c r="AM32" s="141">
        <f>+'NCES-Private Grads-all races'!AM33+'NCES-Public Grads-all races'!AQ34</f>
        <v>15732</v>
      </c>
      <c r="AN32" s="141">
        <f>+'NCES-Private Grads-all races'!AN33+'NCES-Public Grads-all races'!AR34</f>
        <v>16907.5</v>
      </c>
      <c r="AO32" s="141">
        <f>+'NCES-Private Grads-all races'!AO33+'NCES-Public Grads-all races'!AS34</f>
        <v>17048</v>
      </c>
      <c r="AP32" s="141">
        <f>+'NCES-Private Grads-all races'!AP33+'NCES-Public Grads-all races'!AT34</f>
        <v>15866</v>
      </c>
      <c r="AQ32" s="141">
        <f>+'NCES-Private Grads-all races'!AQ33+'NCES-Public Grads-all races'!AU34</f>
        <v>16400</v>
      </c>
      <c r="AR32" s="141">
        <f>+'NCES-Private Grads-all races'!AR33+'NCES-Public Grads-all races'!AV34</f>
        <v>17135</v>
      </c>
      <c r="AS32" s="141">
        <f>+'NCES-Private Grads-all races'!AS33+'NCES-Public Grads-all races'!AW34</f>
        <v>17849</v>
      </c>
      <c r="AT32" s="141">
        <f>+'NCES-Private Grads-all races'!AT33+'NCES-Public Grads-all races'!AX34</f>
        <v>19575</v>
      </c>
      <c r="AU32" s="141">
        <f>+'NCES-Private Grads-all races'!AU33+'NCES-Public Grads-all races'!AY34</f>
        <v>20724</v>
      </c>
      <c r="AV32" s="141">
        <f>+'NCES-Private Grads-all races'!AV33+'NCES-Public Grads-all races'!AZ34</f>
        <v>21816</v>
      </c>
      <c r="AW32" s="141">
        <f>+'NCES-Private Grads-all races'!AW33+'NCES-Public Grads-all races'!BA34</f>
        <v>22082</v>
      </c>
      <c r="AX32" s="141">
        <f>+'NCES-Private Grads-all races'!AX33+'NCES-Public Grads-all races'!BB34</f>
        <v>22761</v>
      </c>
      <c r="AY32" s="141">
        <f>+'NCES-Private Grads-all races'!AY33+'NCES-Public Grads-all races'!BC34</f>
        <v>23878</v>
      </c>
      <c r="AZ32" s="141">
        <f>+'NCES-Private Grads-all races'!AZ33+'NCES-Public Grads-all races'!BD34</f>
        <v>24980.699999999997</v>
      </c>
      <c r="BA32" s="141">
        <f>+'NCES-Private Grads-all races'!BA33+'NCES-Public Grads-all races'!BE34</f>
        <v>25476.295999999998</v>
      </c>
      <c r="BB32" s="141">
        <f>+'NCES-Private Grads-all races'!BB33+'NCES-Public Grads-all races'!BF34</f>
        <v>26607.815999999999</v>
      </c>
      <c r="BC32" s="141">
        <f>+'NCES-Private Grads-all races'!BC33+'NCES-Public Grads-all races'!BG34</f>
        <v>30644</v>
      </c>
      <c r="BD32" s="141">
        <f>+'NCES-Private Grads-all races'!BD33+'NCES-Public Grads-all races'!BH34</f>
        <v>31481</v>
      </c>
      <c r="BE32" s="141">
        <f>+'NCES-Private Grads-all races'!BE33+'NCES-Public Grads-all races'!BI34</f>
        <v>29660</v>
      </c>
      <c r="BF32" s="140">
        <f>+'NCES-Private Grads-all races'!BF33+'NCES-Public Grads-all races'!BJ34</f>
        <v>30290</v>
      </c>
    </row>
    <row r="33" spans="1:58">
      <c r="A33" s="164" t="s">
        <v>59</v>
      </c>
      <c r="B33" s="141">
        <f>+'NCES-Private Grads-all races'!B34+'NCES-Public Grads-all races'!F35</f>
        <v>11567</v>
      </c>
      <c r="C33" s="141">
        <f>+'NCES-Private Grads-all races'!C34+'NCES-Public Grads-all races'!G35</f>
        <v>14343</v>
      </c>
      <c r="D33" s="141">
        <f>+'NCES-Private Grads-all races'!D34+'NCES-Public Grads-all races'!H35</f>
        <v>14851.542857142857</v>
      </c>
      <c r="E33" s="141">
        <f>+'NCES-Private Grads-all races'!E34+'NCES-Public Grads-all races'!I35</f>
        <v>15360.085714285713</v>
      </c>
      <c r="F33" s="141">
        <f>+'NCES-Private Grads-all races'!F34+'NCES-Public Grads-all races'!J35</f>
        <v>15868.62857142857</v>
      </c>
      <c r="G33" s="141">
        <f>+'NCES-Private Grads-all races'!G34+'NCES-Public Grads-all races'!K35</f>
        <v>16377.171428571426</v>
      </c>
      <c r="H33" s="141">
        <f>+'NCES-Private Grads-all races'!H34+'NCES-Public Grads-all races'!L35</f>
        <v>16885.714285714286</v>
      </c>
      <c r="I33" s="141">
        <f>+'NCES-Private Grads-all races'!I34+'NCES-Public Grads-all races'!M35</f>
        <v>17073.857142857141</v>
      </c>
      <c r="J33" s="141">
        <f>+'NCES-Private Grads-all races'!J34+'NCES-Public Grads-all races'!N35</f>
        <v>17799</v>
      </c>
      <c r="K33" s="141">
        <f>+'NCES-Private Grads-all races'!K34+'NCES-Public Grads-all races'!O35</f>
        <v>18048</v>
      </c>
      <c r="L33" s="141">
        <f>+'NCES-Private Grads-all races'!L34+'NCES-Public Grads-all races'!P35</f>
        <v>18164</v>
      </c>
      <c r="M33" s="141">
        <f>+'NCES-Private Grads-all races'!M34+'NCES-Public Grads-all races'!Q35</f>
        <v>19238</v>
      </c>
      <c r="N33" s="141">
        <f>+'NCES-Private Grads-all races'!N34+'NCES-Public Grads-all races'!R35</f>
        <v>18743</v>
      </c>
      <c r="O33" s="141">
        <f>+'NCES-Private Grads-all races'!O34+'NCES-Public Grads-all races'!S35</f>
        <v>18888</v>
      </c>
      <c r="P33" s="141">
        <f>+'NCES-Private Grads-all races'!P34+'NCES-Public Grads-all races'!T35</f>
        <v>19354.333333333332</v>
      </c>
      <c r="Q33" s="141">
        <f>+'NCES-Private Grads-all races'!Q34+'NCES-Public Grads-all races'!U35</f>
        <v>19682.666666666668</v>
      </c>
      <c r="R33" s="141">
        <f>+'NCES-Private Grads-all races'!R34+'NCES-Public Grads-all races'!V35</f>
        <v>19355</v>
      </c>
      <c r="S33" s="141">
        <f>+'NCES-Private Grads-all races'!S34+'NCES-Public Grads-all races'!W35</f>
        <v>18887.777777777777</v>
      </c>
      <c r="T33" s="141">
        <f>+'NCES-Private Grads-all races'!T34+'NCES-Public Grads-all races'!X35</f>
        <v>18649.555555555555</v>
      </c>
      <c r="U33" s="141">
        <f>+'NCES-Private Grads-all races'!U34+'NCES-Public Grads-all races'!Y35</f>
        <v>17586.333333333332</v>
      </c>
      <c r="V33" s="141">
        <f>+'NCES-Private Grads-all races'!V34+'NCES-Public Grads-all races'!Z35</f>
        <v>17012.111111111109</v>
      </c>
      <c r="W33" s="141">
        <f>+'NCES-Private Grads-all races'!W34+'NCES-Public Grads-all races'!AA35</f>
        <v>16761.888888888891</v>
      </c>
      <c r="X33" s="141">
        <f>+'NCES-Private Grads-all races'!X34+'NCES-Public Grads-all races'!AB35</f>
        <v>16649.666666666668</v>
      </c>
      <c r="Y33" s="141">
        <f>+'NCES-Private Grads-all races'!Y34+'NCES-Public Grads-all races'!AC35</f>
        <v>16924.444444444445</v>
      </c>
      <c r="Z33" s="141">
        <f>+'NCES-Private Grads-all races'!Z34+'NCES-Public Grads-all races'!AD35</f>
        <v>17133.222222222223</v>
      </c>
      <c r="AA33" s="141">
        <f>+'NCES-Private Grads-all races'!AA34+'NCES-Public Grads-all races'!AE35</f>
        <v>16788</v>
      </c>
      <c r="AB33" s="141">
        <f>+'NCES-Private Grads-all races'!AB34+'NCES-Public Grads-all races'!AF35</f>
        <v>16060</v>
      </c>
      <c r="AC33" s="141">
        <f>+'NCES-Private Grads-all races'!AC34+'NCES-Public Grads-all races'!AG35</f>
        <v>16202</v>
      </c>
      <c r="AD33" s="141">
        <f>+'NCES-Private Grads-all races'!AD34+'NCES-Public Grads-all races'!AH35</f>
        <v>15869</v>
      </c>
      <c r="AE33" s="141">
        <f>+'NCES-Private Grads-all races'!AE34+'NCES-Public Grads-all races'!AI35</f>
        <v>16201</v>
      </c>
      <c r="AF33" s="141">
        <f>+'NCES-Private Grads-all races'!AF34+'NCES-Public Grads-all races'!AJ35</f>
        <v>15880</v>
      </c>
      <c r="AG33" s="141">
        <f>+'NCES-Private Grads-all races'!AG34+'NCES-Public Grads-all races'!AK35</f>
        <v>15875</v>
      </c>
      <c r="AH33" s="141">
        <f>+'NCES-Private Grads-all races'!AH34+'NCES-Public Grads-all races'!AL35</f>
        <v>16659</v>
      </c>
      <c r="AI33" s="141">
        <f>+'NCES-Private Grads-all races'!AI34+'NCES-Public Grads-all races'!AM35</f>
        <v>16540</v>
      </c>
      <c r="AJ33" s="141">
        <f>+'NCES-Private Grads-all races'!AJ34+'NCES-Public Grads-all races'!AN35</f>
        <v>17629.5</v>
      </c>
      <c r="AK33" s="141">
        <f>+'NCES-Private Grads-all races'!AK34+'NCES-Public Grads-all races'!AO35</f>
        <v>18678</v>
      </c>
      <c r="AL33" s="141">
        <f>+'NCES-Private Grads-all races'!AL34+'NCES-Public Grads-all races'!AP35</f>
        <v>19586</v>
      </c>
      <c r="AM33" s="141">
        <f>+'NCES-Private Grads-all races'!AM34+'NCES-Public Grads-all races'!AQ35</f>
        <v>19561</v>
      </c>
      <c r="AN33" s="141">
        <f>+'NCES-Private Grads-all races'!AN34+'NCES-Public Grads-all races'!AR35</f>
        <v>19395</v>
      </c>
      <c r="AO33" s="141">
        <f>+'NCES-Private Grads-all races'!AO34+'NCES-Public Grads-all races'!AS35</f>
        <v>18163</v>
      </c>
      <c r="AP33" s="141">
        <f>+'NCES-Private Grads-all races'!AP34+'NCES-Public Grads-all races'!AT35</f>
        <v>19212</v>
      </c>
      <c r="AQ33" s="141">
        <f>+'NCES-Private Grads-all races'!AQ34+'NCES-Public Grads-all races'!AU35</f>
        <v>18753</v>
      </c>
      <c r="AR33" s="141">
        <f>+'NCES-Private Grads-all races'!AR34+'NCES-Public Grads-all races'!AV35</f>
        <v>19272</v>
      </c>
      <c r="AS33" s="141">
        <f>+'NCES-Private Grads-all races'!AS34+'NCES-Public Grads-all races'!AW35</f>
        <v>17631</v>
      </c>
      <c r="AT33" s="141">
        <f>+'NCES-Private Grads-all races'!AT34+'NCES-Public Grads-all races'!AX35</f>
        <v>19709</v>
      </c>
      <c r="AU33" s="141">
        <f>+'NCES-Private Grads-all races'!AU34+'NCES-Public Grads-all races'!AY35</f>
        <v>19321</v>
      </c>
      <c r="AV33" s="141">
        <f>+'NCES-Private Grads-all races'!AV34+'NCES-Public Grads-all races'!AZ35</f>
        <v>19930</v>
      </c>
      <c r="AW33" s="141">
        <f>+'NCES-Private Grads-all races'!AW34+'NCES-Public Grads-all races'!BA35</f>
        <v>20632</v>
      </c>
      <c r="AX33" s="141">
        <f>+'NCES-Private Grads-all races'!AX34+'NCES-Public Grads-all races'!BB35</f>
        <v>21485</v>
      </c>
      <c r="AY33" s="141">
        <f>+'NCES-Private Grads-all races'!AY34+'NCES-Public Grads-all races'!BC35</f>
        <v>20292</v>
      </c>
      <c r="AZ33" s="141">
        <f>+'NCES-Private Grads-all races'!AZ34+'NCES-Public Grads-all races'!BD35</f>
        <v>18659.960000000003</v>
      </c>
      <c r="BA33" s="141">
        <f>+'NCES-Private Grads-all races'!BA34+'NCES-Public Grads-all races'!BE35</f>
        <v>19182.018</v>
      </c>
      <c r="BB33" s="141">
        <f>+'NCES-Private Grads-all races'!BB34+'NCES-Public Grads-all races'!BF35</f>
        <v>19667.46</v>
      </c>
      <c r="BC33" s="141">
        <f>+'NCES-Private Grads-all races'!BC34+'NCES-Public Grads-all races'!BG35</f>
        <v>21323</v>
      </c>
      <c r="BD33" s="141">
        <f>+'NCES-Private Grads-all races'!BD34+'NCES-Public Grads-all races'!BH35</f>
        <v>21832</v>
      </c>
      <c r="BE33" s="141">
        <f>+'NCES-Private Grads-all races'!BE34+'NCES-Public Grads-all races'!BI35</f>
        <v>20865</v>
      </c>
      <c r="BF33" s="140">
        <f>+'NCES-Private Grads-all races'!BF34+'NCES-Public Grads-all races'!BJ35</f>
        <v>20650</v>
      </c>
    </row>
    <row r="34" spans="1:58">
      <c r="A34" s="164" t="s">
        <v>60</v>
      </c>
      <c r="B34" s="141">
        <f>+'NCES-Private Grads-all races'!B35+'NCES-Public Grads-all races'!F36</f>
        <v>26128</v>
      </c>
      <c r="C34" s="141">
        <f>+'NCES-Private Grads-all races'!C35+'NCES-Public Grads-all races'!G36</f>
        <v>31558</v>
      </c>
      <c r="D34" s="141">
        <f>+'NCES-Private Grads-all races'!D35+'NCES-Public Grads-all races'!H36</f>
        <v>32026.171428571426</v>
      </c>
      <c r="E34" s="141">
        <f>+'NCES-Private Grads-all races'!E35+'NCES-Public Grads-all races'!I36</f>
        <v>32494.342857142856</v>
      </c>
      <c r="F34" s="141">
        <f>+'NCES-Private Grads-all races'!F35+'NCES-Public Grads-all races'!J36</f>
        <v>32962.514285714278</v>
      </c>
      <c r="G34" s="141">
        <f>+'NCES-Private Grads-all races'!G35+'NCES-Public Grads-all races'!K36</f>
        <v>33430.685714285712</v>
      </c>
      <c r="H34" s="141">
        <f>+'NCES-Private Grads-all races'!H35+'NCES-Public Grads-all races'!L36</f>
        <v>33898.857142857145</v>
      </c>
      <c r="I34" s="141">
        <f>+'NCES-Private Grads-all races'!I35+'NCES-Public Grads-all races'!M36</f>
        <v>34438.428571428572</v>
      </c>
      <c r="J34" s="141">
        <f>+'NCES-Private Grads-all races'!J35+'NCES-Public Grads-all races'!N36</f>
        <v>33582</v>
      </c>
      <c r="K34" s="141">
        <f>+'NCES-Private Grads-all races'!K35+'NCES-Public Grads-all races'!O36</f>
        <v>32921</v>
      </c>
      <c r="L34" s="141">
        <f>+'NCES-Private Grads-all races'!L35+'NCES-Public Grads-all races'!P36</f>
        <v>32506</v>
      </c>
      <c r="M34" s="141">
        <f>+'NCES-Private Grads-all races'!M35+'NCES-Public Grads-all races'!Q36</f>
        <v>32168</v>
      </c>
      <c r="N34" s="141">
        <f>+'NCES-Private Grads-all races'!N35+'NCES-Public Grads-all races'!R36</f>
        <v>32561</v>
      </c>
      <c r="O34" s="141">
        <f>+'NCES-Private Grads-all races'!O35+'NCES-Public Grads-all races'!S36</f>
        <v>32258</v>
      </c>
      <c r="P34" s="141">
        <f>+'NCES-Private Grads-all races'!P35+'NCES-Public Grads-all races'!T36</f>
        <v>31892.666666666668</v>
      </c>
      <c r="Q34" s="141">
        <f>+'NCES-Private Grads-all races'!Q35+'NCES-Public Grads-all races'!U36</f>
        <v>32017.333333333332</v>
      </c>
      <c r="R34" s="141">
        <f>+'NCES-Private Grads-all races'!R35+'NCES-Public Grads-all races'!V36</f>
        <v>31623</v>
      </c>
      <c r="S34" s="141">
        <f>+'NCES-Private Grads-all races'!S35+'NCES-Public Grads-all races'!W36</f>
        <v>30397.555555555555</v>
      </c>
      <c r="T34" s="141">
        <f>+'NCES-Private Grads-all races'!T35+'NCES-Public Grads-all races'!X36</f>
        <v>30433.111111111109</v>
      </c>
      <c r="U34" s="141">
        <f>+'NCES-Private Grads-all races'!U35+'NCES-Public Grads-all races'!Y36</f>
        <v>29736.666666666668</v>
      </c>
      <c r="V34" s="141">
        <f>+'NCES-Private Grads-all races'!V35+'NCES-Public Grads-all races'!Z36</f>
        <v>28836.222222222223</v>
      </c>
      <c r="W34" s="141">
        <f>+'NCES-Private Grads-all races'!W35+'NCES-Public Grads-all races'!AA36</f>
        <v>28476.777777777777</v>
      </c>
      <c r="X34" s="141">
        <f>+'NCES-Private Grads-all races'!X35+'NCES-Public Grads-all races'!AB36</f>
        <v>27877.333333333336</v>
      </c>
      <c r="Y34" s="141">
        <f>+'NCES-Private Grads-all races'!Y35+'NCES-Public Grads-all races'!AC36</f>
        <v>28740.888888888891</v>
      </c>
      <c r="Z34" s="141">
        <f>+'NCES-Private Grads-all races'!Z35+'NCES-Public Grads-all races'!AD36</f>
        <v>29618.444444444445</v>
      </c>
      <c r="AA34" s="141">
        <f>+'NCES-Private Grads-all races'!AA35+'NCES-Public Grads-all races'!AE36</f>
        <v>28448</v>
      </c>
      <c r="AB34" s="141">
        <f>+'NCES-Private Grads-all races'!AB35+'NCES-Public Grads-all races'!AF36</f>
        <v>27001</v>
      </c>
      <c r="AC34" s="141">
        <f>+'NCES-Private Grads-all races'!AC35+'NCES-Public Grads-all races'!AG36</f>
        <v>26108</v>
      </c>
      <c r="AD34" s="141">
        <f>+'NCES-Private Grads-all races'!AD35+'NCES-Public Grads-all races'!AH36</f>
        <v>26816</v>
      </c>
      <c r="AE34" s="141">
        <f>+'NCES-Private Grads-all races'!AE35+'NCES-Public Grads-all races'!AI36</f>
        <v>28001</v>
      </c>
      <c r="AF34" s="141">
        <f>+'NCES-Private Grads-all races'!AF35+'NCES-Public Grads-all races'!AJ36</f>
        <v>28209</v>
      </c>
      <c r="AG34" s="141">
        <f>+'NCES-Private Grads-all races'!AG35+'NCES-Public Grads-all races'!AK36</f>
        <v>28755</v>
      </c>
      <c r="AH34" s="141">
        <f>+'NCES-Private Grads-all races'!AH35+'NCES-Public Grads-all races'!AL36</f>
        <v>28477</v>
      </c>
      <c r="AI34" s="141">
        <f>+'NCES-Private Grads-all races'!AI35+'NCES-Public Grads-all races'!AM36</f>
        <v>30259</v>
      </c>
      <c r="AJ34" s="141">
        <f>+'NCES-Private Grads-all races'!AJ35+'NCES-Public Grads-all races'!AN36</f>
        <v>30211.5</v>
      </c>
      <c r="AK34" s="141">
        <f>+'NCES-Private Grads-all races'!AK35+'NCES-Public Grads-all races'!AO36</f>
        <v>30621</v>
      </c>
      <c r="AL34" s="141">
        <f>+'NCES-Private Grads-all races'!AL35+'NCES-Public Grads-all races'!AP36</f>
        <v>32775</v>
      </c>
      <c r="AM34" s="141">
        <f>+'NCES-Private Grads-all races'!AM35+'NCES-Public Grads-all races'!AQ36</f>
        <v>32456</v>
      </c>
      <c r="AN34" s="141">
        <f>+'NCES-Private Grads-all races'!AN35+'NCES-Public Grads-all races'!AR36</f>
        <v>33716.5</v>
      </c>
      <c r="AO34" s="141">
        <f>+'NCES-Private Grads-all races'!AO35+'NCES-Public Grads-all races'!AS36</f>
        <v>35197</v>
      </c>
      <c r="AP34" s="141">
        <f>+'NCES-Private Grads-all races'!AP35+'NCES-Public Grads-all races'!AT36</f>
        <v>35688</v>
      </c>
      <c r="AQ34" s="141">
        <f>+'NCES-Private Grads-all races'!AQ35+'NCES-Public Grads-all races'!AU36</f>
        <v>35452</v>
      </c>
      <c r="AR34" s="141">
        <f>+'NCES-Private Grads-all races'!AR35+'NCES-Public Grads-all races'!AV36</f>
        <v>35224</v>
      </c>
      <c r="AS34" s="141">
        <f>+'NCES-Private Grads-all races'!AS35+'NCES-Public Grads-all races'!AW36</f>
        <v>36256</v>
      </c>
      <c r="AT34" s="141">
        <f>+'NCES-Private Grads-all races'!AT35+'NCES-Public Grads-all races'!AX36</f>
        <v>37924</v>
      </c>
      <c r="AU34" s="141">
        <f>+'NCES-Private Grads-all races'!AU35+'NCES-Public Grads-all races'!AY36</f>
        <v>38278</v>
      </c>
      <c r="AV34" s="141">
        <f>+'NCES-Private Grads-all races'!AV35+'NCES-Public Grads-all races'!AZ36</f>
        <v>37726</v>
      </c>
      <c r="AW34" s="141">
        <f>+'NCES-Private Grads-all races'!AW35+'NCES-Public Grads-all races'!BA36</f>
        <v>37693</v>
      </c>
      <c r="AX34" s="141">
        <f>+'NCES-Private Grads-all races'!AX35+'NCES-Public Grads-all races'!BB36</f>
        <v>37266</v>
      </c>
      <c r="AY34" s="141">
        <f>+'NCES-Private Grads-all races'!AY35+'NCES-Public Grads-all races'!BC36</f>
        <v>36939</v>
      </c>
      <c r="AZ34" s="141">
        <f>+'NCES-Private Grads-all races'!AZ35+'NCES-Public Grads-all races'!BD36</f>
        <v>36140.28</v>
      </c>
      <c r="BA34" s="141">
        <f>+'NCES-Private Grads-all races'!BA35+'NCES-Public Grads-all races'!BE36</f>
        <v>36806.197999999997</v>
      </c>
      <c r="BB34" s="141">
        <f>+'NCES-Private Grads-all races'!BB35+'NCES-Public Grads-all races'!BF36</f>
        <v>38029.563999999998</v>
      </c>
      <c r="BC34" s="141">
        <f>+'NCES-Private Grads-all races'!BC35+'NCES-Public Grads-all races'!BG36</f>
        <v>40936</v>
      </c>
      <c r="BD34" s="141">
        <f>+'NCES-Private Grads-all races'!BD35+'NCES-Public Grads-all races'!BH36</f>
        <v>41527</v>
      </c>
      <c r="BE34" s="141">
        <f>+'NCES-Private Grads-all races'!BE35+'NCES-Public Grads-all races'!BI36</f>
        <v>41688</v>
      </c>
      <c r="BF34" s="140">
        <f>+'NCES-Private Grads-all races'!BF35+'NCES-Public Grads-all races'!BJ36</f>
        <v>40920</v>
      </c>
    </row>
    <row r="35" spans="1:58">
      <c r="A35" s="164" t="s">
        <v>61</v>
      </c>
      <c r="B35" s="141">
        <f>+'NCES-Private Grads-all races'!B36+'NCES-Public Grads-all races'!F37</f>
        <v>13131</v>
      </c>
      <c r="C35" s="141">
        <f>+'NCES-Private Grads-all races'!C36+'NCES-Public Grads-all races'!G37</f>
        <v>17074</v>
      </c>
      <c r="D35" s="141">
        <f>+'NCES-Private Grads-all races'!D36+'NCES-Public Grads-all races'!H37</f>
        <v>17417.057142857142</v>
      </c>
      <c r="E35" s="141">
        <f>+'NCES-Private Grads-all races'!E36+'NCES-Public Grads-all races'!I37</f>
        <v>17760.114285714288</v>
      </c>
      <c r="F35" s="141">
        <f>+'NCES-Private Grads-all races'!F36+'NCES-Public Grads-all races'!J37</f>
        <v>18103.17142857143</v>
      </c>
      <c r="G35" s="141">
        <f>+'NCES-Private Grads-all races'!G36+'NCES-Public Grads-all races'!K37</f>
        <v>18446.228571428575</v>
      </c>
      <c r="H35" s="141">
        <f>+'NCES-Private Grads-all races'!H36+'NCES-Public Grads-all races'!L37</f>
        <v>18789.285714285714</v>
      </c>
      <c r="I35" s="141">
        <f>+'NCES-Private Grads-all races'!I36+'NCES-Public Grads-all races'!M37</f>
        <v>19494.142857142859</v>
      </c>
      <c r="J35" s="141">
        <f>+'NCES-Private Grads-all races'!J36+'NCES-Public Grads-all races'!N37</f>
        <v>19371</v>
      </c>
      <c r="K35" s="141">
        <f>+'NCES-Private Grads-all races'!K36+'NCES-Public Grads-all races'!O37</f>
        <v>19393</v>
      </c>
      <c r="L35" s="141">
        <f>+'NCES-Private Grads-all races'!L36+'NCES-Public Grads-all races'!P37</f>
        <v>19301</v>
      </c>
      <c r="M35" s="141">
        <f>+'NCES-Private Grads-all races'!M36+'NCES-Public Grads-all races'!Q37</f>
        <v>19832</v>
      </c>
      <c r="N35" s="141">
        <f>+'NCES-Private Grads-all races'!N36+'NCES-Public Grads-all races'!R37</f>
        <v>20173</v>
      </c>
      <c r="O35" s="141">
        <f>+'NCES-Private Grads-all races'!O36+'NCES-Public Grads-all races'!S37</f>
        <v>20243</v>
      </c>
      <c r="P35" s="141">
        <f>+'NCES-Private Grads-all races'!P36+'NCES-Public Grads-all races'!T37</f>
        <v>20817</v>
      </c>
      <c r="Q35" s="141">
        <f>+'NCES-Private Grads-all races'!Q36+'NCES-Public Grads-all races'!U37</f>
        <v>20531</v>
      </c>
      <c r="R35" s="141">
        <f>+'NCES-Private Grads-all races'!R36+'NCES-Public Grads-all races'!V37</f>
        <v>20514</v>
      </c>
      <c r="S35" s="141">
        <f>+'NCES-Private Grads-all races'!S36+'NCES-Public Grads-all races'!W37</f>
        <v>20356</v>
      </c>
      <c r="T35" s="141">
        <f>+'NCES-Private Grads-all races'!T36+'NCES-Public Grads-all races'!X37</f>
        <v>19861</v>
      </c>
      <c r="U35" s="141">
        <f>+'NCES-Private Grads-all races'!U36+'NCES-Public Grads-all races'!Y37</f>
        <v>19662</v>
      </c>
      <c r="V35" s="141">
        <f>+'NCES-Private Grads-all races'!V36+'NCES-Public Grads-all races'!Z37</f>
        <v>19793</v>
      </c>
      <c r="W35" s="141">
        <f>+'NCES-Private Grads-all races'!W36+'NCES-Public Grads-all races'!AA37</f>
        <v>20040</v>
      </c>
      <c r="X35" s="141">
        <f>+'NCES-Private Grads-all races'!X36+'NCES-Public Grads-all races'!AB37</f>
        <v>20199</v>
      </c>
      <c r="Y35" s="141">
        <f>+'NCES-Private Grads-all races'!Y36+'NCES-Public Grads-all races'!AC37</f>
        <v>21346</v>
      </c>
      <c r="Z35" s="141">
        <f>+'NCES-Private Grads-all races'!Z36+'NCES-Public Grads-all races'!AD37</f>
        <v>22633</v>
      </c>
      <c r="AA35" s="141">
        <f>+'NCES-Private Grads-all races'!AA36+'NCES-Public Grads-all races'!AE37</f>
        <v>23332</v>
      </c>
      <c r="AB35" s="141">
        <f>+'NCES-Private Grads-all races'!AB36+'NCES-Public Grads-all races'!AF37</f>
        <v>21663.5</v>
      </c>
      <c r="AC35" s="141">
        <f>+'NCES-Private Grads-all races'!AC36+'NCES-Public Grads-all races'!AG37</f>
        <v>22756</v>
      </c>
      <c r="AD35" s="141">
        <f>+'NCES-Private Grads-all races'!AD36+'NCES-Public Grads-all races'!AH37</f>
        <v>24050</v>
      </c>
      <c r="AE35" s="141">
        <f>+'NCES-Private Grads-all races'!AE36+'NCES-Public Grads-all races'!AI37</f>
        <v>24787</v>
      </c>
      <c r="AF35" s="141">
        <f>+'NCES-Private Grads-all races'!AF36+'NCES-Public Grads-all races'!AJ37</f>
        <v>26997</v>
      </c>
      <c r="AG35" s="141">
        <f>+'NCES-Private Grads-all races'!AG36+'NCES-Public Grads-all races'!AK37</f>
        <v>28260</v>
      </c>
      <c r="AH35" s="141">
        <f>+'NCES-Private Grads-all races'!AH36+'NCES-Public Grads-all races'!AL37</f>
        <v>26827</v>
      </c>
      <c r="AI35" s="141">
        <f>+'NCES-Private Grads-all races'!AI36+'NCES-Public Grads-all races'!AM37</f>
        <v>31459</v>
      </c>
      <c r="AJ35" s="141">
        <f>+'NCES-Private Grads-all races'!AJ36+'NCES-Public Grads-all races'!AN37</f>
        <v>32316</v>
      </c>
      <c r="AK35" s="141">
        <f>+'NCES-Private Grads-all races'!AK36+'NCES-Public Grads-all races'!AO37</f>
        <v>32366</v>
      </c>
      <c r="AL35" s="141">
        <f>+'NCES-Private Grads-all races'!AL36+'NCES-Public Grads-all races'!AP37</f>
        <v>33207</v>
      </c>
      <c r="AM35" s="141">
        <f>+'NCES-Private Grads-all races'!AM36+'NCES-Public Grads-all races'!AQ37</f>
        <v>31856</v>
      </c>
      <c r="AN35" s="141">
        <f>+'NCES-Private Grads-all races'!AN36+'NCES-Public Grads-all races'!AR37</f>
        <v>31108</v>
      </c>
      <c r="AO35" s="141">
        <f>+'NCES-Private Grads-all races'!AO36+'NCES-Public Grads-all races'!AS37</f>
        <v>30557</v>
      </c>
      <c r="AP35" s="141">
        <f>+'NCES-Private Grads-all races'!AP36+'NCES-Public Grads-all races'!AT37</f>
        <v>31312</v>
      </c>
      <c r="AQ35" s="141">
        <f>+'NCES-Private Grads-all races'!AQ36+'NCES-Public Grads-all races'!AU37</f>
        <v>31343</v>
      </c>
      <c r="AR35" s="141">
        <f>+'NCES-Private Grads-all races'!AR36+'NCES-Public Grads-all races'!AV37</f>
        <v>30270</v>
      </c>
      <c r="AS35" s="141">
        <f>+'NCES-Private Grads-all races'!AS36+'NCES-Public Grads-all races'!AW37</f>
        <v>29626</v>
      </c>
      <c r="AT35" s="141">
        <f>+'NCES-Private Grads-all races'!AT36+'NCES-Public Grads-all races'!AX37</f>
        <v>29477</v>
      </c>
      <c r="AU35" s="141">
        <f>+'NCES-Private Grads-all races'!AU36+'NCES-Public Grads-all races'!AY37</f>
        <v>31733</v>
      </c>
      <c r="AV35" s="141">
        <f>+'NCES-Private Grads-all races'!AV36+'NCES-Public Grads-all races'!AZ37</f>
        <v>32721</v>
      </c>
      <c r="AW35" s="141">
        <f>+'NCES-Private Grads-all races'!AW36+'NCES-Public Grads-all races'!BA37</f>
        <v>32098</v>
      </c>
      <c r="AX35" s="141">
        <f>+'NCES-Private Grads-all races'!AX36+'NCES-Public Grads-all races'!BB37</f>
        <v>32562</v>
      </c>
      <c r="AY35" s="141">
        <f>+'NCES-Private Grads-all races'!AY36+'NCES-Public Grads-all races'!BC37</f>
        <v>34786</v>
      </c>
      <c r="AZ35" s="141">
        <f>+'NCES-Private Grads-all races'!AZ36+'NCES-Public Grads-all races'!BD37</f>
        <v>37269.620000000003</v>
      </c>
      <c r="BA35" s="141">
        <f>+'NCES-Private Grads-all races'!BA36+'NCES-Public Grads-all races'!BE37</f>
        <v>38352.559999999998</v>
      </c>
      <c r="BB35" s="141">
        <f>+'NCES-Private Grads-all races'!BB36+'NCES-Public Grads-all races'!BF37</f>
        <v>39822.648000000001</v>
      </c>
      <c r="BC35" s="141">
        <f>+'NCES-Private Grads-all races'!BC36+'NCES-Public Grads-all races'!BG37</f>
        <v>42188</v>
      </c>
      <c r="BD35" s="141">
        <f>+'NCES-Private Grads-all races'!BD36+'NCES-Public Grads-all races'!BH37</f>
        <v>43481</v>
      </c>
      <c r="BE35" s="141">
        <f>+'NCES-Private Grads-all races'!BE36+'NCES-Public Grads-all races'!BI37</f>
        <v>44295</v>
      </c>
      <c r="BF35" s="140">
        <f>+'NCES-Private Grads-all races'!BF36+'NCES-Public Grads-all races'!BJ37</f>
        <v>44950</v>
      </c>
    </row>
    <row r="36" spans="1:58">
      <c r="A36" s="164" t="s">
        <v>62</v>
      </c>
      <c r="B36" s="141">
        <f>+'NCES-Private Grads-all races'!B37+'NCES-Public Grads-all races'!F38</f>
        <v>41074</v>
      </c>
      <c r="C36" s="141">
        <f>+'NCES-Private Grads-all races'!C37+'NCES-Public Grads-all races'!G38</f>
        <v>50091</v>
      </c>
      <c r="D36" s="141">
        <f>+'NCES-Private Grads-all races'!D37+'NCES-Public Grads-all races'!H38</f>
        <v>50682.942857142858</v>
      </c>
      <c r="E36" s="141">
        <f>+'NCES-Private Grads-all races'!E37+'NCES-Public Grads-all races'!I38</f>
        <v>51274.885714285723</v>
      </c>
      <c r="F36" s="141">
        <f>+'NCES-Private Grads-all races'!F37+'NCES-Public Grads-all races'!J38</f>
        <v>51866.828571428581</v>
      </c>
      <c r="G36" s="141">
        <f>+'NCES-Private Grads-all races'!G37+'NCES-Public Grads-all races'!K38</f>
        <v>52458.771428571439</v>
      </c>
      <c r="H36" s="141">
        <f>+'NCES-Private Grads-all races'!H37+'NCES-Public Grads-all races'!L38</f>
        <v>53050.71428571429</v>
      </c>
      <c r="I36" s="141">
        <f>+'NCES-Private Grads-all races'!I37+'NCES-Public Grads-all races'!M38</f>
        <v>53564.857142857145</v>
      </c>
      <c r="J36" s="141">
        <f>+'NCES-Private Grads-all races'!J37+'NCES-Public Grads-all races'!N38</f>
        <v>54263</v>
      </c>
      <c r="K36" s="141">
        <f>+'NCES-Private Grads-all races'!K37+'NCES-Public Grads-all races'!O38</f>
        <v>53688</v>
      </c>
      <c r="L36" s="141">
        <f>+'NCES-Private Grads-all races'!L37+'NCES-Public Grads-all races'!P38</f>
        <v>54568</v>
      </c>
      <c r="M36" s="141">
        <f>+'NCES-Private Grads-all races'!M37+'NCES-Public Grads-all races'!Q38</f>
        <v>53690</v>
      </c>
      <c r="N36" s="141">
        <f>+'NCES-Private Grads-all races'!N37+'NCES-Public Grads-all races'!R38</f>
        <v>54012</v>
      </c>
      <c r="O36" s="141">
        <f>+'NCES-Private Grads-all races'!O37+'NCES-Public Grads-all races'!S38</f>
        <v>53876</v>
      </c>
      <c r="P36" s="141">
        <f>+'NCES-Private Grads-all races'!P37+'NCES-Public Grads-all races'!T38</f>
        <v>54133.333333333336</v>
      </c>
      <c r="Q36" s="141">
        <f>+'NCES-Private Grads-all races'!Q37+'NCES-Public Grads-all races'!U38</f>
        <v>54172.666666666664</v>
      </c>
      <c r="R36" s="141">
        <f>+'NCES-Private Grads-all races'!R37+'NCES-Public Grads-all races'!V38</f>
        <v>53499</v>
      </c>
      <c r="S36" s="141">
        <f>+'NCES-Private Grads-all races'!S37+'NCES-Public Grads-all races'!W38</f>
        <v>53135.666666666664</v>
      </c>
      <c r="T36" s="141">
        <f>+'NCES-Private Grads-all races'!T37+'NCES-Public Grads-all races'!X38</f>
        <v>53230.333333333336</v>
      </c>
      <c r="U36" s="141">
        <f>+'NCES-Private Grads-all races'!U37+'NCES-Public Grads-all races'!Y38</f>
        <v>48884</v>
      </c>
      <c r="V36" s="141">
        <f>+'NCES-Private Grads-all races'!V37+'NCES-Public Grads-all races'!Z38</f>
        <v>47986.666666666664</v>
      </c>
      <c r="W36" s="141">
        <f>+'NCES-Private Grads-all races'!W37+'NCES-Public Grads-all races'!AA38</f>
        <v>48491.333333333336</v>
      </c>
      <c r="X36" s="141">
        <f>+'NCES-Private Grads-all races'!X37+'NCES-Public Grads-all races'!AB38</f>
        <v>48858</v>
      </c>
      <c r="Y36" s="141">
        <f>+'NCES-Private Grads-all races'!Y37+'NCES-Public Grads-all races'!AC38</f>
        <v>52918.666666666664</v>
      </c>
      <c r="Z36" s="141">
        <f>+'NCES-Private Grads-all races'!Z37+'NCES-Public Grads-all races'!AD38</f>
        <v>54792.333333333328</v>
      </c>
      <c r="AA36" s="141">
        <f>+'NCES-Private Grads-all races'!AA37+'NCES-Public Grads-all races'!AE38</f>
        <v>51972</v>
      </c>
      <c r="AB36" s="141">
        <f>+'NCES-Private Grads-all races'!AB37+'NCES-Public Grads-all races'!AF38</f>
        <v>48823.5</v>
      </c>
      <c r="AC36" s="141">
        <f>+'NCES-Private Grads-all races'!AC37+'NCES-Public Grads-all races'!AG38</f>
        <v>45248</v>
      </c>
      <c r="AD36" s="141">
        <f>+'NCES-Private Grads-all races'!AD37+'NCES-Public Grads-all races'!AH38</f>
        <v>47115</v>
      </c>
      <c r="AE36" s="141">
        <f>+'NCES-Private Grads-all races'!AE37+'NCES-Public Grads-all races'!AI38</f>
        <v>47906</v>
      </c>
      <c r="AF36" s="141">
        <f>+'NCES-Private Grads-all races'!AF37+'NCES-Public Grads-all races'!AJ38</f>
        <v>50056</v>
      </c>
      <c r="AG36" s="141">
        <f>+'NCES-Private Grads-all races'!AG37+'NCES-Public Grads-all races'!AK38</f>
        <v>52292</v>
      </c>
      <c r="AH36" s="141">
        <f>+'NCES-Private Grads-all races'!AH37+'NCES-Public Grads-all races'!AL38</f>
        <v>52672</v>
      </c>
      <c r="AI36" s="141">
        <f>+'NCES-Private Grads-all races'!AI37+'NCES-Public Grads-all races'!AM38</f>
        <v>54799</v>
      </c>
      <c r="AJ36" s="141">
        <f>+'NCES-Private Grads-all races'!AJ37+'NCES-Public Grads-all races'!AN38</f>
        <v>56905</v>
      </c>
      <c r="AK36" s="141">
        <f>+'NCES-Private Grads-all races'!AK37+'NCES-Public Grads-all races'!AO38</f>
        <v>58680</v>
      </c>
      <c r="AL36" s="141">
        <f>+'NCES-Private Grads-all races'!AL37+'NCES-Public Grads-all races'!AP38</f>
        <v>61079</v>
      </c>
      <c r="AM36" s="141">
        <f>+'NCES-Private Grads-all races'!AM37+'NCES-Public Grads-all races'!AQ38</f>
        <v>58607</v>
      </c>
      <c r="AN36" s="141">
        <f>+'NCES-Private Grads-all races'!AN37+'NCES-Public Grads-all races'!AR38</f>
        <v>61949</v>
      </c>
      <c r="AO36" s="141">
        <f>+'NCES-Private Grads-all races'!AO37+'NCES-Public Grads-all races'!AS38</f>
        <v>64185</v>
      </c>
      <c r="AP36" s="141">
        <f>+'NCES-Private Grads-all races'!AP37+'NCES-Public Grads-all races'!AT38</f>
        <v>65449</v>
      </c>
      <c r="AQ36" s="141">
        <f>+'NCES-Private Grads-all races'!AQ37+'NCES-Public Grads-all races'!AU38</f>
        <v>65694</v>
      </c>
      <c r="AR36" s="141">
        <f>+'NCES-Private Grads-all races'!AR37+'NCES-Public Grads-all races'!AV38</f>
        <v>64798</v>
      </c>
      <c r="AS36" s="141">
        <f>+'NCES-Private Grads-all races'!AS37+'NCES-Public Grads-all races'!AW38</f>
        <v>67371</v>
      </c>
      <c r="AT36" s="141">
        <f>+'NCES-Private Grads-all races'!AT37+'NCES-Public Grads-all races'!AX38</f>
        <v>66135</v>
      </c>
      <c r="AU36" s="141">
        <f>+'NCES-Private Grads-all races'!AU37+'NCES-Public Grads-all races'!AY38</f>
        <v>67214</v>
      </c>
      <c r="AV36" s="141">
        <f>+'NCES-Private Grads-all races'!AV37+'NCES-Public Grads-all races'!AZ38</f>
        <v>70376</v>
      </c>
      <c r="AW36" s="141">
        <f>+'NCES-Private Grads-all races'!AW37+'NCES-Public Grads-all races'!BA38</f>
        <v>70663</v>
      </c>
      <c r="AX36" s="141">
        <f>+'NCES-Private Grads-all races'!AX37+'NCES-Public Grads-all races'!BB38</f>
        <v>70290</v>
      </c>
      <c r="AY36" s="141">
        <f>+'NCES-Private Grads-all races'!AY37+'NCES-Public Grads-all races'!BC38</f>
        <v>72026</v>
      </c>
      <c r="AZ36" s="141">
        <f>+'NCES-Private Grads-all races'!AZ37+'NCES-Public Grads-all races'!BD38</f>
        <v>72113.126000000004</v>
      </c>
      <c r="BA36" s="141">
        <f>+'NCES-Private Grads-all races'!BA37+'NCES-Public Grads-all races'!BE38</f>
        <v>68212.346000000005</v>
      </c>
      <c r="BB36" s="141">
        <f>+'NCES-Private Grads-all races'!BB37+'NCES-Public Grads-all races'!BF38</f>
        <v>69020.98000000001</v>
      </c>
      <c r="BC36" s="141">
        <f>+'NCES-Private Grads-all races'!BC37+'NCES-Public Grads-all races'!BG38</f>
        <v>73653</v>
      </c>
      <c r="BD36" s="141">
        <f>+'NCES-Private Grads-all races'!BD37+'NCES-Public Grads-all races'!BH38</f>
        <v>74570</v>
      </c>
      <c r="BE36" s="141">
        <f>+'NCES-Private Grads-all races'!BE37+'NCES-Public Grads-all races'!BI38</f>
        <v>77171</v>
      </c>
      <c r="BF36" s="140">
        <f>+'NCES-Private Grads-all races'!BF37+'NCES-Public Grads-all races'!BJ38</f>
        <v>73660</v>
      </c>
    </row>
    <row r="37" spans="1:58">
      <c r="A37" s="165" t="s">
        <v>63</v>
      </c>
      <c r="B37" s="163">
        <f>+'NCES-Private Grads-all races'!B38+'NCES-Public Grads-all races'!F39</f>
        <v>4067</v>
      </c>
      <c r="C37" s="163">
        <f>+'NCES-Private Grads-all races'!C38+'NCES-Public Grads-all races'!G39</f>
        <v>5286</v>
      </c>
      <c r="D37" s="163">
        <f>+'NCES-Private Grads-all races'!D38+'NCES-Public Grads-all races'!H39</f>
        <v>5333.4</v>
      </c>
      <c r="E37" s="163">
        <f>+'NCES-Private Grads-all races'!E38+'NCES-Public Grads-all races'!I39</f>
        <v>5380.7999999999993</v>
      </c>
      <c r="F37" s="163">
        <f>+'NCES-Private Grads-all races'!F38+'NCES-Public Grads-all races'!J39</f>
        <v>5428.1999999999989</v>
      </c>
      <c r="G37" s="163">
        <f>+'NCES-Private Grads-all races'!G38+'NCES-Public Grads-all races'!K39</f>
        <v>5475.5999999999985</v>
      </c>
      <c r="H37" s="163">
        <f>+'NCES-Private Grads-all races'!H38+'NCES-Public Grads-all races'!L39</f>
        <v>5523</v>
      </c>
      <c r="I37" s="163">
        <f>+'NCES-Private Grads-all races'!I38+'NCES-Public Grads-all races'!M39</f>
        <v>5815</v>
      </c>
      <c r="J37" s="163">
        <f>+'NCES-Private Grads-all races'!J38+'NCES-Public Grads-all races'!N39</f>
        <v>5978</v>
      </c>
      <c r="K37" s="163">
        <f>+'NCES-Private Grads-all races'!K38+'NCES-Public Grads-all races'!O39</f>
        <v>5853</v>
      </c>
      <c r="L37" s="163">
        <f>+'NCES-Private Grads-all races'!L38+'NCES-Public Grads-all races'!P39</f>
        <v>5960</v>
      </c>
      <c r="M37" s="163">
        <f>+'NCES-Private Grads-all races'!M38+'NCES-Public Grads-all races'!Q39</f>
        <v>5748</v>
      </c>
      <c r="N37" s="163">
        <f>+'NCES-Private Grads-all races'!N38+'NCES-Public Grads-all races'!R39</f>
        <v>5857</v>
      </c>
      <c r="O37" s="163">
        <f>+'NCES-Private Grads-all races'!O38+'NCES-Public Grads-all races'!S39</f>
        <v>5961</v>
      </c>
      <c r="P37" s="163">
        <f>+'NCES-Private Grads-all races'!P38+'NCES-Public Grads-all races'!T39</f>
        <v>6193</v>
      </c>
      <c r="Q37" s="163">
        <f>+'NCES-Private Grads-all races'!Q38+'NCES-Public Grads-all races'!U39</f>
        <v>6120</v>
      </c>
      <c r="R37" s="163">
        <f>+'NCES-Private Grads-all races'!R38+'NCES-Public Grads-all races'!V39</f>
        <v>6229</v>
      </c>
      <c r="S37" s="163">
        <f>+'NCES-Private Grads-all races'!S38+'NCES-Public Grads-all races'!W39</f>
        <v>6303.2222222222226</v>
      </c>
      <c r="T37" s="163">
        <f>+'NCES-Private Grads-all races'!T38+'NCES-Public Grads-all races'!X39</f>
        <v>6126.4444444444443</v>
      </c>
      <c r="U37" s="163">
        <f>+'NCES-Private Grads-all races'!U38+'NCES-Public Grads-all races'!Y39</f>
        <v>6021.666666666667</v>
      </c>
      <c r="V37" s="163">
        <f>+'NCES-Private Grads-all races'!V38+'NCES-Public Grads-all races'!Z39</f>
        <v>5861.8888888888887</v>
      </c>
      <c r="W37" s="163">
        <f>+'NCES-Private Grads-all races'!W38+'NCES-Public Grads-all races'!AA39</f>
        <v>5770.1111111111113</v>
      </c>
      <c r="X37" s="163">
        <f>+'NCES-Private Grads-all races'!X38+'NCES-Public Grads-all races'!AB39</f>
        <v>5655.333333333333</v>
      </c>
      <c r="Y37" s="163">
        <f>+'NCES-Private Grads-all races'!Y38+'NCES-Public Grads-all races'!AC39</f>
        <v>5986.5555555555557</v>
      </c>
      <c r="Z37" s="163">
        <f>+'NCES-Private Grads-all races'!Z38+'NCES-Public Grads-all races'!AD39</f>
        <v>6186.7777777777774</v>
      </c>
      <c r="AA37" s="163">
        <f>+'NCES-Private Grads-all races'!AA38+'NCES-Public Grads-all races'!AE39</f>
        <v>6103</v>
      </c>
      <c r="AB37" s="163">
        <f>+'NCES-Private Grads-all races'!AB38+'NCES-Public Grads-all races'!AF39</f>
        <v>5840.5</v>
      </c>
      <c r="AC37" s="163">
        <f>+'NCES-Private Grads-all races'!AC38+'NCES-Public Grads-all races'!AG39</f>
        <v>5739</v>
      </c>
      <c r="AD37" s="163">
        <f>+'NCES-Private Grads-all races'!AD38+'NCES-Public Grads-all races'!AH39</f>
        <v>5829</v>
      </c>
      <c r="AE37" s="163">
        <f>+'NCES-Private Grads-all races'!AE38+'NCES-Public Grads-all races'!AI39</f>
        <v>6205</v>
      </c>
      <c r="AF37" s="163">
        <f>+'NCES-Private Grads-all races'!AF38+'NCES-Public Grads-all races'!AJ39</f>
        <v>6024.5</v>
      </c>
      <c r="AG37" s="163">
        <f>+'NCES-Private Grads-all races'!AG38+'NCES-Public Grads-all races'!AK39</f>
        <v>5913</v>
      </c>
      <c r="AH37" s="163">
        <f>+'NCES-Private Grads-all races'!AH38+'NCES-Public Grads-all races'!AL39</f>
        <v>5944</v>
      </c>
      <c r="AI37" s="163">
        <f>+'NCES-Private Grads-all races'!AI38+'NCES-Public Grads-all races'!AM39</f>
        <v>6412</v>
      </c>
      <c r="AJ37" s="163">
        <f>+'NCES-Private Grads-all races'!AJ38+'NCES-Public Grads-all races'!AN39</f>
        <v>6463</v>
      </c>
      <c r="AK37" s="163">
        <f>+'NCES-Private Grads-all races'!AK38+'NCES-Public Grads-all races'!AO39</f>
        <v>6389</v>
      </c>
      <c r="AL37" s="163">
        <f>+'NCES-Private Grads-all races'!AL38+'NCES-Public Grads-all races'!AP39</f>
        <v>6599</v>
      </c>
      <c r="AM37" s="163">
        <f>+'NCES-Private Grads-all races'!AM38+'NCES-Public Grads-all races'!AQ39</f>
        <v>6125</v>
      </c>
      <c r="AN37" s="163">
        <f>+'NCES-Private Grads-all races'!AN38+'NCES-Public Grads-all races'!AR39</f>
        <v>6153</v>
      </c>
      <c r="AO37" s="163">
        <f>+'NCES-Private Grads-all races'!AO38+'NCES-Public Grads-all races'!AS39</f>
        <v>5885</v>
      </c>
      <c r="AP37" s="163">
        <f>+'NCES-Private Grads-all races'!AP38+'NCES-Public Grads-all races'!AT39</f>
        <v>5853</v>
      </c>
      <c r="AQ37" s="163">
        <f>+'NCES-Private Grads-all races'!AQ38+'NCES-Public Grads-all races'!AU39</f>
        <v>5616</v>
      </c>
      <c r="AR37" s="163">
        <f>+'NCES-Private Grads-all races'!AR38+'NCES-Public Grads-all races'!AV39</f>
        <v>5527</v>
      </c>
      <c r="AS37" s="163">
        <f>+'NCES-Private Grads-all races'!AS38+'NCES-Public Grads-all races'!AW39</f>
        <v>5441</v>
      </c>
      <c r="AT37" s="163">
        <f>+'NCES-Private Grads-all races'!AT38+'NCES-Public Grads-all races'!AX39</f>
        <v>5509</v>
      </c>
      <c r="AU37" s="163">
        <f>+'NCES-Private Grads-all races'!AU38+'NCES-Public Grads-all races'!AY39</f>
        <v>5523</v>
      </c>
      <c r="AV37" s="163">
        <f>+'NCES-Private Grads-all races'!AV38+'NCES-Public Grads-all races'!AZ39</f>
        <v>5725</v>
      </c>
      <c r="AW37" s="163">
        <f>+'NCES-Private Grads-all races'!AW38+'NCES-Public Grads-all races'!BA39</f>
        <v>5630</v>
      </c>
      <c r="AX37" s="163">
        <f>+'NCES-Private Grads-all races'!AX38+'NCES-Public Grads-all races'!BB39</f>
        <v>5593</v>
      </c>
      <c r="AY37" s="163">
        <f>+'NCES-Private Grads-all races'!AY38+'NCES-Public Grads-all races'!BC39</f>
        <v>5539</v>
      </c>
      <c r="AZ37" s="163">
        <f>+'NCES-Private Grads-all races'!AZ38+'NCES-Public Grads-all races'!BD39</f>
        <v>5468.1159999999991</v>
      </c>
      <c r="BA37" s="163">
        <f>+'NCES-Private Grads-all races'!BA38+'NCES-Public Grads-all races'!BE39</f>
        <v>5476.3239999999996</v>
      </c>
      <c r="BB37" s="163" t="e">
        <f>+'NCES-Private Grads-all races'!BB38+'NCES-Public Grads-all races'!BF39</f>
        <v>#VALUE!</v>
      </c>
      <c r="BC37" s="163" t="e">
        <f>+'NCES-Private Grads-all races'!BC38+'NCES-Public Grads-all races'!BG39</f>
        <v>#VALUE!</v>
      </c>
      <c r="BD37" s="163">
        <f>+'NCES-Private Grads-all races'!BD38+'NCES-Public Grads-all races'!BH39</f>
        <v>5697</v>
      </c>
      <c r="BE37" s="163">
        <f>+'NCES-Private Grads-all races'!BE38+'NCES-Public Grads-all races'!BI39</f>
        <v>5732</v>
      </c>
      <c r="BF37" s="140">
        <f>+'NCES-Private Grads-all races'!BF38+'NCES-Public Grads-all races'!BJ39</f>
        <v>5650</v>
      </c>
    </row>
    <row r="38" spans="1:58">
      <c r="A38" s="161" t="s">
        <v>64</v>
      </c>
      <c r="B38" s="141">
        <f>+'NCES-Private Grads-all races'!B39+'NCES-Public Grads-all races'!F40</f>
        <v>669102</v>
      </c>
      <c r="C38" s="141">
        <f>+'NCES-Private Grads-all races'!C39+'NCES-Public Grads-all races'!G40</f>
        <v>779975</v>
      </c>
      <c r="D38" s="141">
        <f>+'NCES-Private Grads-all races'!D39+'NCES-Public Grads-all races'!H40</f>
        <v>796888.45714285725</v>
      </c>
      <c r="E38" s="141">
        <f>+'NCES-Private Grads-all races'!E39+'NCES-Public Grads-all races'!I40</f>
        <v>813801.91428571427</v>
      </c>
      <c r="F38" s="141">
        <f>+'NCES-Private Grads-all races'!F39+'NCES-Public Grads-all races'!J40</f>
        <v>830715.37142857164</v>
      </c>
      <c r="G38" s="141">
        <f>+'NCES-Private Grads-all races'!G39+'NCES-Public Grads-all races'!K40</f>
        <v>847628.82857142854</v>
      </c>
      <c r="H38" s="141">
        <f>+'NCES-Private Grads-all races'!H39+'NCES-Public Grads-all races'!L40</f>
        <v>864542.28571428568</v>
      </c>
      <c r="I38" s="141">
        <f>+'NCES-Private Grads-all races'!I39+'NCES-Public Grads-all races'!M40</f>
        <v>884986.14285714284</v>
      </c>
      <c r="J38" s="141">
        <f>+'NCES-Private Grads-all races'!J39+'NCES-Public Grads-all races'!N40</f>
        <v>895622</v>
      </c>
      <c r="K38" s="141">
        <f>+'NCES-Private Grads-all races'!K39+'NCES-Public Grads-all races'!O40</f>
        <v>913303</v>
      </c>
      <c r="L38" s="141">
        <f>+'NCES-Private Grads-all races'!L39+'NCES-Public Grads-all races'!P40</f>
        <v>921872</v>
      </c>
      <c r="M38" s="141">
        <f>+'NCES-Private Grads-all races'!M39+'NCES-Public Grads-all races'!Q40</f>
        <v>926524</v>
      </c>
      <c r="N38" s="141">
        <f>+'NCES-Private Grads-all races'!N39+'NCES-Public Grads-all races'!R40</f>
        <v>924978</v>
      </c>
      <c r="O38" s="141">
        <f>+'NCES-Private Grads-all races'!O39+'NCES-Public Grads-all races'!S40</f>
        <v>929742</v>
      </c>
      <c r="P38" s="141">
        <f>+'NCES-Private Grads-all races'!P39+'NCES-Public Grads-all races'!T40</f>
        <v>914669.33333333337</v>
      </c>
      <c r="Q38" s="141">
        <f>+'NCES-Private Grads-all races'!Q39+'NCES-Public Grads-all races'!U40</f>
        <v>904683.66666666663</v>
      </c>
      <c r="R38" s="141">
        <f>+'NCES-Private Grads-all races'!R39+'NCES-Public Grads-all races'!V40</f>
        <v>874135</v>
      </c>
      <c r="S38" s="141">
        <f>+'NCES-Private Grads-all races'!S39+'NCES-Public Grads-all races'!W40</f>
        <v>866253</v>
      </c>
      <c r="T38" s="141">
        <f>+'NCES-Private Grads-all races'!T39+'NCES-Public Grads-all races'!X40</f>
        <v>852326</v>
      </c>
      <c r="U38" s="141">
        <f>+'NCES-Private Grads-all races'!U39+'NCES-Public Grads-all races'!Y40</f>
        <v>811980</v>
      </c>
      <c r="V38" s="141">
        <f>+'NCES-Private Grads-all races'!V39+'NCES-Public Grads-all races'!Z40</f>
        <v>775391</v>
      </c>
      <c r="W38" s="141">
        <f>+'NCES-Private Grads-all races'!W39+'NCES-Public Grads-all races'!AA40</f>
        <v>747141</v>
      </c>
      <c r="X38" s="141">
        <f>+'NCES-Private Grads-all races'!X39+'NCES-Public Grads-all races'!AB40</f>
        <v>725249</v>
      </c>
      <c r="Y38" s="141">
        <f>+'NCES-Private Grads-all races'!Y39+'NCES-Public Grads-all races'!AC40</f>
        <v>733975</v>
      </c>
      <c r="Z38" s="141">
        <f>+'NCES-Private Grads-all races'!Z39+'NCES-Public Grads-all races'!AD40</f>
        <v>751600</v>
      </c>
      <c r="AA38" s="141">
        <f>+'NCES-Private Grads-all races'!AA39+'NCES-Public Grads-all races'!AE40</f>
        <v>738375</v>
      </c>
      <c r="AB38" s="141">
        <f>+'NCES-Private Grads-all races'!AB39+'NCES-Public Grads-all races'!AF40</f>
        <v>685845.5</v>
      </c>
      <c r="AC38" s="141">
        <f>+'NCES-Private Grads-all races'!AC39+'NCES-Public Grads-all races'!AG40</f>
        <v>647029</v>
      </c>
      <c r="AD38" s="141">
        <f>+'NCES-Private Grads-all races'!AD39+'NCES-Public Grads-all races'!AH40</f>
        <v>641247</v>
      </c>
      <c r="AE38" s="141">
        <f>+'NCES-Private Grads-all races'!AE39+'NCES-Public Grads-all races'!AI40</f>
        <v>649992</v>
      </c>
      <c r="AF38" s="141">
        <f>+'NCES-Private Grads-all races'!AF39+'NCES-Public Grads-all races'!AJ40</f>
        <v>640199</v>
      </c>
      <c r="AG38" s="141">
        <f>+'NCES-Private Grads-all races'!AG39+'NCES-Public Grads-all races'!AK40</f>
        <v>658141</v>
      </c>
      <c r="AH38" s="141">
        <f>+'NCES-Private Grads-all races'!AH39+'NCES-Public Grads-all races'!AL40</f>
        <v>651763</v>
      </c>
      <c r="AI38" s="141">
        <f>+'NCES-Private Grads-all races'!AI39+'NCES-Public Grads-all races'!AM40</f>
        <v>677565</v>
      </c>
      <c r="AJ38" s="141">
        <f>+'NCES-Private Grads-all races'!AJ39+'NCES-Public Grads-all races'!AN40</f>
        <v>706581</v>
      </c>
      <c r="AK38" s="141">
        <f>+'NCES-Private Grads-all races'!AK39+'NCES-Public Grads-all races'!AO40</f>
        <v>713422</v>
      </c>
      <c r="AL38" s="141">
        <f>+'NCES-Private Grads-all races'!AL39+'NCES-Public Grads-all races'!AP40</f>
        <v>712000</v>
      </c>
      <c r="AM38" s="141">
        <f>+'NCES-Private Grads-all races'!AM39+'NCES-Public Grads-all races'!AQ40</f>
        <v>712741</v>
      </c>
      <c r="AN38" s="141">
        <f>+'NCES-Private Grads-all races'!AN39+'NCES-Public Grads-all races'!AR40</f>
        <v>720495.5</v>
      </c>
      <c r="AO38" s="141">
        <f>+'NCES-Private Grads-all races'!AO39+'NCES-Public Grads-all races'!AS40</f>
        <v>742988</v>
      </c>
      <c r="AP38" s="141">
        <f>+'NCES-Private Grads-all races'!AP39+'NCES-Public Grads-all races'!AT40</f>
        <v>748838</v>
      </c>
      <c r="AQ38" s="141">
        <f>+'NCES-Private Grads-all races'!AQ39+'NCES-Public Grads-all races'!AU40</f>
        <v>744366</v>
      </c>
      <c r="AR38" s="141">
        <f>+'NCES-Private Grads-all races'!AR39+'NCES-Public Grads-all races'!AV40</f>
        <v>751309</v>
      </c>
      <c r="AS38" s="141">
        <f>+'NCES-Private Grads-all races'!AS39+'NCES-Public Grads-all races'!AW40</f>
        <v>769927</v>
      </c>
      <c r="AT38" s="141">
        <f>+'NCES-Private Grads-all races'!AT39+'NCES-Public Grads-all races'!AX40</f>
        <v>787910</v>
      </c>
      <c r="AU38" s="141">
        <f>+'NCES-Private Grads-all races'!AU39+'NCES-Public Grads-all races'!AY40</f>
        <v>783976</v>
      </c>
      <c r="AV38" s="141">
        <f>+'NCES-Private Grads-all races'!AV39+'NCES-Public Grads-all races'!AZ40</f>
        <v>790714</v>
      </c>
      <c r="AW38" s="141">
        <f>+'NCES-Private Grads-all races'!AW39+'NCES-Public Grads-all races'!BA40</f>
        <v>782329</v>
      </c>
      <c r="AX38" s="141">
        <f>+'NCES-Private Grads-all races'!AX39+'NCES-Public Grads-all races'!BB40</f>
        <v>781617</v>
      </c>
      <c r="AY38" s="141">
        <f>+'NCES-Private Grads-all races'!AY39+'NCES-Public Grads-all races'!BC40</f>
        <v>783602</v>
      </c>
      <c r="AZ38" s="141">
        <f>+'NCES-Private Grads-all races'!AZ39+'NCES-Public Grads-all races'!BD40</f>
        <v>747735.66899999999</v>
      </c>
      <c r="BA38" s="141">
        <f>+'NCES-Private Grads-all races'!BA39+'NCES-Public Grads-all races'!BE40</f>
        <v>745107.13499999989</v>
      </c>
      <c r="BB38" s="141">
        <f>+'NCES-Private Grads-all races'!BB39+'NCES-Public Grads-all races'!BF40</f>
        <v>750143.61700000009</v>
      </c>
      <c r="BC38" s="141">
        <f>+'NCES-Private Grads-all races'!BC39+'NCES-Public Grads-all races'!BG40</f>
        <v>785647</v>
      </c>
      <c r="BD38" s="141">
        <f>+'NCES-Private Grads-all races'!BD39+'NCES-Public Grads-all races'!BH40</f>
        <v>796591</v>
      </c>
      <c r="BE38" s="141">
        <f>+'NCES-Private Grads-all races'!BE39+'NCES-Public Grads-all races'!BI40</f>
        <v>802596</v>
      </c>
      <c r="BF38" s="140">
        <f>+'NCES-Private Grads-all races'!BF39+'NCES-Public Grads-all races'!BJ40</f>
        <v>790630</v>
      </c>
    </row>
    <row r="39" spans="1:58">
      <c r="A39" s="161"/>
      <c r="B39" s="141"/>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c r="AG39" s="141"/>
      <c r="AH39" s="141"/>
      <c r="AI39" s="141"/>
      <c r="AJ39" s="141"/>
      <c r="AK39" s="141"/>
      <c r="AL39" s="141"/>
      <c r="AM39" s="141"/>
      <c r="AN39" s="141"/>
      <c r="AO39" s="141"/>
      <c r="AP39" s="141"/>
      <c r="AQ39" s="141"/>
      <c r="AR39" s="141"/>
      <c r="AS39" s="141"/>
      <c r="AT39" s="141"/>
      <c r="AU39" s="141"/>
      <c r="AV39" s="141"/>
      <c r="AW39" s="141"/>
      <c r="AX39" s="141"/>
      <c r="AY39" s="141"/>
      <c r="AZ39" s="141"/>
      <c r="BA39" s="141"/>
      <c r="BB39" s="141"/>
      <c r="BC39" s="141"/>
      <c r="BD39" s="141"/>
      <c r="BE39" s="141"/>
      <c r="BF39" s="140">
        <f>+'NCES-Private Grads-all races'!BF40+'NCES-Public Grads-all races'!BJ41</f>
        <v>0</v>
      </c>
    </row>
    <row r="40" spans="1:58">
      <c r="A40" s="164" t="s">
        <v>65</v>
      </c>
      <c r="B40" s="141">
        <f>+'NCES-Private Grads-all races'!B41+'NCES-Public Grads-all races'!F42</f>
        <v>121205</v>
      </c>
      <c r="C40" s="141">
        <f>+'NCES-Private Grads-all races'!C41+'NCES-Public Grads-all races'!G42</f>
        <v>137976</v>
      </c>
      <c r="D40" s="141">
        <f>+'NCES-Private Grads-all races'!D41+'NCES-Public Grads-all races'!H42</f>
        <v>140537.60000000001</v>
      </c>
      <c r="E40" s="141">
        <f>+'NCES-Private Grads-all races'!E41+'NCES-Public Grads-all races'!I42</f>
        <v>143099.20000000001</v>
      </c>
      <c r="F40" s="141">
        <f>+'NCES-Private Grads-all races'!F41+'NCES-Public Grads-all races'!J42</f>
        <v>145660.80000000002</v>
      </c>
      <c r="G40" s="141">
        <f>+'NCES-Private Grads-all races'!G41+'NCES-Public Grads-all races'!K42</f>
        <v>148222.40000000002</v>
      </c>
      <c r="H40" s="141">
        <f>+'NCES-Private Grads-all races'!H41+'NCES-Public Grads-all races'!L42</f>
        <v>150784</v>
      </c>
      <c r="I40" s="141">
        <f>+'NCES-Private Grads-all races'!I41+'NCES-Public Grads-all races'!M42</f>
        <v>152953</v>
      </c>
      <c r="J40" s="141">
        <f>+'NCES-Private Grads-all races'!J41+'NCES-Public Grads-all races'!N42</f>
        <v>153143</v>
      </c>
      <c r="K40" s="141">
        <f>+'NCES-Private Grads-all races'!K41+'NCES-Public Grads-all races'!O42</f>
        <v>160035</v>
      </c>
      <c r="L40" s="141">
        <f>+'NCES-Private Grads-all races'!L41+'NCES-Public Grads-all races'!P42</f>
        <v>163404</v>
      </c>
      <c r="M40" s="141">
        <f>+'NCES-Private Grads-all races'!M41+'NCES-Public Grads-all races'!Q42</f>
        <v>166816</v>
      </c>
      <c r="N40" s="141">
        <f>+'NCES-Private Grads-all races'!N41+'NCES-Public Grads-all races'!R42</f>
        <v>170612</v>
      </c>
      <c r="O40" s="141">
        <f>+'NCES-Private Grads-all races'!O41+'NCES-Public Grads-all races'!S42</f>
        <v>166040</v>
      </c>
      <c r="P40" s="141">
        <f>+'NCES-Private Grads-all races'!P41+'NCES-Public Grads-all races'!T42</f>
        <v>163469.33333333334</v>
      </c>
      <c r="Q40" s="141">
        <f>+'NCES-Private Grads-all races'!Q41+'NCES-Public Grads-all races'!U42</f>
        <v>160788.66666666666</v>
      </c>
      <c r="R40" s="141">
        <f>+'NCES-Private Grads-all races'!R41+'NCES-Public Grads-all races'!V42</f>
        <v>155917</v>
      </c>
      <c r="S40" s="141">
        <f>+'NCES-Private Grads-all races'!S41+'NCES-Public Grads-all races'!W42</f>
        <v>156683</v>
      </c>
      <c r="T40" s="141">
        <f>+'NCES-Private Grads-all races'!T41+'NCES-Public Grads-all races'!X42</f>
        <v>155972</v>
      </c>
      <c r="U40" s="141">
        <f>+'NCES-Private Grads-all races'!U41+'NCES-Public Grads-all races'!Y42</f>
        <v>147802</v>
      </c>
      <c r="V40" s="141">
        <f>+'NCES-Private Grads-all races'!V41+'NCES-Public Grads-all races'!Z42</f>
        <v>141099</v>
      </c>
      <c r="W40" s="141">
        <f>+'NCES-Private Grads-all races'!W41+'NCES-Public Grads-all races'!AA42</f>
        <v>135115</v>
      </c>
      <c r="X40" s="141">
        <f>+'NCES-Private Grads-all races'!X41+'NCES-Public Grads-all races'!AB42</f>
        <v>131957</v>
      </c>
      <c r="Y40" s="141">
        <f>+'NCES-Private Grads-all races'!Y41+'NCES-Public Grads-all races'!AC42</f>
        <v>133263</v>
      </c>
      <c r="Z40" s="141">
        <f>+'NCES-Private Grads-all races'!Z41+'NCES-Public Grads-all races'!AD42</f>
        <v>135828</v>
      </c>
      <c r="AA40" s="141">
        <f>+'NCES-Private Grads-all races'!AA41+'NCES-Public Grads-all races'!AE42</f>
        <v>132948</v>
      </c>
      <c r="AB40" s="141">
        <f>+'NCES-Private Grads-all races'!AB41+'NCES-Public Grads-all races'!AF42</f>
        <v>124032</v>
      </c>
      <c r="AC40" s="141">
        <f>+'NCES-Private Grads-all races'!AC41+'NCES-Public Grads-all races'!AG42</f>
        <v>118867</v>
      </c>
      <c r="AD40" s="141">
        <f>+'NCES-Private Grads-all races'!AD41+'NCES-Public Grads-all races'!AH42</f>
        <v>118280</v>
      </c>
      <c r="AE40" s="141">
        <f>+'NCES-Private Grads-all races'!AE41+'NCES-Public Grads-all races'!AI42</f>
        <v>118352</v>
      </c>
      <c r="AF40" s="141">
        <f>+'NCES-Private Grads-all races'!AF41+'NCES-Public Grads-all races'!AJ42</f>
        <v>116828.5</v>
      </c>
      <c r="AG40" s="141">
        <f>+'NCES-Private Grads-all races'!AG41+'NCES-Public Grads-all races'!AK42</f>
        <v>119845</v>
      </c>
      <c r="AH40" s="141">
        <f>+'NCES-Private Grads-all races'!AH41+'NCES-Public Grads-all races'!AL42</f>
        <v>119146</v>
      </c>
      <c r="AI40" s="141">
        <f>+'NCES-Private Grads-all races'!AI41+'NCES-Public Grads-all races'!AM42</f>
        <v>125286</v>
      </c>
      <c r="AJ40" s="141">
        <f>+'NCES-Private Grads-all races'!AJ41+'NCES-Public Grads-all races'!AN42</f>
        <v>130495</v>
      </c>
      <c r="AK40" s="141">
        <f>+'NCES-Private Grads-all races'!AK41+'NCES-Public Grads-all races'!AO42</f>
        <v>129208</v>
      </c>
      <c r="AL40" s="141">
        <f>+'NCES-Private Grads-all races'!AL41+'NCES-Public Grads-all races'!AP42</f>
        <v>126346</v>
      </c>
      <c r="AM40" s="141">
        <f>+'NCES-Private Grads-all races'!AM41+'NCES-Public Grads-all races'!AQ42</f>
        <v>126245</v>
      </c>
      <c r="AN40" s="141">
        <f>+'NCES-Private Grads-all races'!AN41+'NCES-Public Grads-all races'!AR42</f>
        <v>132012.5</v>
      </c>
      <c r="AO40" s="141">
        <f>+'NCES-Private Grads-all races'!AO41+'NCES-Public Grads-all races'!AS42</f>
        <v>132597</v>
      </c>
      <c r="AP40" s="141">
        <f>+'NCES-Private Grads-all races'!AP41+'NCES-Public Grads-all races'!AT42</f>
        <v>139483</v>
      </c>
      <c r="AQ40" s="141">
        <f>+'NCES-Private Grads-all races'!AQ41+'NCES-Public Grads-all races'!AU42</f>
        <v>137965</v>
      </c>
      <c r="AR40" s="141">
        <f>+'NCES-Private Grads-all races'!AR41+'NCES-Public Grads-all races'!AV42</f>
        <v>141547</v>
      </c>
      <c r="AS40" s="141">
        <f>+'NCES-Private Grads-all races'!AS41+'NCES-Public Grads-all races'!AW42</f>
        <v>145330</v>
      </c>
      <c r="AT40" s="141">
        <f>+'NCES-Private Grads-all races'!AT41+'NCES-Public Grads-all races'!AX42</f>
        <v>150253</v>
      </c>
      <c r="AU40" s="141">
        <f>+'NCES-Private Grads-all races'!AU41+'NCES-Public Grads-all races'!AY42</f>
        <v>146780</v>
      </c>
      <c r="AV40" s="141">
        <f>+'NCES-Private Grads-all races'!AV41+'NCES-Public Grads-all races'!AZ42</f>
        <v>153840</v>
      </c>
      <c r="AW40" s="141">
        <f>+'NCES-Private Grads-all races'!AW41+'NCES-Public Grads-all races'!BA42</f>
        <v>149456</v>
      </c>
      <c r="AX40" s="141">
        <f>+'NCES-Private Grads-all races'!AX41+'NCES-Public Grads-all races'!BB42</f>
        <v>153840</v>
      </c>
      <c r="AY40" s="141">
        <f>+'NCES-Private Grads-all races'!AY41+'NCES-Public Grads-all races'!BC42</f>
        <v>153258</v>
      </c>
      <c r="AZ40" s="141">
        <f>+'NCES-Private Grads-all races'!AZ41+'NCES-Public Grads-all races'!BD42</f>
        <v>147091.32</v>
      </c>
      <c r="BA40" s="141">
        <f>+'NCES-Private Grads-all races'!BA41+'NCES-Public Grads-all races'!BE42</f>
        <v>147978.576</v>
      </c>
      <c r="BB40" s="141">
        <f>+'NCES-Private Grads-all races'!BB41+'NCES-Public Grads-all races'!BF42</f>
        <v>147340.315</v>
      </c>
      <c r="BC40" s="141">
        <f>+'NCES-Private Grads-all races'!BC41+'NCES-Public Grads-all races'!BG42</f>
        <v>152146</v>
      </c>
      <c r="BD40" s="141">
        <f>+'NCES-Private Grads-all races'!BD41+'NCES-Public Grads-all races'!BH42</f>
        <v>153280</v>
      </c>
      <c r="BE40" s="141">
        <f>+'NCES-Private Grads-all races'!BE41+'NCES-Public Grads-all races'!BI42</f>
        <v>151976</v>
      </c>
      <c r="BF40" s="140">
        <f>+'NCES-Private Grads-all races'!BF41+'NCES-Public Grads-all races'!BJ42</f>
        <v>150270</v>
      </c>
    </row>
    <row r="41" spans="1:58">
      <c r="A41" s="164" t="s">
        <v>66</v>
      </c>
      <c r="B41" s="141">
        <f>+'NCES-Private Grads-all races'!B42+'NCES-Public Grads-all races'!F43</f>
        <v>59910</v>
      </c>
      <c r="C41" s="141">
        <f>+'NCES-Private Grads-all races'!C42+'NCES-Public Grads-all races'!G43</f>
        <v>71488</v>
      </c>
      <c r="D41" s="141">
        <f>+'NCES-Private Grads-all races'!D42+'NCES-Public Grads-all races'!H43</f>
        <v>72280.914285714287</v>
      </c>
      <c r="E41" s="141">
        <f>+'NCES-Private Grads-all races'!E42+'NCES-Public Grads-all races'!I43</f>
        <v>73073.828571428559</v>
      </c>
      <c r="F41" s="141">
        <f>+'NCES-Private Grads-all races'!F42+'NCES-Public Grads-all races'!J43</f>
        <v>73866.742857142846</v>
      </c>
      <c r="G41" s="141">
        <f>+'NCES-Private Grads-all races'!G42+'NCES-Public Grads-all races'!K43</f>
        <v>74659.657142857133</v>
      </c>
      <c r="H41" s="141">
        <f>+'NCES-Private Grads-all races'!H42+'NCES-Public Grads-all races'!L43</f>
        <v>75452.57142857142</v>
      </c>
      <c r="I41" s="141">
        <f>+'NCES-Private Grads-all races'!I42+'NCES-Public Grads-all races'!M43</f>
        <v>76130.28571428571</v>
      </c>
      <c r="J41" s="141">
        <f>+'NCES-Private Grads-all races'!J42+'NCES-Public Grads-all races'!N43</f>
        <v>78101</v>
      </c>
      <c r="K41" s="141">
        <f>+'NCES-Private Grads-all races'!K42+'NCES-Public Grads-all races'!O43</f>
        <v>78755</v>
      </c>
      <c r="L41" s="141">
        <f>+'NCES-Private Grads-all races'!L42+'NCES-Public Grads-all races'!P43</f>
        <v>78977</v>
      </c>
      <c r="M41" s="141">
        <f>+'NCES-Private Grads-all races'!M42+'NCES-Public Grads-all races'!Q43</f>
        <v>79504</v>
      </c>
      <c r="N41" s="141">
        <f>+'NCES-Private Grads-all races'!N42+'NCES-Public Grads-all races'!R43</f>
        <v>82712</v>
      </c>
      <c r="O41" s="141">
        <f>+'NCES-Private Grads-all races'!O42+'NCES-Public Grads-all races'!S43</f>
        <v>81406</v>
      </c>
      <c r="P41" s="141">
        <f>+'NCES-Private Grads-all races'!P42+'NCES-Public Grads-all races'!T43</f>
        <v>79455.666666666672</v>
      </c>
      <c r="Q41" s="141">
        <f>+'NCES-Private Grads-all races'!Q42+'NCES-Public Grads-all races'!U43</f>
        <v>80421.333333333328</v>
      </c>
      <c r="R41" s="141">
        <f>+'NCES-Private Grads-all races'!R42+'NCES-Public Grads-all races'!V43</f>
        <v>78502</v>
      </c>
      <c r="S41" s="141">
        <f>+'NCES-Private Grads-all races'!S42+'NCES-Public Grads-all races'!W43</f>
        <v>78624.111111111109</v>
      </c>
      <c r="T41" s="141">
        <f>+'NCES-Private Grads-all races'!T42+'NCES-Public Grads-all races'!X43</f>
        <v>79111.222222222219</v>
      </c>
      <c r="U41" s="141">
        <f>+'NCES-Private Grads-all races'!U42+'NCES-Public Grads-all races'!Y43</f>
        <v>75560.333333333328</v>
      </c>
      <c r="V41" s="141">
        <f>+'NCES-Private Grads-all races'!V42+'NCES-Public Grads-all races'!Z43</f>
        <v>70605.444444444438</v>
      </c>
      <c r="W41" s="141">
        <f>+'NCES-Private Grads-all races'!W42+'NCES-Public Grads-all races'!AA43</f>
        <v>68087.555555555562</v>
      </c>
      <c r="X41" s="141">
        <f>+'NCES-Private Grads-all races'!X42+'NCES-Public Grads-all races'!AB43</f>
        <v>64480.666666666672</v>
      </c>
      <c r="Y41" s="141">
        <f>+'NCES-Private Grads-all races'!Y42+'NCES-Public Grads-all races'!AC43</f>
        <v>64911.777777777781</v>
      </c>
      <c r="Z41" s="141">
        <f>+'NCES-Private Grads-all races'!Z42+'NCES-Public Grads-all races'!AD43</f>
        <v>68468.888888888891</v>
      </c>
      <c r="AA41" s="141">
        <f>+'NCES-Private Grads-all races'!AA42+'NCES-Public Grads-all races'!AE43</f>
        <v>67887</v>
      </c>
      <c r="AB41" s="141">
        <f>+'NCES-Private Grads-all races'!AB42+'NCES-Public Grads-all races'!AF43</f>
        <v>64321.5</v>
      </c>
      <c r="AC41" s="141">
        <f>+'NCES-Private Grads-all races'!AC42+'NCES-Public Grads-all races'!AG43</f>
        <v>62195</v>
      </c>
      <c r="AD41" s="141">
        <f>+'NCES-Private Grads-all races'!AD42+'NCES-Public Grads-all races'!AH43</f>
        <v>60933</v>
      </c>
      <c r="AE41" s="141">
        <f>+'NCES-Private Grads-all races'!AE42+'NCES-Public Grads-all races'!AI43</f>
        <v>61620</v>
      </c>
      <c r="AF41" s="141">
        <f>+'NCES-Private Grads-all races'!AF42+'NCES-Public Grads-all races'!AJ43</f>
        <v>58708</v>
      </c>
      <c r="AG41" s="141">
        <f>+'NCES-Private Grads-all races'!AG42+'NCES-Public Grads-all races'!AK43</f>
        <v>60113</v>
      </c>
      <c r="AH41" s="141">
        <f>+'NCES-Private Grads-all races'!AH42+'NCES-Public Grads-all races'!AL43</f>
        <v>59666</v>
      </c>
      <c r="AI41" s="141">
        <f>+'NCES-Private Grads-all races'!AI42+'NCES-Public Grads-all races'!AM43</f>
        <v>61764</v>
      </c>
      <c r="AJ41" s="141">
        <f>+'NCES-Private Grads-all races'!AJ42+'NCES-Public Grads-all races'!AN43</f>
        <v>63348</v>
      </c>
      <c r="AK41" s="141">
        <f>+'NCES-Private Grads-all races'!AK42+'NCES-Public Grads-all races'!AO43</f>
        <v>63561</v>
      </c>
      <c r="AL41" s="141">
        <f>+'NCES-Private Grads-all races'!AL42+'NCES-Public Grads-all races'!AP43</f>
        <v>61204</v>
      </c>
      <c r="AM41" s="141">
        <f>+'NCES-Private Grads-all races'!AM42+'NCES-Public Grads-all races'!AQ43</f>
        <v>60765</v>
      </c>
      <c r="AN41" s="141">
        <f>+'NCES-Private Grads-all races'!AN42+'NCES-Public Grads-all races'!AR43</f>
        <v>61428.5</v>
      </c>
      <c r="AO41" s="141">
        <f>+'NCES-Private Grads-all races'!AO42+'NCES-Public Grads-all races'!AS43</f>
        <v>62717</v>
      </c>
      <c r="AP41" s="141">
        <f>+'NCES-Private Grads-all races'!AP42+'NCES-Public Grads-all races'!AT43</f>
        <v>61053</v>
      </c>
      <c r="AQ41" s="141">
        <f>+'NCES-Private Grads-all races'!AQ42+'NCES-Public Grads-all races'!AU43</f>
        <v>60714</v>
      </c>
      <c r="AR41" s="141">
        <f>+'NCES-Private Grads-all races'!AR42+'NCES-Public Grads-all races'!AV43</f>
        <v>62950</v>
      </c>
      <c r="AS41" s="141">
        <f>+'NCES-Private Grads-all races'!AS42+'NCES-Public Grads-all races'!AW43</f>
        <v>64677</v>
      </c>
      <c r="AT41" s="141">
        <f>+'NCES-Private Grads-all races'!AT42+'NCES-Public Grads-all races'!AX43</f>
        <v>66911</v>
      </c>
      <c r="AU41" s="141">
        <f>+'NCES-Private Grads-all races'!AU42+'NCES-Public Grads-all races'!AY43</f>
        <v>68893</v>
      </c>
      <c r="AV41" s="141">
        <f>+'NCES-Private Grads-all races'!AV42+'NCES-Public Grads-all races'!AZ43</f>
        <v>69976</v>
      </c>
      <c r="AW41" s="141">
        <f>+'NCES-Private Grads-all races'!AW42+'NCES-Public Grads-all races'!BA43</f>
        <v>71753</v>
      </c>
      <c r="AX41" s="141">
        <f>+'NCES-Private Grads-all races'!AX42+'NCES-Public Grads-all races'!BB43</f>
        <v>71027</v>
      </c>
      <c r="AY41" s="141">
        <f>+'NCES-Private Grads-all races'!AY42+'NCES-Public Grads-all races'!BC43</f>
        <v>71695</v>
      </c>
      <c r="AZ41" s="141">
        <f>+'NCES-Private Grads-all races'!AZ42+'NCES-Public Grads-all races'!BD43</f>
        <v>72794.182000000001</v>
      </c>
      <c r="BA41" s="141">
        <f>+'NCES-Private Grads-all races'!BA42+'NCES-Public Grads-all races'!BE43</f>
        <v>73139.606</v>
      </c>
      <c r="BB41" s="141">
        <f>+'NCES-Private Grads-all races'!BB42+'NCES-Public Grads-all races'!BF43</f>
        <v>72870.983999999997</v>
      </c>
      <c r="BC41" s="141">
        <f>+'NCES-Private Grads-all races'!BC42+'NCES-Public Grads-all races'!BG43</f>
        <v>75423</v>
      </c>
      <c r="BD41" s="141">
        <f>+'NCES-Private Grads-all races'!BD42+'NCES-Public Grads-all races'!BH43</f>
        <v>76354</v>
      </c>
      <c r="BE41" s="141">
        <f>+'NCES-Private Grads-all races'!BE42+'NCES-Public Grads-all races'!BI43</f>
        <v>79080</v>
      </c>
      <c r="BF41" s="140">
        <f>+'NCES-Private Grads-all races'!BF42+'NCES-Public Grads-all races'!BJ43</f>
        <v>77810</v>
      </c>
    </row>
    <row r="42" spans="1:58">
      <c r="A42" s="164" t="s">
        <v>67</v>
      </c>
      <c r="B42" s="141">
        <f>+'NCES-Private Grads-all races'!B43+'NCES-Public Grads-all races'!F44</f>
        <v>37639</v>
      </c>
      <c r="C42" s="141">
        <f>+'NCES-Private Grads-all races'!C43+'NCES-Public Grads-all races'!G44</f>
        <v>45050</v>
      </c>
      <c r="D42" s="141">
        <f>+'NCES-Private Grads-all races'!D43+'NCES-Public Grads-all races'!H44</f>
        <v>45878.885714285716</v>
      </c>
      <c r="E42" s="141">
        <f>+'NCES-Private Grads-all races'!E43+'NCES-Public Grads-all races'!I44</f>
        <v>46707.771428571425</v>
      </c>
      <c r="F42" s="141">
        <f>+'NCES-Private Grads-all races'!F43+'NCES-Public Grads-all races'!J44</f>
        <v>47536.657142857141</v>
      </c>
      <c r="G42" s="141">
        <f>+'NCES-Private Grads-all races'!G43+'NCES-Public Grads-all races'!K44</f>
        <v>48365.542857142849</v>
      </c>
      <c r="H42" s="141">
        <f>+'NCES-Private Grads-all races'!H43+'NCES-Public Grads-all races'!L44</f>
        <v>49194.428571428572</v>
      </c>
      <c r="I42" s="141">
        <f>+'NCES-Private Grads-all races'!I43+'NCES-Public Grads-all races'!M44</f>
        <v>48811.71428571429</v>
      </c>
      <c r="J42" s="141">
        <f>+'NCES-Private Grads-all races'!J43+'NCES-Public Grads-all races'!N44</f>
        <v>49826</v>
      </c>
      <c r="K42" s="141">
        <f>+'NCES-Private Grads-all races'!K43+'NCES-Public Grads-all races'!O44</f>
        <v>49921</v>
      </c>
      <c r="L42" s="141">
        <f>+'NCES-Private Grads-all races'!L43+'NCES-Public Grads-all races'!P44</f>
        <v>48908</v>
      </c>
      <c r="M42" s="141">
        <f>+'NCES-Private Grads-all races'!M43+'NCES-Public Grads-all races'!Q44</f>
        <v>47505</v>
      </c>
      <c r="N42" s="141">
        <f>+'NCES-Private Grads-all races'!N43+'NCES-Public Grads-all races'!R44</f>
        <v>46318</v>
      </c>
      <c r="O42" s="141">
        <f>+'NCES-Private Grads-all races'!O43+'NCES-Public Grads-all races'!S44</f>
        <v>47720</v>
      </c>
      <c r="P42" s="141">
        <f>+'NCES-Private Grads-all races'!P43+'NCES-Public Grads-all races'!T44</f>
        <v>48113.666666666664</v>
      </c>
      <c r="Q42" s="141">
        <f>+'NCES-Private Grads-all races'!Q43+'NCES-Public Grads-all races'!U44</f>
        <v>48379.333333333336</v>
      </c>
      <c r="R42" s="141">
        <f>+'NCES-Private Grads-all races'!R43+'NCES-Public Grads-all races'!V44</f>
        <v>47282</v>
      </c>
      <c r="S42" s="141">
        <f>+'NCES-Private Grads-all races'!S43+'NCES-Public Grads-all races'!W44</f>
        <v>46551.333333333336</v>
      </c>
      <c r="T42" s="141">
        <f>+'NCES-Private Grads-all races'!T43+'NCES-Public Grads-all races'!X44</f>
        <v>45504.666666666664</v>
      </c>
      <c r="U42" s="141">
        <f>+'NCES-Private Grads-all races'!U43+'NCES-Public Grads-all races'!Y44</f>
        <v>43644</v>
      </c>
      <c r="V42" s="141">
        <f>+'NCES-Private Grads-all races'!V43+'NCES-Public Grads-all races'!Z44</f>
        <v>41402.333333333336</v>
      </c>
      <c r="W42" s="141">
        <f>+'NCES-Private Grads-all races'!W43+'NCES-Public Grads-all races'!AA44</f>
        <v>40320.666666666664</v>
      </c>
      <c r="X42" s="141">
        <f>+'NCES-Private Grads-all races'!X43+'NCES-Public Grads-all races'!AB44</f>
        <v>38592</v>
      </c>
      <c r="Y42" s="141">
        <f>+'NCES-Private Grads-all races'!Y43+'NCES-Public Grads-all races'!AC44</f>
        <v>38972.333333333336</v>
      </c>
      <c r="Z42" s="141">
        <f>+'NCES-Private Grads-all races'!Z43+'NCES-Public Grads-all races'!AD44</f>
        <v>39689.666666666664</v>
      </c>
      <c r="AA42" s="141">
        <f>+'NCES-Private Grads-all races'!AA43+'NCES-Public Grads-all races'!AE44</f>
        <v>38845</v>
      </c>
      <c r="AB42" s="141">
        <f>+'NCES-Private Grads-all races'!AB43+'NCES-Public Grads-all races'!AF44</f>
        <v>35264.5</v>
      </c>
      <c r="AC42" s="141">
        <f>+'NCES-Private Grads-all races'!AC43+'NCES-Public Grads-all races'!AG44</f>
        <v>30979</v>
      </c>
      <c r="AD42" s="141">
        <f>+'NCES-Private Grads-all races'!AD43+'NCES-Public Grads-all races'!AH44</f>
        <v>31610</v>
      </c>
      <c r="AE42" s="141">
        <f>+'NCES-Private Grads-all races'!AE43+'NCES-Public Grads-all races'!AI44</f>
        <v>33172</v>
      </c>
      <c r="AF42" s="141">
        <f>+'NCES-Private Grads-all races'!AF43+'NCES-Public Grads-all races'!AJ44</f>
        <v>32795</v>
      </c>
      <c r="AG42" s="141">
        <f>+'NCES-Private Grads-all races'!AG43+'NCES-Public Grads-all races'!AK44</f>
        <v>33869</v>
      </c>
      <c r="AH42" s="141">
        <f>+'NCES-Private Grads-all races'!AH43+'NCES-Public Grads-all races'!AL44</f>
        <v>33643</v>
      </c>
      <c r="AI42" s="141">
        <f>+'NCES-Private Grads-all races'!AI43+'NCES-Public Grads-all races'!AM44</f>
        <v>35599</v>
      </c>
      <c r="AJ42" s="141">
        <f>+'NCES-Private Grads-all races'!AJ43+'NCES-Public Grads-all races'!AN44</f>
        <v>36842</v>
      </c>
      <c r="AK42" s="141">
        <f>+'NCES-Private Grads-all races'!AK43+'NCES-Public Grads-all races'!AO44</f>
        <v>37071</v>
      </c>
      <c r="AL42" s="141">
        <f>+'NCES-Private Grads-all races'!AL43+'NCES-Public Grads-all races'!AP44</f>
        <v>36023</v>
      </c>
      <c r="AM42" s="141">
        <f>+'NCES-Private Grads-all races'!AM43+'NCES-Public Grads-all races'!AQ44</f>
        <v>36441</v>
      </c>
      <c r="AN42" s="141">
        <f>+'NCES-Private Grads-all races'!AN43+'NCES-Public Grads-all races'!AR44</f>
        <v>36432.5</v>
      </c>
      <c r="AO42" s="141">
        <f>+'NCES-Private Grads-all races'!AO43+'NCES-Public Grads-all races'!AS44</f>
        <v>37480</v>
      </c>
      <c r="AP42" s="141">
        <f>+'NCES-Private Grads-all races'!AP43+'NCES-Public Grads-all races'!AT44</f>
        <v>37284</v>
      </c>
      <c r="AQ42" s="141">
        <f>+'NCES-Private Grads-all races'!AQ43+'NCES-Public Grads-all races'!AU44</f>
        <v>36817</v>
      </c>
      <c r="AR42" s="141">
        <f>+'NCES-Private Grads-all races'!AR43+'NCES-Public Grads-all races'!AV44</f>
        <v>36458</v>
      </c>
      <c r="AS42" s="141">
        <f>+'NCES-Private Grads-all races'!AS43+'NCES-Public Grads-all races'!AW44</f>
        <v>36387</v>
      </c>
      <c r="AT42" s="141">
        <f>+'NCES-Private Grads-all races'!AT43+'NCES-Public Grads-all races'!AX44</f>
        <v>36828</v>
      </c>
      <c r="AU42" s="141">
        <f>+'NCES-Private Grads-all races'!AU43+'NCES-Public Grads-all races'!AY44</f>
        <v>36176</v>
      </c>
      <c r="AV42" s="141" t="e">
        <f>+'NCES-Private Grads-all races'!AV43+'NCES-Public Grads-all races'!AZ44</f>
        <v>#VALUE!</v>
      </c>
      <c r="AW42" s="141" t="e">
        <f>+'NCES-Private Grads-all races'!AW43+'NCES-Public Grads-all races'!BA44</f>
        <v>#VALUE!</v>
      </c>
      <c r="AX42" s="141" t="e">
        <f>+'NCES-Private Grads-all races'!AX43+'NCES-Public Grads-all races'!BB44</f>
        <v>#VALUE!</v>
      </c>
      <c r="AY42" s="141">
        <f>+'NCES-Private Grads-all races'!AY43+'NCES-Public Grads-all races'!BC44</f>
        <v>34948</v>
      </c>
      <c r="AZ42" s="141">
        <f>+'NCES-Private Grads-all races'!AZ43+'NCES-Public Grads-all races'!BD44</f>
        <v>33231.945</v>
      </c>
      <c r="BA42" s="141">
        <f>+'NCES-Private Grads-all races'!BA43+'NCES-Public Grads-all races'!BE44</f>
        <v>33392.072</v>
      </c>
      <c r="BB42" s="141">
        <f>+'NCES-Private Grads-all races'!BB43+'NCES-Public Grads-all races'!BF44</f>
        <v>34219.063999999998</v>
      </c>
      <c r="BC42" s="141">
        <f>+'NCES-Private Grads-all races'!BC43+'NCES-Public Grads-all races'!BG44</f>
        <v>36080</v>
      </c>
      <c r="BD42" s="141">
        <f>+'NCES-Private Grads-all races'!BD43+'NCES-Public Grads-all races'!BH44</f>
        <v>36904</v>
      </c>
      <c r="BE42" s="141">
        <f>+'NCES-Private Grads-all races'!BE43+'NCES-Public Grads-all races'!BI44</f>
        <v>36550</v>
      </c>
      <c r="BF42" s="140">
        <f>+'NCES-Private Grads-all races'!BF43+'NCES-Public Grads-all races'!BJ44</f>
        <v>36850</v>
      </c>
    </row>
    <row r="43" spans="1:58">
      <c r="A43" s="164" t="s">
        <v>68</v>
      </c>
      <c r="B43" s="141">
        <f>+'NCES-Private Grads-all races'!B44+'NCES-Public Grads-all races'!F45</f>
        <v>29679</v>
      </c>
      <c r="C43" s="141">
        <f>+'NCES-Private Grads-all races'!C44+'NCES-Public Grads-all races'!G45</f>
        <v>30300</v>
      </c>
      <c r="D43" s="141">
        <f>+'NCES-Private Grads-all races'!D44+'NCES-Public Grads-all races'!H45</f>
        <v>31421.657142857141</v>
      </c>
      <c r="E43" s="141">
        <f>+'NCES-Private Grads-all races'!E44+'NCES-Public Grads-all races'!I45</f>
        <v>32543.314285714285</v>
      </c>
      <c r="F43" s="141">
        <f>+'NCES-Private Grads-all races'!F44+'NCES-Public Grads-all races'!J45</f>
        <v>33664.971428571429</v>
      </c>
      <c r="G43" s="141">
        <f>+'NCES-Private Grads-all races'!G44+'NCES-Public Grads-all races'!K45</f>
        <v>34786.62857142857</v>
      </c>
      <c r="H43" s="141">
        <f>+'NCES-Private Grads-all races'!H44+'NCES-Public Grads-all races'!L45</f>
        <v>35908.28571428571</v>
      </c>
      <c r="I43" s="141">
        <f>+'NCES-Private Grads-all races'!I44+'NCES-Public Grads-all races'!M45</f>
        <v>35999.142857142855</v>
      </c>
      <c r="J43" s="141">
        <f>+'NCES-Private Grads-all races'!J44+'NCES-Public Grads-all races'!N45</f>
        <v>36763</v>
      </c>
      <c r="K43" s="141">
        <f>+'NCES-Private Grads-all races'!K44+'NCES-Public Grads-all races'!O45</f>
        <v>36541</v>
      </c>
      <c r="L43" s="141">
        <f>+'NCES-Private Grads-all races'!L44+'NCES-Public Grads-all races'!P45</f>
        <v>35974</v>
      </c>
      <c r="M43" s="141">
        <f>+'NCES-Private Grads-all races'!M44+'NCES-Public Grads-all races'!Q45</f>
        <v>34458</v>
      </c>
      <c r="N43" s="141">
        <f>+'NCES-Private Grads-all races'!N44+'NCES-Public Grads-all races'!R45</f>
        <v>34212</v>
      </c>
      <c r="O43" s="141">
        <f>+'NCES-Private Grads-all races'!O44+'NCES-Public Grads-all races'!S45</f>
        <v>35216</v>
      </c>
      <c r="P43" s="141">
        <f>+'NCES-Private Grads-all races'!P44+'NCES-Public Grads-all races'!T45</f>
        <v>34700</v>
      </c>
      <c r="Q43" s="141">
        <f>+'NCES-Private Grads-all races'!Q44+'NCES-Public Grads-all races'!U45</f>
        <v>34006</v>
      </c>
      <c r="R43" s="141">
        <f>+'NCES-Private Grads-all races'!R44+'NCES-Public Grads-all races'!V45</f>
        <v>32701</v>
      </c>
      <c r="S43" s="141">
        <f>+'NCES-Private Grads-all races'!S44+'NCES-Public Grads-all races'!W45</f>
        <v>31179</v>
      </c>
      <c r="T43" s="141">
        <f>+'NCES-Private Grads-all races'!T44+'NCES-Public Grads-all races'!X45</f>
        <v>30051</v>
      </c>
      <c r="U43" s="141">
        <f>+'NCES-Private Grads-all races'!U44+'NCES-Public Grads-all races'!Y45</f>
        <v>30040</v>
      </c>
      <c r="V43" s="141">
        <f>+'NCES-Private Grads-all races'!V44+'NCES-Public Grads-all races'!Z45</f>
        <v>28425</v>
      </c>
      <c r="W43" s="141">
        <f>+'NCES-Private Grads-all races'!W44+'NCES-Public Grads-all races'!AA45</f>
        <v>27649</v>
      </c>
      <c r="X43" s="141">
        <f>+'NCES-Private Grads-all races'!X44+'NCES-Public Grads-all races'!AB45</f>
        <v>27224</v>
      </c>
      <c r="Y43" s="141">
        <f>+'NCES-Private Grads-all races'!Y44+'NCES-Public Grads-all races'!AC45</f>
        <v>28541</v>
      </c>
      <c r="Z43" s="141">
        <f>+'NCES-Private Grads-all races'!Z44+'NCES-Public Grads-all races'!AD45</f>
        <v>28615</v>
      </c>
      <c r="AA43" s="141">
        <f>+'NCES-Private Grads-all races'!AA44+'NCES-Public Grads-all races'!AE45</f>
        <v>28398</v>
      </c>
      <c r="AB43" s="141">
        <f>+'NCES-Private Grads-all races'!AB44+'NCES-Public Grads-all races'!AF45</f>
        <v>26876</v>
      </c>
      <c r="AC43" s="141">
        <f>+'NCES-Private Grads-all races'!AC44+'NCES-Public Grads-all races'!AG45</f>
        <v>25882</v>
      </c>
      <c r="AD43" s="141">
        <f>+'NCES-Private Grads-all races'!AD44+'NCES-Public Grads-all races'!AH45</f>
        <v>25597</v>
      </c>
      <c r="AE43" s="141">
        <f>+'NCES-Private Grads-all races'!AE44+'NCES-Public Grads-all races'!AI45</f>
        <v>26388</v>
      </c>
      <c r="AF43" s="141">
        <f>+'NCES-Private Grads-all races'!AF44+'NCES-Public Grads-all races'!AJ45</f>
        <v>26963.5</v>
      </c>
      <c r="AG43" s="141">
        <f>+'NCES-Private Grads-all races'!AG44+'NCES-Public Grads-all races'!AK45</f>
        <v>27746</v>
      </c>
      <c r="AH43" s="141">
        <f>+'NCES-Private Grads-all races'!AH44+'NCES-Public Grads-all races'!AL45</f>
        <v>27060</v>
      </c>
      <c r="AI43" s="141">
        <f>+'NCES-Private Grads-all races'!AI44+'NCES-Public Grads-all races'!AM45</f>
        <v>28395</v>
      </c>
      <c r="AJ43" s="141">
        <f>+'NCES-Private Grads-all races'!AJ44+'NCES-Public Grads-all races'!AN45</f>
        <v>29765</v>
      </c>
      <c r="AK43" s="141">
        <f>+'NCES-Private Grads-all races'!AK44+'NCES-Public Grads-all races'!AO45</f>
        <v>30756</v>
      </c>
      <c r="AL43" s="141">
        <f>+'NCES-Private Grads-all races'!AL44+'NCES-Public Grads-all races'!AP45</f>
        <v>30771</v>
      </c>
      <c r="AM43" s="141">
        <f>+'NCES-Private Grads-all races'!AM44+'NCES-Public Grads-all races'!AQ45</f>
        <v>31263</v>
      </c>
      <c r="AN43" s="141">
        <f>+'NCES-Private Grads-all races'!AN44+'NCES-Public Grads-all races'!AR45</f>
        <v>31572.5</v>
      </c>
      <c r="AO43" s="141">
        <f>+'NCES-Private Grads-all races'!AO44+'NCES-Public Grads-all races'!AS45</f>
        <v>32123</v>
      </c>
      <c r="AP43" s="141">
        <f>+'NCES-Private Grads-all races'!AP44+'NCES-Public Grads-all races'!AT45</f>
        <v>32275</v>
      </c>
      <c r="AQ43" s="141">
        <f>+'NCES-Private Grads-all races'!AQ44+'NCES-Public Grads-all races'!AU45</f>
        <v>32435</v>
      </c>
      <c r="AR43" s="141">
        <f>+'NCES-Private Grads-all races'!AR44+'NCES-Public Grads-all races'!AV45</f>
        <v>32048</v>
      </c>
      <c r="AS43" s="141">
        <f>+'NCES-Private Grads-all races'!AS44+'NCES-Public Grads-all races'!AW45</f>
        <v>32519</v>
      </c>
      <c r="AT43" s="141">
        <f>+'NCES-Private Grads-all races'!AT44+'NCES-Public Grads-all races'!AX45</f>
        <v>33012</v>
      </c>
      <c r="AU43" s="141">
        <f>+'NCES-Private Grads-all races'!AU44+'NCES-Public Grads-all races'!AY45</f>
        <v>32538</v>
      </c>
      <c r="AV43" s="141">
        <f>+'NCES-Private Grads-all races'!AV44+'NCES-Public Grads-all races'!AZ45</f>
        <v>33857</v>
      </c>
      <c r="AW43" s="141">
        <f>+'NCES-Private Grads-all races'!AW44+'NCES-Public Grads-all races'!BA45</f>
        <v>33630</v>
      </c>
      <c r="AX43" s="141">
        <f>+'NCES-Private Grads-all races'!AX44+'NCES-Public Grads-all races'!BB45</f>
        <v>34118</v>
      </c>
      <c r="AY43" s="141">
        <f>+'NCES-Private Grads-all races'!AY44+'NCES-Public Grads-all races'!BC45</f>
        <v>34102</v>
      </c>
      <c r="AZ43" s="141">
        <f>+'NCES-Private Grads-all races'!AZ44+'NCES-Public Grads-all races'!BD45</f>
        <v>32620.527999999998</v>
      </c>
      <c r="BA43" s="141">
        <f>+'NCES-Private Grads-all races'!BA44+'NCES-Public Grads-all races'!BE45</f>
        <v>32397.595999999998</v>
      </c>
      <c r="BB43" s="141">
        <f>+'NCES-Private Grads-all races'!BB44+'NCES-Public Grads-all races'!BF45</f>
        <v>33454.875</v>
      </c>
      <c r="BC43" s="141">
        <f>+'NCES-Private Grads-all races'!BC44+'NCES-Public Grads-all races'!BG45</f>
        <v>35439</v>
      </c>
      <c r="BD43" s="141">
        <f>+'NCES-Private Grads-all races'!BD44+'NCES-Public Grads-all races'!BH45</f>
        <v>36168</v>
      </c>
      <c r="BE43" s="141">
        <f>+'NCES-Private Grads-all races'!BE44+'NCES-Public Grads-all races'!BI45</f>
        <v>36644</v>
      </c>
      <c r="BF43" s="140">
        <f>+'NCES-Private Grads-all races'!BF44+'NCES-Public Grads-all races'!BJ45</f>
        <v>36610</v>
      </c>
    </row>
    <row r="44" spans="1:58">
      <c r="A44" s="164" t="s">
        <v>69</v>
      </c>
      <c r="B44" s="141">
        <f>+'NCES-Private Grads-all races'!B45+'NCES-Public Grads-all races'!F46</f>
        <v>100057</v>
      </c>
      <c r="C44" s="141">
        <f>+'NCES-Private Grads-all races'!C45+'NCES-Public Grads-all races'!G46</f>
        <v>117835</v>
      </c>
      <c r="D44" s="141">
        <f>+'NCES-Private Grads-all races'!D45+'NCES-Public Grads-all races'!H46</f>
        <v>121762.85714285714</v>
      </c>
      <c r="E44" s="141">
        <f>+'NCES-Private Grads-all races'!E45+'NCES-Public Grads-all races'!I46</f>
        <v>125690.71428571429</v>
      </c>
      <c r="F44" s="141">
        <f>+'NCES-Private Grads-all races'!F45+'NCES-Public Grads-all races'!J46</f>
        <v>129618.57142857143</v>
      </c>
      <c r="G44" s="141">
        <f>+'NCES-Private Grads-all races'!G45+'NCES-Public Grads-all races'!K46</f>
        <v>133546.42857142858</v>
      </c>
      <c r="H44" s="141">
        <f>+'NCES-Private Grads-all races'!H45+'NCES-Public Grads-all races'!L46</f>
        <v>137474.28571428571</v>
      </c>
      <c r="I44" s="141">
        <f>+'NCES-Private Grads-all races'!I45+'NCES-Public Grads-all races'!M46</f>
        <v>148435.14285714284</v>
      </c>
      <c r="J44" s="141">
        <f>+'NCES-Private Grads-all races'!J45+'NCES-Public Grads-all races'!N46</f>
        <v>143609</v>
      </c>
      <c r="K44" s="141">
        <f>+'NCES-Private Grads-all races'!K45+'NCES-Public Grads-all races'!O46</f>
        <v>147486</v>
      </c>
      <c r="L44" s="141">
        <f>+'NCES-Private Grads-all races'!L45+'NCES-Public Grads-all races'!P46</f>
        <v>151536</v>
      </c>
      <c r="M44" s="141">
        <f>+'NCES-Private Grads-all races'!M45+'NCES-Public Grads-all races'!Q46</f>
        <v>151409</v>
      </c>
      <c r="N44" s="141">
        <f>+'NCES-Private Grads-all races'!N45+'NCES-Public Grads-all races'!R46</f>
        <v>145872</v>
      </c>
      <c r="O44" s="141">
        <f>+'NCES-Private Grads-all races'!O45+'NCES-Public Grads-all races'!S46</f>
        <v>150337</v>
      </c>
      <c r="P44" s="141">
        <f>+'NCES-Private Grads-all races'!P45+'NCES-Public Grads-all races'!T46</f>
        <v>147113.33333333334</v>
      </c>
      <c r="Q44" s="141">
        <f>+'NCES-Private Grads-all races'!Q45+'NCES-Public Grads-all races'!U46</f>
        <v>144294.66666666666</v>
      </c>
      <c r="R44" s="141">
        <f>+'NCES-Private Grads-all races'!R45+'NCES-Public Grads-all races'!V46</f>
        <v>137379</v>
      </c>
      <c r="S44" s="141">
        <f>+'NCES-Private Grads-all races'!S45+'NCES-Public Grads-all races'!W46</f>
        <v>137324.77777777778</v>
      </c>
      <c r="T44" s="141">
        <f>+'NCES-Private Grads-all races'!T45+'NCES-Public Grads-all races'!X46</f>
        <v>133872.55555555556</v>
      </c>
      <c r="U44" s="141">
        <f>+'NCES-Private Grads-all races'!U45+'NCES-Public Grads-all races'!Y46</f>
        <v>125682.33333333333</v>
      </c>
      <c r="V44" s="141">
        <f>+'NCES-Private Grads-all races'!V45+'NCES-Public Grads-all races'!Z46</f>
        <v>121548.11111111111</v>
      </c>
      <c r="W44" s="141">
        <f>+'NCES-Private Grads-all races'!W45+'NCES-Public Grads-all races'!AA46</f>
        <v>118419.88888888889</v>
      </c>
      <c r="X44" s="141">
        <f>+'NCES-Private Grads-all races'!X45+'NCES-Public Grads-all races'!AB46</f>
        <v>113443.66666666666</v>
      </c>
      <c r="Y44" s="141">
        <f>+'NCES-Private Grads-all races'!Y45+'NCES-Public Grads-all races'!AC46</f>
        <v>115016.44444444444</v>
      </c>
      <c r="Z44" s="141">
        <f>+'NCES-Private Grads-all races'!Z45+'NCES-Public Grads-all races'!AD46</f>
        <v>118332.22222222222</v>
      </c>
      <c r="AA44" s="141">
        <f>+'NCES-Private Grads-all races'!AA45+'NCES-Public Grads-all races'!AE46</f>
        <v>113855</v>
      </c>
      <c r="AB44" s="141">
        <f>+'NCES-Private Grads-all races'!AB45+'NCES-Public Grads-all races'!AF46</f>
        <v>104679.5</v>
      </c>
      <c r="AC44" s="141">
        <f>+'NCES-Private Grads-all races'!AC45+'NCES-Public Grads-all races'!AG46</f>
        <v>97908</v>
      </c>
      <c r="AD44" s="141">
        <f>+'NCES-Private Grads-all races'!AD45+'NCES-Public Grads-all races'!AH46</f>
        <v>97430</v>
      </c>
      <c r="AE44" s="141">
        <f>+'NCES-Private Grads-all races'!AE45+'NCES-Public Grads-all races'!AI46</f>
        <v>94227</v>
      </c>
      <c r="AF44" s="141">
        <f>+'NCES-Private Grads-all races'!AF45+'NCES-Public Grads-all races'!AJ46</f>
        <v>92250</v>
      </c>
      <c r="AG44" s="141">
        <f>+'NCES-Private Grads-all races'!AG45+'NCES-Public Grads-all races'!AK46</f>
        <v>93433</v>
      </c>
      <c r="AH44" s="141">
        <f>+'NCES-Private Grads-all races'!AH45+'NCES-Public Grads-all races'!AL46</f>
        <v>94264</v>
      </c>
      <c r="AI44" s="141">
        <f>+'NCES-Private Grads-all races'!AI45+'NCES-Public Grads-all races'!AM46</f>
        <v>98581</v>
      </c>
      <c r="AJ44" s="141">
        <f>+'NCES-Private Grads-all races'!AJ45+'NCES-Public Grads-all races'!AN46</f>
        <v>101732</v>
      </c>
      <c r="AK44" s="141">
        <f>+'NCES-Private Grads-all races'!AK45+'NCES-Public Grads-all races'!AO46</f>
        <v>103239</v>
      </c>
      <c r="AL44" s="141">
        <f>+'NCES-Private Grads-all races'!AL45+'NCES-Public Grads-all races'!AP46</f>
        <v>107695</v>
      </c>
      <c r="AM44" s="141">
        <f>+'NCES-Private Grads-all races'!AM45+'NCES-Public Grads-all races'!AQ46</f>
        <v>105741</v>
      </c>
      <c r="AN44" s="141">
        <f>+'NCES-Private Grads-all races'!AN45+'NCES-Public Grads-all races'!AR46</f>
        <v>104274</v>
      </c>
      <c r="AO44" s="141">
        <f>+'NCES-Private Grads-all races'!AO45+'NCES-Public Grads-all races'!AS46</f>
        <v>109621</v>
      </c>
      <c r="AP44" s="141">
        <f>+'NCES-Private Grads-all races'!AP45+'NCES-Public Grads-all races'!AT46</f>
        <v>107508</v>
      </c>
      <c r="AQ44" s="141">
        <f>+'NCES-Private Grads-all races'!AQ45+'NCES-Public Grads-all races'!AU46</f>
        <v>109632</v>
      </c>
      <c r="AR44" s="141">
        <f>+'NCES-Private Grads-all races'!AR45+'NCES-Public Grads-all races'!AV46</f>
        <v>110867</v>
      </c>
      <c r="AS44" s="141">
        <f>+'NCES-Private Grads-all races'!AS45+'NCES-Public Grads-all races'!AW46</f>
        <v>120358</v>
      </c>
      <c r="AT44" s="141">
        <f>+'NCES-Private Grads-all races'!AT45+'NCES-Public Grads-all races'!AX46</f>
        <v>123703</v>
      </c>
      <c r="AU44" s="141">
        <f>+'NCES-Private Grads-all races'!AU45+'NCES-Public Grads-all races'!AY46</f>
        <v>121262</v>
      </c>
      <c r="AV44" s="141">
        <f>+'NCES-Private Grads-all races'!AV45+'NCES-Public Grads-all races'!AZ46</f>
        <v>118587</v>
      </c>
      <c r="AW44" s="141">
        <f>+'NCES-Private Grads-all races'!AW45+'NCES-Public Grads-all races'!BA46</f>
        <v>113307</v>
      </c>
      <c r="AX44" s="141">
        <f>+'NCES-Private Grads-all races'!AX45+'NCES-Public Grads-all races'!BB46</f>
        <v>113996</v>
      </c>
      <c r="AY44" s="141">
        <f>+'NCES-Private Grads-all races'!AY45+'NCES-Public Grads-all races'!BC46</f>
        <v>114020</v>
      </c>
      <c r="AZ44" s="141">
        <f>+'NCES-Private Grads-all races'!AZ45+'NCES-Public Grads-all races'!BD46</f>
        <v>108068.29399999999</v>
      </c>
      <c r="BA44" s="141">
        <f>+'NCES-Private Grads-all races'!BA45+'NCES-Public Grads-all races'!BE46</f>
        <v>108750.11199999999</v>
      </c>
      <c r="BB44" s="141">
        <f>+'NCES-Private Grads-all races'!BB45+'NCES-Public Grads-all races'!BF46</f>
        <v>106654.29300000001</v>
      </c>
      <c r="BC44" s="141">
        <f>+'NCES-Private Grads-all races'!BC45+'NCES-Public Grads-all races'!BG46</f>
        <v>110216</v>
      </c>
      <c r="BD44" s="141">
        <f>+'NCES-Private Grads-all races'!BD45+'NCES-Public Grads-all races'!BH46</f>
        <v>112240</v>
      </c>
      <c r="BE44" s="141">
        <f>+'NCES-Private Grads-all races'!BE45+'NCES-Public Grads-all races'!BI46</f>
        <v>111798</v>
      </c>
      <c r="BF44" s="140">
        <f>+'NCES-Private Grads-all races'!BF45+'NCES-Public Grads-all races'!BJ46</f>
        <v>108160</v>
      </c>
    </row>
    <row r="45" spans="1:58">
      <c r="A45" s="164" t="s">
        <v>70</v>
      </c>
      <c r="B45" s="141">
        <f>+'NCES-Private Grads-all races'!B46+'NCES-Public Grads-all races'!F47</f>
        <v>52215</v>
      </c>
      <c r="C45" s="141">
        <f>+'NCES-Private Grads-all races'!C46+'NCES-Public Grads-all races'!G47</f>
        <v>59743</v>
      </c>
      <c r="D45" s="141">
        <f>+'NCES-Private Grads-all races'!D46+'NCES-Public Grads-all races'!H47</f>
        <v>61164.685714285719</v>
      </c>
      <c r="E45" s="141">
        <f>+'NCES-Private Grads-all races'!E46+'NCES-Public Grads-all races'!I47</f>
        <v>62586.37142857143</v>
      </c>
      <c r="F45" s="141">
        <f>+'NCES-Private Grads-all races'!F46+'NCES-Public Grads-all races'!J47</f>
        <v>64008.057142857149</v>
      </c>
      <c r="G45" s="141">
        <f>+'NCES-Private Grads-all races'!G46+'NCES-Public Grads-all races'!K47</f>
        <v>65429.742857142861</v>
      </c>
      <c r="H45" s="141">
        <f>+'NCES-Private Grads-all races'!H46+'NCES-Public Grads-all races'!L47</f>
        <v>66851.42857142858</v>
      </c>
      <c r="I45" s="141">
        <f>+'NCES-Private Grads-all races'!I46+'NCES-Public Grads-all races'!M47</f>
        <v>67351.71428571429</v>
      </c>
      <c r="J45" s="141">
        <f>+'NCES-Private Grads-all races'!J46+'NCES-Public Grads-all races'!N47</f>
        <v>69535</v>
      </c>
      <c r="K45" s="141">
        <f>+'NCES-Private Grads-all races'!K46+'NCES-Public Grads-all races'!O47</f>
        <v>69794</v>
      </c>
      <c r="L45" s="141">
        <f>+'NCES-Private Grads-all races'!L46+'NCES-Public Grads-all races'!P47</f>
        <v>70381</v>
      </c>
      <c r="M45" s="141">
        <f>+'NCES-Private Grads-all races'!M46+'NCES-Public Grads-all races'!Q47</f>
        <v>71335</v>
      </c>
      <c r="N45" s="141">
        <f>+'NCES-Private Grads-all races'!N46+'NCES-Public Grads-all races'!R47</f>
        <v>71424</v>
      </c>
      <c r="O45" s="141">
        <f>+'NCES-Private Grads-all races'!O46+'NCES-Public Grads-all races'!S47</f>
        <v>73166</v>
      </c>
      <c r="P45" s="141">
        <f>+'NCES-Private Grads-all races'!P46+'NCES-Public Grads-all races'!T47</f>
        <v>72276</v>
      </c>
      <c r="Q45" s="141">
        <f>+'NCES-Private Grads-all races'!Q46+'NCES-Public Grads-all races'!U47</f>
        <v>70698</v>
      </c>
      <c r="R45" s="141">
        <f>+'NCES-Private Grads-all races'!R46+'NCES-Public Grads-all races'!V47</f>
        <v>69311</v>
      </c>
      <c r="S45" s="141">
        <f>+'NCES-Private Grads-all races'!S46+'NCES-Public Grads-all races'!W47</f>
        <v>68600.555555555562</v>
      </c>
      <c r="T45" s="141">
        <f>+'NCES-Private Grads-all races'!T46+'NCES-Public Grads-all races'!X47</f>
        <v>66611.111111111109</v>
      </c>
      <c r="U45" s="141">
        <f>+'NCES-Private Grads-all races'!U46+'NCES-Public Grads-all races'!Y47</f>
        <v>63512.666666666664</v>
      </c>
      <c r="V45" s="141">
        <f>+'NCES-Private Grads-all races'!V46+'NCES-Public Grads-all races'!Z47</f>
        <v>59905.222222222219</v>
      </c>
      <c r="W45" s="141">
        <f>+'NCES-Private Grads-all races'!W46+'NCES-Public Grads-all races'!AA47</f>
        <v>57912.777777777781</v>
      </c>
      <c r="X45" s="141">
        <f>+'NCES-Private Grads-all races'!X46+'NCES-Public Grads-all races'!AB47</f>
        <v>56580.333333333336</v>
      </c>
      <c r="Y45" s="141">
        <f>+'NCES-Private Grads-all races'!Y46+'NCES-Public Grads-all races'!AC47</f>
        <v>58156.888888888891</v>
      </c>
      <c r="Z45" s="141">
        <f>+'NCES-Private Grads-all races'!Z46+'NCES-Public Grads-all races'!AD47</f>
        <v>59300.444444444445</v>
      </c>
      <c r="AA45" s="141">
        <f>+'NCES-Private Grads-all races'!AA46+'NCES-Public Grads-all races'!AE47</f>
        <v>57809</v>
      </c>
      <c r="AB45" s="141">
        <f>+'NCES-Private Grads-all races'!AB46+'NCES-Public Grads-all races'!AF47</f>
        <v>53338</v>
      </c>
      <c r="AC45" s="141">
        <f>+'NCES-Private Grads-all races'!AC46+'NCES-Public Grads-all races'!AG47</f>
        <v>50289</v>
      </c>
      <c r="AD45" s="141">
        <f>+'NCES-Private Grads-all races'!AD46+'NCES-Public Grads-all races'!AH47</f>
        <v>50043</v>
      </c>
      <c r="AE45" s="141">
        <f>+'NCES-Private Grads-all races'!AE46+'NCES-Public Grads-all races'!AI47</f>
        <v>51455</v>
      </c>
      <c r="AF45" s="141">
        <f>+'NCES-Private Grads-all races'!AF46+'NCES-Public Grads-all races'!AJ47</f>
        <v>50927</v>
      </c>
      <c r="AG45" s="141">
        <f>+'NCES-Private Grads-all races'!AG46+'NCES-Public Grads-all races'!AK47</f>
        <v>52727</v>
      </c>
      <c r="AH45" s="141">
        <f>+'NCES-Private Grads-all races'!AH46+'NCES-Public Grads-all races'!AL47</f>
        <v>53638</v>
      </c>
      <c r="AI45" s="141">
        <f>+'NCES-Private Grads-all races'!AI46+'NCES-Public Grads-all races'!AM47</f>
        <v>51803</v>
      </c>
      <c r="AJ45" s="141">
        <f>+'NCES-Private Grads-all races'!AJ46+'NCES-Public Grads-all races'!AN47</f>
        <v>58438</v>
      </c>
      <c r="AK45" s="141">
        <f>+'NCES-Private Grads-all races'!AK46+'NCES-Public Grads-all races'!AO47</f>
        <v>60974</v>
      </c>
      <c r="AL45" s="141">
        <f>+'NCES-Private Grads-all races'!AL46+'NCES-Public Grads-all races'!AP47</f>
        <v>60960</v>
      </c>
      <c r="AM45" s="141">
        <f>+'NCES-Private Grads-all races'!AM46+'NCES-Public Grads-all races'!AQ47</f>
        <v>61144</v>
      </c>
      <c r="AN45" s="141">
        <f>+'NCES-Private Grads-all races'!AN46+'NCES-Public Grads-all races'!AR47</f>
        <v>62096.5</v>
      </c>
      <c r="AO45" s="141">
        <f>+'NCES-Private Grads-all races'!AO46+'NCES-Public Grads-all races'!AS47</f>
        <v>64182</v>
      </c>
      <c r="AP45" s="141">
        <f>+'NCES-Private Grads-all races'!AP46+'NCES-Public Grads-all races'!AT47</f>
        <v>63606</v>
      </c>
      <c r="AQ45" s="141">
        <f>+'NCES-Private Grads-all races'!AQ46+'NCES-Public Grads-all races'!AU47</f>
        <v>62661</v>
      </c>
      <c r="AR45" s="141">
        <f>+'NCES-Private Grads-all races'!AR46+'NCES-Public Grads-all races'!AV47</f>
        <v>63498</v>
      </c>
      <c r="AS45" s="141">
        <f>+'NCES-Private Grads-all races'!AS46+'NCES-Public Grads-all races'!AW47</f>
        <v>64427</v>
      </c>
      <c r="AT45" s="141">
        <f>+'NCES-Private Grads-all races'!AT46+'NCES-Public Grads-all races'!AX47</f>
        <v>64994</v>
      </c>
      <c r="AU45" s="141">
        <f>+'NCES-Private Grads-all races'!AU46+'NCES-Public Grads-all races'!AY47</f>
        <v>63969</v>
      </c>
      <c r="AV45" s="141">
        <f>+'NCES-Private Grads-all races'!AV46+'NCES-Public Grads-all races'!AZ47</f>
        <v>64142</v>
      </c>
      <c r="AW45" s="141">
        <f>+'NCES-Private Grads-all races'!AW46+'NCES-Public Grads-all races'!BA47</f>
        <v>64067</v>
      </c>
      <c r="AX45" s="141">
        <f>+'NCES-Private Grads-all races'!AX46+'NCES-Public Grads-all races'!BB47</f>
        <v>62051</v>
      </c>
      <c r="AY45" s="141">
        <f>+'NCES-Private Grads-all races'!AY46+'NCES-Public Grads-all races'!BC47</f>
        <v>62645</v>
      </c>
      <c r="AZ45" s="141">
        <f>+'NCES-Private Grads-all races'!AZ46+'NCES-Public Grads-all races'!BD47</f>
        <v>57950.844000000005</v>
      </c>
      <c r="BA45" s="141">
        <f>+'NCES-Private Grads-all races'!BA46+'NCES-Public Grads-all races'!BE47</f>
        <v>58695.302000000003</v>
      </c>
      <c r="BB45" s="141">
        <f>+'NCES-Private Grads-all races'!BB46+'NCES-Public Grads-all races'!BF47</f>
        <v>59391.500000000007</v>
      </c>
      <c r="BC45" s="141">
        <f>+'NCES-Private Grads-all races'!BC46+'NCES-Public Grads-all races'!BG47</f>
        <v>64573</v>
      </c>
      <c r="BD45" s="141">
        <f>+'NCES-Private Grads-all races'!BD46+'NCES-Public Grads-all races'!BH47</f>
        <v>66430</v>
      </c>
      <c r="BE45" s="141">
        <f>+'NCES-Private Grads-all races'!BE46+'NCES-Public Grads-all races'!BI47</f>
        <v>68570</v>
      </c>
      <c r="BF45" s="140">
        <f>+'NCES-Private Grads-all races'!BF46+'NCES-Public Grads-all races'!BJ47</f>
        <v>67840</v>
      </c>
    </row>
    <row r="46" spans="1:58">
      <c r="A46" s="164" t="s">
        <v>71</v>
      </c>
      <c r="B46" s="141">
        <f>+'NCES-Private Grads-all races'!B47+'NCES-Public Grads-all races'!F48</f>
        <v>50088</v>
      </c>
      <c r="C46" s="141">
        <f>+'NCES-Private Grads-all races'!C47+'NCES-Public Grads-all races'!G48</f>
        <v>59141</v>
      </c>
      <c r="D46" s="141">
        <f>+'NCES-Private Grads-all races'!D47+'NCES-Public Grads-all races'!H48</f>
        <v>59954.657142857148</v>
      </c>
      <c r="E46" s="141">
        <f>+'NCES-Private Grads-all races'!E47+'NCES-Public Grads-all races'!I48</f>
        <v>60768.314285714296</v>
      </c>
      <c r="F46" s="141">
        <f>+'NCES-Private Grads-all races'!F47+'NCES-Public Grads-all races'!J48</f>
        <v>61581.971428571436</v>
      </c>
      <c r="G46" s="141">
        <f>+'NCES-Private Grads-all races'!G47+'NCES-Public Grads-all races'!K48</f>
        <v>62395.628571428584</v>
      </c>
      <c r="H46" s="141">
        <f>+'NCES-Private Grads-all races'!H47+'NCES-Public Grads-all races'!L48</f>
        <v>63209.285714285717</v>
      </c>
      <c r="I46" s="141">
        <f>+'NCES-Private Grads-all races'!I47+'NCES-Public Grads-all races'!M48</f>
        <v>65319.142857142855</v>
      </c>
      <c r="J46" s="141">
        <f>+'NCES-Private Grads-all races'!J47+'NCES-Public Grads-all races'!N48</f>
        <v>66776</v>
      </c>
      <c r="K46" s="141">
        <f>+'NCES-Private Grads-all races'!K47+'NCES-Public Grads-all races'!O48</f>
        <v>67968</v>
      </c>
      <c r="L46" s="141">
        <f>+'NCES-Private Grads-all races'!L47+'NCES-Public Grads-all races'!P48</f>
        <v>70083</v>
      </c>
      <c r="M46" s="141">
        <f>+'NCES-Private Grads-all races'!M47+'NCES-Public Grads-all races'!Q48</f>
        <v>71375</v>
      </c>
      <c r="N46" s="141">
        <f>+'NCES-Private Grads-all races'!N47+'NCES-Public Grads-all races'!R48</f>
        <v>71942</v>
      </c>
      <c r="O46" s="141">
        <f>+'NCES-Private Grads-all races'!O47+'NCES-Public Grads-all races'!S48</f>
        <v>72471</v>
      </c>
      <c r="P46" s="141">
        <f>+'NCES-Private Grads-all races'!P47+'NCES-Public Grads-all races'!T48</f>
        <v>72354.333333333328</v>
      </c>
      <c r="Q46" s="141">
        <f>+'NCES-Private Grads-all races'!Q47+'NCES-Public Grads-all races'!U48</f>
        <v>71743.666666666672</v>
      </c>
      <c r="R46" s="141">
        <f>+'NCES-Private Grads-all races'!R47+'NCES-Public Grads-all races'!V48</f>
        <v>69636</v>
      </c>
      <c r="S46" s="141">
        <f>+'NCES-Private Grads-all races'!S47+'NCES-Public Grads-all races'!W48</f>
        <v>67708</v>
      </c>
      <c r="T46" s="141">
        <f>+'NCES-Private Grads-all races'!T47+'NCES-Public Grads-all races'!X48</f>
        <v>67199</v>
      </c>
      <c r="U46" s="141">
        <f>+'NCES-Private Grads-all races'!U47+'NCES-Public Grads-all races'!Y48</f>
        <v>63725</v>
      </c>
      <c r="V46" s="141">
        <f>+'NCES-Private Grads-all races'!V47+'NCES-Public Grads-all races'!Z48</f>
        <v>60671</v>
      </c>
      <c r="W46" s="141">
        <f>+'NCES-Private Grads-all races'!W47+'NCES-Public Grads-all races'!AA48</f>
        <v>58551</v>
      </c>
      <c r="X46" s="141">
        <f>+'NCES-Private Grads-all races'!X47+'NCES-Public Grads-all races'!AB48</f>
        <v>56443</v>
      </c>
      <c r="Y46" s="141">
        <f>+'NCES-Private Grads-all races'!Y47+'NCES-Public Grads-all races'!AC48</f>
        <v>58057</v>
      </c>
      <c r="Z46" s="141">
        <f>+'NCES-Private Grads-all races'!Z47+'NCES-Public Grads-all races'!AD48</f>
        <v>58511</v>
      </c>
      <c r="AA46" s="141">
        <f>+'NCES-Private Grads-all races'!AA47+'NCES-Public Grads-all races'!AE48</f>
        <v>59141</v>
      </c>
      <c r="AB46" s="141">
        <f>+'NCES-Private Grads-all races'!AB47+'NCES-Public Grads-all races'!AF48</f>
        <v>55472</v>
      </c>
      <c r="AC46" s="141">
        <f>+'NCES-Private Grads-all races'!AC47+'NCES-Public Grads-all races'!AG48</f>
        <v>52785</v>
      </c>
      <c r="AD46" s="141">
        <f>+'NCES-Private Grads-all races'!AD47+'NCES-Public Grads-all races'!AH48</f>
        <v>52413</v>
      </c>
      <c r="AE46" s="141">
        <f>+'NCES-Private Grads-all races'!AE47+'NCES-Public Grads-all races'!AI48</f>
        <v>52703</v>
      </c>
      <c r="AF46" s="141">
        <f>+'NCES-Private Grads-all races'!AF47+'NCES-Public Grads-all races'!AJ48</f>
        <v>52432.5</v>
      </c>
      <c r="AG46" s="141">
        <f>+'NCES-Private Grads-all races'!AG47+'NCES-Public Grads-all races'!AK48</f>
        <v>54756</v>
      </c>
      <c r="AH46" s="141">
        <f>+'NCES-Private Grads-all races'!AH47+'NCES-Public Grads-all races'!AL48</f>
        <v>54863</v>
      </c>
      <c r="AI46" s="141">
        <f>+'NCES-Private Grads-all races'!AI47+'NCES-Public Grads-all races'!AM48</f>
        <v>56757</v>
      </c>
      <c r="AJ46" s="141">
        <f>+'NCES-Private Grads-all races'!AJ47+'NCES-Public Grads-all races'!AN48</f>
        <v>58627.5</v>
      </c>
      <c r="AK46" s="141">
        <f>+'NCES-Private Grads-all races'!AK47+'NCES-Public Grads-all races'!AO48</f>
        <v>59382</v>
      </c>
      <c r="AL46" s="141">
        <f>+'NCES-Private Grads-all races'!AL47+'NCES-Public Grads-all races'!AP48</f>
        <v>59084</v>
      </c>
      <c r="AM46" s="141">
        <f>+'NCES-Private Grads-all races'!AM47+'NCES-Public Grads-all races'!AQ48</f>
        <v>61021</v>
      </c>
      <c r="AN46" s="141">
        <f>+'NCES-Private Grads-all races'!AN47+'NCES-Public Grads-all races'!AR48</f>
        <v>61763.5</v>
      </c>
      <c r="AO46" s="141">
        <f>+'NCES-Private Grads-all races'!AO47+'NCES-Public Grads-all races'!AS48</f>
        <v>64595</v>
      </c>
      <c r="AP46" s="141">
        <f>+'NCES-Private Grads-all races'!AP47+'NCES-Public Grads-all races'!AT48</f>
        <v>65993</v>
      </c>
      <c r="AQ46" s="141">
        <f>+'NCES-Private Grads-all races'!AQ47+'NCES-Public Grads-all races'!AU48</f>
        <v>66191</v>
      </c>
      <c r="AR46" s="141">
        <f>+'NCES-Private Grads-all races'!AR47+'NCES-Public Grads-all races'!AV48</f>
        <v>66257</v>
      </c>
      <c r="AS46" s="141">
        <f>+'NCES-Private Grads-all races'!AS47+'NCES-Public Grads-all races'!AW48</f>
        <v>67605</v>
      </c>
      <c r="AT46" s="141">
        <f>+'NCES-Private Grads-all races'!AT47+'NCES-Public Grads-all races'!AX48</f>
        <v>68902</v>
      </c>
      <c r="AU46" s="141">
        <f>+'NCES-Private Grads-all races'!AU47+'NCES-Public Grads-all races'!AY48</f>
        <v>70009</v>
      </c>
      <c r="AV46" s="141">
        <f>+'NCES-Private Grads-all races'!AV47+'NCES-Public Grads-all races'!AZ48</f>
        <v>71279</v>
      </c>
      <c r="AW46" s="141">
        <f>+'NCES-Private Grads-all races'!AW47+'NCES-Public Grads-all races'!BA48</f>
        <v>70524</v>
      </c>
      <c r="AX46" s="141">
        <f>+'NCES-Private Grads-all races'!AX47+'NCES-Public Grads-all races'!BB48</f>
        <v>68948</v>
      </c>
      <c r="AY46" s="141">
        <f>+'NCES-Private Grads-all races'!AY47+'NCES-Public Grads-all races'!BC48</f>
        <v>69147</v>
      </c>
      <c r="AZ46" s="141">
        <f>+'NCES-Private Grads-all races'!AZ47+'NCES-Public Grads-all races'!BD48</f>
        <v>67043.929000000004</v>
      </c>
      <c r="BA46" s="141">
        <f>+'NCES-Private Grads-all races'!BA47+'NCES-Public Grads-all races'!BE48</f>
        <v>66958.608000000007</v>
      </c>
      <c r="BB46" s="141">
        <f>+'NCES-Private Grads-all races'!BB47+'NCES-Public Grads-all races'!BF48</f>
        <v>68019.66</v>
      </c>
      <c r="BC46" s="141">
        <f>+'NCES-Private Grads-all races'!BC47+'NCES-Public Grads-all races'!BG48</f>
        <v>69559</v>
      </c>
      <c r="BD46" s="141">
        <f>+'NCES-Private Grads-all races'!BD47+'NCES-Public Grads-all races'!BH48</f>
        <v>70196</v>
      </c>
      <c r="BE46" s="141">
        <f>+'NCES-Private Grads-all races'!BE47+'NCES-Public Grads-all races'!BI48</f>
        <v>71391</v>
      </c>
      <c r="BF46" s="140">
        <f>+'NCES-Private Grads-all races'!BF47+'NCES-Public Grads-all races'!BJ48</f>
        <v>70660</v>
      </c>
    </row>
    <row r="47" spans="1:58">
      <c r="A47" s="164" t="s">
        <v>72</v>
      </c>
      <c r="B47" s="141">
        <f>+'NCES-Private Grads-all races'!B48+'NCES-Public Grads-all races'!F49</f>
        <v>18654</v>
      </c>
      <c r="C47" s="141">
        <f>+'NCES-Private Grads-all races'!C48+'NCES-Public Grads-all races'!G49</f>
        <v>22276</v>
      </c>
      <c r="D47" s="141">
        <f>+'NCES-Private Grads-all races'!D48+'NCES-Public Grads-all races'!H49</f>
        <v>22613.371428571427</v>
      </c>
      <c r="E47" s="141">
        <f>+'NCES-Private Grads-all races'!E48+'NCES-Public Grads-all races'!I49</f>
        <v>22950.742857142854</v>
      </c>
      <c r="F47" s="141">
        <f>+'NCES-Private Grads-all races'!F48+'NCES-Public Grads-all races'!J49</f>
        <v>23288.114285714284</v>
      </c>
      <c r="G47" s="141">
        <f>+'NCES-Private Grads-all races'!G48+'NCES-Public Grads-all races'!K49</f>
        <v>23625.485714285711</v>
      </c>
      <c r="H47" s="141">
        <f>+'NCES-Private Grads-all races'!H48+'NCES-Public Grads-all races'!L49</f>
        <v>23962.857142857141</v>
      </c>
      <c r="I47" s="141">
        <f>+'NCES-Private Grads-all races'!I48+'NCES-Public Grads-all races'!M49</f>
        <v>24151.428571428572</v>
      </c>
      <c r="J47" s="141">
        <f>+'NCES-Private Grads-all races'!J48+'NCES-Public Grads-all races'!N49</f>
        <v>24520</v>
      </c>
      <c r="K47" s="141">
        <f>+'NCES-Private Grads-all races'!K48+'NCES-Public Grads-all races'!O49</f>
        <v>25259</v>
      </c>
      <c r="L47" s="141">
        <f>+'NCES-Private Grads-all races'!L48+'NCES-Public Grads-all races'!P49</f>
        <v>25076</v>
      </c>
      <c r="M47" s="141">
        <f>+'NCES-Private Grads-all races'!M48+'NCES-Public Grads-all races'!Q49</f>
        <v>24949</v>
      </c>
      <c r="N47" s="141">
        <f>+'NCES-Private Grads-all races'!N48+'NCES-Public Grads-all races'!R49</f>
        <v>25237</v>
      </c>
      <c r="O47" s="141">
        <f>+'NCES-Private Grads-all races'!O48+'NCES-Public Grads-all races'!S49</f>
        <v>26067</v>
      </c>
      <c r="P47" s="141">
        <f>+'NCES-Private Grads-all races'!P48+'NCES-Public Grads-all races'!T49</f>
        <v>26269.333333333332</v>
      </c>
      <c r="Q47" s="141">
        <f>+'NCES-Private Grads-all races'!Q48+'NCES-Public Grads-all races'!U49</f>
        <v>26041.666666666668</v>
      </c>
      <c r="R47" s="141">
        <f>+'NCES-Private Grads-all races'!R48+'NCES-Public Grads-all races'!V49</f>
        <v>25252</v>
      </c>
      <c r="S47" s="141">
        <f>+'NCES-Private Grads-all races'!S48+'NCES-Public Grads-all races'!W49</f>
        <v>24149.666666666668</v>
      </c>
      <c r="T47" s="141">
        <f>+'NCES-Private Grads-all races'!T48+'NCES-Public Grads-all races'!X49</f>
        <v>23662.333333333332</v>
      </c>
      <c r="U47" s="141">
        <f>+'NCES-Private Grads-all races'!U48+'NCES-Public Grads-all races'!Y49</f>
        <v>22518</v>
      </c>
      <c r="V47" s="141">
        <f>+'NCES-Private Grads-all races'!V48+'NCES-Public Grads-all races'!Z49</f>
        <v>21102.666666666664</v>
      </c>
      <c r="W47" s="141">
        <f>+'NCES-Private Grads-all races'!W48+'NCES-Public Grads-all races'!AA49</f>
        <v>20361.333333333332</v>
      </c>
      <c r="X47" s="141">
        <f>+'NCES-Private Grads-all races'!X48+'NCES-Public Grads-all races'!AB49</f>
        <v>20067</v>
      </c>
      <c r="Y47" s="141">
        <f>+'NCES-Private Grads-all races'!Y48+'NCES-Public Grads-all races'!AC49</f>
        <v>20247.666666666664</v>
      </c>
      <c r="Z47" s="141">
        <f>+'NCES-Private Grads-all races'!Z48+'NCES-Public Grads-all races'!AD49</f>
        <v>20315.333333333332</v>
      </c>
      <c r="AA47" s="141">
        <f>+'NCES-Private Grads-all races'!AA48+'NCES-Public Grads-all races'!AE49</f>
        <v>20602</v>
      </c>
      <c r="AB47" s="141">
        <f>+'NCES-Private Grads-all races'!AB48+'NCES-Public Grads-all races'!AF49</f>
        <v>19617.5</v>
      </c>
      <c r="AC47" s="141">
        <f>+'NCES-Private Grads-all races'!AC48+'NCES-Public Grads-all races'!AG49</f>
        <v>18495</v>
      </c>
      <c r="AD47" s="141">
        <f>+'NCES-Private Grads-all races'!AD48+'NCES-Public Grads-all races'!AH49</f>
        <v>19052</v>
      </c>
      <c r="AE47" s="141">
        <f>+'NCES-Private Grads-all races'!AE48+'NCES-Public Grads-all races'!AI49</f>
        <v>19473</v>
      </c>
      <c r="AF47" s="141">
        <f>+'NCES-Private Grads-all races'!AF48+'NCES-Public Grads-all races'!AJ49</f>
        <v>18915.5</v>
      </c>
      <c r="AG47" s="141">
        <f>+'NCES-Private Grads-all races'!AG48+'NCES-Public Grads-all races'!AK49</f>
        <v>19752</v>
      </c>
      <c r="AH47" s="141">
        <f>+'NCES-Private Grads-all races'!AH48+'NCES-Public Grads-all races'!AL49</f>
        <v>19788</v>
      </c>
      <c r="AI47" s="141">
        <f>+'NCES-Private Grads-all races'!AI48+'NCES-Public Grads-all races'!AM49</f>
        <v>20596</v>
      </c>
      <c r="AJ47" s="141">
        <f>+'NCES-Private Grads-all races'!AJ48+'NCES-Public Grads-all races'!AN49</f>
        <v>21850.5</v>
      </c>
      <c r="AK47" s="141">
        <f>+'NCES-Private Grads-all races'!AK48+'NCES-Public Grads-all races'!AO49</f>
        <v>22853</v>
      </c>
      <c r="AL47" s="141">
        <f>+'NCES-Private Grads-all races'!AL48+'NCES-Public Grads-all races'!AP49</f>
        <v>22204</v>
      </c>
      <c r="AM47" s="141">
        <f>+'NCES-Private Grads-all races'!AM48+'NCES-Public Grads-all races'!AQ49</f>
        <v>22033</v>
      </c>
      <c r="AN47" s="141">
        <f>+'NCES-Private Grads-all races'!AN48+'NCES-Public Grads-all races'!AR49</f>
        <v>22277.5</v>
      </c>
      <c r="AO47" s="141">
        <f>+'NCES-Private Grads-all races'!AO48+'NCES-Public Grads-all races'!AS49</f>
        <v>22521</v>
      </c>
      <c r="AP47" s="141">
        <f>+'NCES-Private Grads-all races'!AP48+'NCES-Public Grads-all races'!AT49</f>
        <v>22624</v>
      </c>
      <c r="AQ47" s="141">
        <f>+'NCES-Private Grads-all races'!AQ48+'NCES-Public Grads-all races'!AU49</f>
        <v>22210</v>
      </c>
      <c r="AR47" s="141">
        <f>+'NCES-Private Grads-all races'!AR48+'NCES-Public Grads-all races'!AV49</f>
        <v>21979</v>
      </c>
      <c r="AS47" s="141">
        <f>+'NCES-Private Grads-all races'!AS48+'NCES-Public Grads-all races'!AW49</f>
        <v>22033</v>
      </c>
      <c r="AT47" s="141">
        <f>+'NCES-Private Grads-all races'!AT48+'NCES-Public Grads-all races'!AX49</f>
        <v>22115</v>
      </c>
      <c r="AU47" s="141">
        <f>+'NCES-Private Grads-all races'!AU48+'NCES-Public Grads-all races'!AY49</f>
        <v>21501</v>
      </c>
      <c r="AV47" s="141">
        <f>+'NCES-Private Grads-all races'!AV48+'NCES-Public Grads-all races'!AZ49</f>
        <v>21520</v>
      </c>
      <c r="AW47" s="141">
        <f>+'NCES-Private Grads-all races'!AW48+'NCES-Public Grads-all races'!BA49</f>
        <v>22631</v>
      </c>
      <c r="AX47" s="141">
        <f>+'NCES-Private Grads-all races'!AX48+'NCES-Public Grads-all races'!BB49</f>
        <v>22804</v>
      </c>
      <c r="AY47" s="141">
        <f>+'NCES-Private Grads-all races'!AY48+'NCES-Public Grads-all races'!BC49</f>
        <v>22822</v>
      </c>
      <c r="AZ47" s="141">
        <f>+'NCES-Private Grads-all races'!AZ48+'NCES-Public Grads-all races'!BD49</f>
        <v>21924.368000000002</v>
      </c>
      <c r="BA47" s="141">
        <f>+'NCES-Private Grads-all races'!BA48+'NCES-Public Grads-all races'!BE49</f>
        <v>21891.761999999999</v>
      </c>
      <c r="BB47" s="141">
        <f>+'NCES-Private Grads-all races'!BB48+'NCES-Public Grads-all races'!BF49</f>
        <v>22855.469000000001</v>
      </c>
      <c r="BC47" s="141">
        <f>+'NCES-Private Grads-all races'!BC48+'NCES-Public Grads-all races'!BG49</f>
        <v>24675</v>
      </c>
      <c r="BD47" s="141">
        <f>+'NCES-Private Grads-all races'!BD48+'NCES-Public Grads-all races'!BH49</f>
        <v>24327</v>
      </c>
      <c r="BE47" s="141">
        <f>+'NCES-Private Grads-all races'!BE48+'NCES-Public Grads-all races'!BI49</f>
        <v>24259</v>
      </c>
      <c r="BF47" s="140">
        <f>+'NCES-Private Grads-all races'!BF48+'NCES-Public Grads-all races'!BJ49</f>
        <v>24610</v>
      </c>
    </row>
    <row r="48" spans="1:58">
      <c r="A48" s="164" t="s">
        <v>73</v>
      </c>
      <c r="B48" s="141">
        <f>+'NCES-Private Grads-all races'!B49+'NCES-Public Grads-all races'!F50</f>
        <v>9664</v>
      </c>
      <c r="C48" s="141">
        <f>+'NCES-Private Grads-all races'!C49+'NCES-Public Grads-all races'!G50</f>
        <v>10456</v>
      </c>
      <c r="D48" s="141">
        <f>+'NCES-Private Grads-all races'!D49+'NCES-Public Grads-all races'!H50</f>
        <v>10818.8</v>
      </c>
      <c r="E48" s="141">
        <f>+'NCES-Private Grads-all races'!E49+'NCES-Public Grads-all races'!I50</f>
        <v>11181.599999999999</v>
      </c>
      <c r="F48" s="141">
        <f>+'NCES-Private Grads-all races'!F49+'NCES-Public Grads-all races'!J50</f>
        <v>11544.399999999998</v>
      </c>
      <c r="G48" s="141">
        <f>+'NCES-Private Grads-all races'!G49+'NCES-Public Grads-all races'!K50</f>
        <v>11907.199999999997</v>
      </c>
      <c r="H48" s="141">
        <f>+'NCES-Private Grads-all races'!H49+'NCES-Public Grads-all races'!L50</f>
        <v>12270</v>
      </c>
      <c r="I48" s="141">
        <f>+'NCES-Private Grads-all races'!I49+'NCES-Public Grads-all races'!M50</f>
        <v>12163</v>
      </c>
      <c r="J48" s="141">
        <f>+'NCES-Private Grads-all races'!J49+'NCES-Public Grads-all races'!N50</f>
        <v>11715</v>
      </c>
      <c r="K48" s="141">
        <f>+'NCES-Private Grads-all races'!K49+'NCES-Public Grads-all races'!O50</f>
        <v>11763</v>
      </c>
      <c r="L48" s="141">
        <f>+'NCES-Private Grads-all races'!L49+'NCES-Public Grads-all races'!P50</f>
        <v>12024</v>
      </c>
      <c r="M48" s="141">
        <f>+'NCES-Private Grads-all races'!M49+'NCES-Public Grads-all races'!Q50</f>
        <v>11390</v>
      </c>
      <c r="N48" s="141">
        <f>+'NCES-Private Grads-all races'!N49+'NCES-Public Grads-all races'!R50</f>
        <v>11571</v>
      </c>
      <c r="O48" s="141">
        <f>+'NCES-Private Grads-all races'!O49+'NCES-Public Grads-all races'!S50</f>
        <v>11639</v>
      </c>
      <c r="P48" s="141">
        <f>+'NCES-Private Grads-all races'!P49+'NCES-Public Grads-all races'!T50</f>
        <v>11297.333333333334</v>
      </c>
      <c r="Q48" s="141">
        <f>+'NCES-Private Grads-all races'!Q49+'NCES-Public Grads-all races'!U50</f>
        <v>11127.666666666666</v>
      </c>
      <c r="R48" s="141">
        <f>+'NCES-Private Grads-all races'!R49+'NCES-Public Grads-all races'!V50</f>
        <v>10642</v>
      </c>
      <c r="S48" s="141">
        <f>+'NCES-Private Grads-all races'!S49+'NCES-Public Grads-all races'!W50</f>
        <v>10611</v>
      </c>
      <c r="T48" s="141">
        <f>+'NCES-Private Grads-all races'!T49+'NCES-Public Grads-all races'!X50</f>
        <v>10164</v>
      </c>
      <c r="U48" s="141">
        <f>+'NCES-Private Grads-all races'!U49+'NCES-Public Grads-all races'!Y50</f>
        <v>9519</v>
      </c>
      <c r="V48" s="141">
        <f>+'NCES-Private Grads-all races'!V49+'NCES-Public Grads-all races'!Z50</f>
        <v>9175</v>
      </c>
      <c r="W48" s="141">
        <f>+'NCES-Private Grads-all races'!W49+'NCES-Public Grads-all races'!AA50</f>
        <v>8725</v>
      </c>
      <c r="X48" s="141">
        <f>+'NCES-Private Grads-all races'!X49+'NCES-Public Grads-all races'!AB50</f>
        <v>8162</v>
      </c>
      <c r="Y48" s="141">
        <f>+'NCES-Private Grads-all races'!Y49+'NCES-Public Grads-all races'!AC50</f>
        <v>8346</v>
      </c>
      <c r="Z48" s="141">
        <f>+'NCES-Private Grads-all races'!Z49+'NCES-Public Grads-all races'!AD50</f>
        <v>8930</v>
      </c>
      <c r="AA48" s="141">
        <f>+'NCES-Private Grads-all races'!AA49+'NCES-Public Grads-all races'!AE50</f>
        <v>8548</v>
      </c>
      <c r="AB48" s="141">
        <f>+'NCES-Private Grads-all races'!AB49+'NCES-Public Grads-all races'!AF50</f>
        <v>8121</v>
      </c>
      <c r="AC48" s="141">
        <f>+'NCES-Private Grads-all races'!AC49+'NCES-Public Grads-all races'!AG50</f>
        <v>7964</v>
      </c>
      <c r="AD48" s="141">
        <f>+'NCES-Private Grads-all races'!AD49+'NCES-Public Grads-all races'!AH50</f>
        <v>7829</v>
      </c>
      <c r="AE48" s="141">
        <f>+'NCES-Private Grads-all races'!AE49+'NCES-Public Grads-all races'!AI50</f>
        <v>7642</v>
      </c>
      <c r="AF48" s="141">
        <f>+'NCES-Private Grads-all races'!AF49+'NCES-Public Grads-all races'!AJ50</f>
        <v>7878.5</v>
      </c>
      <c r="AG48" s="141">
        <f>+'NCES-Private Grads-all races'!AG49+'NCES-Public Grads-all races'!AK50</f>
        <v>8198</v>
      </c>
      <c r="AH48" s="141">
        <f>+'NCES-Private Grads-all races'!AH49+'NCES-Public Grads-all races'!AL50</f>
        <v>8502</v>
      </c>
      <c r="AI48" s="141">
        <f>+'NCES-Private Grads-all races'!AI49+'NCES-Public Grads-all races'!AM50</f>
        <v>8455</v>
      </c>
      <c r="AJ48" s="141">
        <f>+'NCES-Private Grads-all races'!AJ49+'NCES-Public Grads-all races'!AN50</f>
        <v>8609</v>
      </c>
      <c r="AK48" s="141">
        <f>+'NCES-Private Grads-all races'!AK49+'NCES-Public Grads-all races'!AO50</f>
        <v>8836</v>
      </c>
      <c r="AL48" s="141">
        <f>+'NCES-Private Grads-all races'!AL49+'NCES-Public Grads-all races'!AP50</f>
        <v>9128</v>
      </c>
      <c r="AM48" s="141">
        <f>+'NCES-Private Grads-all races'!AM49+'NCES-Public Grads-all races'!AQ50</f>
        <v>8819</v>
      </c>
      <c r="AN48" s="141">
        <f>+'NCES-Private Grads-all races'!AN49+'NCES-Public Grads-all races'!AR50</f>
        <v>8531</v>
      </c>
      <c r="AO48" s="141">
        <f>+'NCES-Private Grads-all races'!AO49+'NCES-Public Grads-all races'!AS50</f>
        <v>8629</v>
      </c>
      <c r="AP48" s="141">
        <f>+'NCES-Private Grads-all races'!AP49+'NCES-Public Grads-all races'!AT50</f>
        <v>8328</v>
      </c>
      <c r="AQ48" s="141">
        <f>+'NCES-Private Grads-all races'!AQ49+'NCES-Public Grads-all races'!AU50</f>
        <v>7975</v>
      </c>
      <c r="AR48" s="141">
        <f>+'NCES-Private Grads-all races'!AR49+'NCES-Public Grads-all races'!AV50</f>
        <v>7607</v>
      </c>
      <c r="AS48" s="141">
        <f>+'NCES-Private Grads-all races'!AS49+'NCES-Public Grads-all races'!AW50</f>
        <v>7569</v>
      </c>
      <c r="AT48" s="141">
        <f>+'NCES-Private Grads-all races'!AT49+'NCES-Public Grads-all races'!AX50</f>
        <v>7429</v>
      </c>
      <c r="AU48" s="141">
        <f>+'NCES-Private Grads-all races'!AU49+'NCES-Public Grads-all races'!AY50</f>
        <v>7682</v>
      </c>
      <c r="AV48" s="141">
        <f>+'NCES-Private Grads-all races'!AV49+'NCES-Public Grads-all races'!AZ50</f>
        <v>7585</v>
      </c>
      <c r="AW48" s="141">
        <f>+'NCES-Private Grads-all races'!AW49+'NCES-Public Grads-all races'!BA50</f>
        <v>7566</v>
      </c>
      <c r="AX48" s="141">
        <f>+'NCES-Private Grads-all races'!AX49+'NCES-Public Grads-all races'!BB50</f>
        <v>7337</v>
      </c>
      <c r="AY48" s="141">
        <f>+'NCES-Private Grads-all races'!AY49+'NCES-Public Grads-all races'!BC50</f>
        <v>7280</v>
      </c>
      <c r="AZ48" s="141">
        <f>+'NCES-Private Grads-all races'!AZ49+'NCES-Public Grads-all races'!BD50</f>
        <v>6957.7280000000001</v>
      </c>
      <c r="BA48" s="141">
        <f>+'NCES-Private Grads-all races'!BA49+'NCES-Public Grads-all races'!BE50</f>
        <v>6926.4859999999999</v>
      </c>
      <c r="BB48" s="141" t="e">
        <f>+'NCES-Private Grads-all races'!BB49+'NCES-Public Grads-all races'!BF50</f>
        <v>#VALUE!</v>
      </c>
      <c r="BC48" s="141" t="e">
        <f>+'NCES-Private Grads-all races'!BC49+'NCES-Public Grads-all races'!BG50</f>
        <v>#VALUE!</v>
      </c>
      <c r="BD48" s="141">
        <f>+'NCES-Private Grads-all races'!BD49+'NCES-Public Grads-all races'!BH50</f>
        <v>7008</v>
      </c>
      <c r="BE48" s="141">
        <f>+'NCES-Private Grads-all races'!BE49+'NCES-Public Grads-all races'!BI50</f>
        <v>7260</v>
      </c>
      <c r="BF48" s="140">
        <f>+'NCES-Private Grads-all races'!BF49+'NCES-Public Grads-all races'!BJ50</f>
        <v>7250</v>
      </c>
    </row>
    <row r="49" spans="1:58">
      <c r="A49" s="164" t="s">
        <v>74</v>
      </c>
      <c r="B49" s="141">
        <f>+'NCES-Private Grads-all races'!B50+'NCES-Public Grads-all races'!F51</f>
        <v>123251</v>
      </c>
      <c r="C49" s="141">
        <f>+'NCES-Private Grads-all races'!C50+'NCES-Public Grads-all races'!G51</f>
        <v>147693</v>
      </c>
      <c r="D49" s="141">
        <f>+'NCES-Private Grads-all races'!D50+'NCES-Public Grads-all races'!H51</f>
        <v>150122.85714285713</v>
      </c>
      <c r="E49" s="141">
        <f>+'NCES-Private Grads-all races'!E50+'NCES-Public Grads-all races'!I51</f>
        <v>152552.71428571429</v>
      </c>
      <c r="F49" s="141">
        <f>+'NCES-Private Grads-all races'!F50+'NCES-Public Grads-all races'!J51</f>
        <v>154982.57142857142</v>
      </c>
      <c r="G49" s="141">
        <f>+'NCES-Private Grads-all races'!G50+'NCES-Public Grads-all races'!K51</f>
        <v>157412.42857142858</v>
      </c>
      <c r="H49" s="141">
        <f>+'NCES-Private Grads-all races'!H50+'NCES-Public Grads-all races'!L51</f>
        <v>159842.28571428571</v>
      </c>
      <c r="I49" s="141">
        <f>+'NCES-Private Grads-all races'!I50+'NCES-Public Grads-all races'!M51</f>
        <v>163173.14285714284</v>
      </c>
      <c r="J49" s="141">
        <f>+'NCES-Private Grads-all races'!J50+'NCES-Public Grads-all races'!N51</f>
        <v>168072</v>
      </c>
      <c r="K49" s="141">
        <f>+'NCES-Private Grads-all races'!K50+'NCES-Public Grads-all races'!O51</f>
        <v>171028</v>
      </c>
      <c r="L49" s="141">
        <f>+'NCES-Private Grads-all races'!L50+'NCES-Public Grads-all races'!P51</f>
        <v>172474</v>
      </c>
      <c r="M49" s="141">
        <f>+'NCES-Private Grads-all races'!M50+'NCES-Public Grads-all races'!Q51</f>
        <v>176879</v>
      </c>
      <c r="N49" s="141">
        <f>+'NCES-Private Grads-all races'!N50+'NCES-Public Grads-all races'!R51</f>
        <v>175583</v>
      </c>
      <c r="O49" s="141">
        <f>+'NCES-Private Grads-all races'!O50+'NCES-Public Grads-all races'!S51</f>
        <v>174220</v>
      </c>
      <c r="P49" s="141">
        <f>+'NCES-Private Grads-all races'!P50+'NCES-Public Grads-all races'!T51</f>
        <v>169246.66666666666</v>
      </c>
      <c r="Q49" s="141">
        <f>+'NCES-Private Grads-all races'!Q50+'NCES-Public Grads-all races'!U51</f>
        <v>167140.33333333334</v>
      </c>
      <c r="R49" s="141">
        <f>+'NCES-Private Grads-all races'!R50+'NCES-Public Grads-all races'!V51</f>
        <v>159903</v>
      </c>
      <c r="S49" s="141">
        <f>+'NCES-Private Grads-all races'!S50+'NCES-Public Grads-all races'!W51</f>
        <v>159267.88888888888</v>
      </c>
      <c r="T49" s="141">
        <f>+'NCES-Private Grads-all races'!T50+'NCES-Public Grads-all races'!X51</f>
        <v>155694.77777777778</v>
      </c>
      <c r="U49" s="141">
        <f>+'NCES-Private Grads-all races'!U50+'NCES-Public Grads-all races'!Y51</f>
        <v>149350.66666666666</v>
      </c>
      <c r="V49" s="141">
        <f>+'NCES-Private Grads-all races'!V50+'NCES-Public Grads-all races'!Z51</f>
        <v>143694.55555555556</v>
      </c>
      <c r="W49" s="141">
        <f>+'NCES-Private Grads-all races'!W50+'NCES-Public Grads-all races'!AA51</f>
        <v>138169.44444444444</v>
      </c>
      <c r="X49" s="141">
        <f>+'NCES-Private Grads-all races'!X50+'NCES-Public Grads-all races'!AB51</f>
        <v>135480.33333333334</v>
      </c>
      <c r="Y49" s="141">
        <f>+'NCES-Private Grads-all races'!Y50+'NCES-Public Grads-all races'!AC51</f>
        <v>137071.22222222222</v>
      </c>
      <c r="Z49" s="141">
        <f>+'NCES-Private Grads-all races'!Z50+'NCES-Public Grads-all races'!AD51</f>
        <v>140484.11111111112</v>
      </c>
      <c r="AA49" s="141">
        <f>+'NCES-Private Grads-all races'!AA50+'NCES-Public Grads-all races'!AE51</f>
        <v>141048</v>
      </c>
      <c r="AB49" s="141">
        <f>+'NCES-Private Grads-all races'!AB50+'NCES-Public Grads-all races'!AF51</f>
        <v>128676</v>
      </c>
      <c r="AC49" s="141">
        <f>+'NCES-Private Grads-all races'!AC50+'NCES-Public Grads-all races'!AG51</f>
        <v>119798</v>
      </c>
      <c r="AD49" s="141">
        <f>+'NCES-Private Grads-all races'!AD50+'NCES-Public Grads-all races'!AH51</f>
        <v>116836</v>
      </c>
      <c r="AE49" s="141">
        <f>+'NCES-Private Grads-all races'!AE50+'NCES-Public Grads-all races'!AI51</f>
        <v>121598</v>
      </c>
      <c r="AF49" s="141">
        <f>+'NCES-Private Grads-all races'!AF50+'NCES-Public Grads-all races'!AJ51</f>
        <v>120218.5</v>
      </c>
      <c r="AG49" s="141">
        <f>+'NCES-Private Grads-all races'!AG50+'NCES-Public Grads-all races'!AK51</f>
        <v>122057</v>
      </c>
      <c r="AH49" s="141">
        <f>+'NCES-Private Grads-all races'!AH50+'NCES-Public Grads-all races'!AL51</f>
        <v>114144</v>
      </c>
      <c r="AI49" s="141">
        <f>+'NCES-Private Grads-all races'!AI50+'NCES-Public Grads-all races'!AM51</f>
        <v>120206</v>
      </c>
      <c r="AJ49" s="141">
        <f>+'NCES-Private Grads-all races'!AJ50+'NCES-Public Grads-all races'!AN51</f>
        <v>124300</v>
      </c>
      <c r="AK49" s="141">
        <f>+'NCES-Private Grads-all races'!AK50+'NCES-Public Grads-all races'!AO51</f>
        <v>124506</v>
      </c>
      <c r="AL49" s="141">
        <f>+'NCES-Private Grads-all races'!AL50+'NCES-Public Grads-all races'!AP51</f>
        <v>125098</v>
      </c>
      <c r="AM49" s="141">
        <f>+'NCES-Private Grads-all races'!AM50+'NCES-Public Grads-all races'!AQ51</f>
        <v>125150</v>
      </c>
      <c r="AN49" s="141">
        <f>+'NCES-Private Grads-all races'!AN50+'NCES-Public Grads-all races'!AR51</f>
        <v>124587.5</v>
      </c>
      <c r="AO49" s="141">
        <f>+'NCES-Private Grads-all races'!AO50+'NCES-Public Grads-all races'!AS51</f>
        <v>129852</v>
      </c>
      <c r="AP49" s="141">
        <f>+'NCES-Private Grads-all races'!AP50+'NCES-Public Grads-all races'!AT51</f>
        <v>132609</v>
      </c>
      <c r="AQ49" s="141">
        <f>+'NCES-Private Grads-all races'!AQ50+'NCES-Public Grads-all races'!AU51</f>
        <v>129772</v>
      </c>
      <c r="AR49" s="141">
        <f>+'NCES-Private Grads-all races'!AR50+'NCES-Public Grads-all races'!AV51</f>
        <v>130421</v>
      </c>
      <c r="AS49" s="141">
        <f>+'NCES-Private Grads-all races'!AS50+'NCES-Public Grads-all races'!AW51</f>
        <v>130718</v>
      </c>
      <c r="AT49" s="141">
        <f>+'NCES-Private Grads-all races'!AT50+'NCES-Public Grads-all races'!AX51</f>
        <v>133938</v>
      </c>
      <c r="AU49" s="141">
        <f>+'NCES-Private Grads-all races'!AU50+'NCES-Public Grads-all races'!AY51</f>
        <v>135503</v>
      </c>
      <c r="AV49" s="141">
        <f>+'NCES-Private Grads-all races'!AV50+'NCES-Public Grads-all races'!AZ51</f>
        <v>136517</v>
      </c>
      <c r="AW49" s="141">
        <f>+'NCES-Private Grads-all races'!AW50+'NCES-Public Grads-all races'!BA51</f>
        <v>137089</v>
      </c>
      <c r="AX49" s="141">
        <f>+'NCES-Private Grads-all races'!AX50+'NCES-Public Grads-all races'!BB51</f>
        <v>135940</v>
      </c>
      <c r="AY49" s="141">
        <f>+'NCES-Private Grads-all races'!AY50+'NCES-Public Grads-all races'!BC51</f>
        <v>135241</v>
      </c>
      <c r="AZ49" s="141">
        <f>+'NCES-Private Grads-all races'!AZ50+'NCES-Public Grads-all races'!BD51</f>
        <v>126378.30799999999</v>
      </c>
      <c r="BA49" s="141">
        <f>+'NCES-Private Grads-all races'!BA50+'NCES-Public Grads-all races'!BE51</f>
        <v>123584.717</v>
      </c>
      <c r="BB49" s="141">
        <f>+'NCES-Private Grads-all races'!BB50+'NCES-Public Grads-all races'!BF51</f>
        <v>128689.36</v>
      </c>
      <c r="BC49" s="141">
        <f>+'NCES-Private Grads-all races'!BC50+'NCES-Public Grads-all races'!BG51</f>
        <v>135196</v>
      </c>
      <c r="BD49" s="141">
        <f>+'NCES-Private Grads-all races'!BD50+'NCES-Public Grads-all races'!BH51</f>
        <v>136499</v>
      </c>
      <c r="BE49" s="141">
        <f>+'NCES-Private Grads-all races'!BE50+'NCES-Public Grads-all races'!BI51</f>
        <v>138134</v>
      </c>
      <c r="BF49" s="140">
        <f>+'NCES-Private Grads-all races'!BF50+'NCES-Public Grads-all races'!BJ51</f>
        <v>135160</v>
      </c>
    </row>
    <row r="50" spans="1:58">
      <c r="A50" s="164" t="s">
        <v>75</v>
      </c>
      <c r="B50" s="141">
        <f>+'NCES-Private Grads-all races'!B51+'NCES-Public Grads-all races'!F52</f>
        <v>9784</v>
      </c>
      <c r="C50" s="141">
        <f>+'NCES-Private Grads-all races'!C51+'NCES-Public Grads-all races'!G52</f>
        <v>10588</v>
      </c>
      <c r="D50" s="141">
        <f>+'NCES-Private Grads-all races'!D51+'NCES-Public Grads-all races'!H52</f>
        <v>10961.22857142857</v>
      </c>
      <c r="E50" s="141">
        <f>+'NCES-Private Grads-all races'!E51+'NCES-Public Grads-all races'!I52</f>
        <v>11334.457142857142</v>
      </c>
      <c r="F50" s="141">
        <f>+'NCES-Private Grads-all races'!F51+'NCES-Public Grads-all races'!J52</f>
        <v>11707.685714285712</v>
      </c>
      <c r="G50" s="141">
        <f>+'NCES-Private Grads-all races'!G51+'NCES-Public Grads-all races'!K52</f>
        <v>12080.914285714283</v>
      </c>
      <c r="H50" s="141">
        <f>+'NCES-Private Grads-all races'!H51+'NCES-Public Grads-all races'!L52</f>
        <v>12454.142857142857</v>
      </c>
      <c r="I50" s="141">
        <f>+'NCES-Private Grads-all races'!I51+'NCES-Public Grads-all races'!M52</f>
        <v>12573.571428571429</v>
      </c>
      <c r="J50" s="141">
        <f>+'NCES-Private Grads-all races'!J51+'NCES-Public Grads-all races'!N52</f>
        <v>12645</v>
      </c>
      <c r="K50" s="141">
        <f>+'NCES-Private Grads-all races'!K51+'NCES-Public Grads-all races'!O52</f>
        <v>12864</v>
      </c>
      <c r="L50" s="141">
        <f>+'NCES-Private Grads-all races'!L51+'NCES-Public Grads-all races'!P52</f>
        <v>12594</v>
      </c>
      <c r="M50" s="141">
        <f>+'NCES-Private Grads-all races'!M51+'NCES-Public Grads-all races'!Q52</f>
        <v>12425</v>
      </c>
      <c r="N50" s="141">
        <f>+'NCES-Private Grads-all races'!N51+'NCES-Public Grads-all races'!R52</f>
        <v>12140</v>
      </c>
      <c r="O50" s="141">
        <f>+'NCES-Private Grads-all races'!O51+'NCES-Public Grads-all races'!S52</f>
        <v>12093</v>
      </c>
      <c r="P50" s="141">
        <f>+'NCES-Private Grads-all races'!P51+'NCES-Public Grads-all races'!T52</f>
        <v>12095.333333333334</v>
      </c>
      <c r="Q50" s="141">
        <f>+'NCES-Private Grads-all races'!Q51+'NCES-Public Grads-all races'!U52</f>
        <v>11784.666666666666</v>
      </c>
      <c r="R50" s="141">
        <f>+'NCES-Private Grads-all races'!R51+'NCES-Public Grads-all races'!V52</f>
        <v>11328</v>
      </c>
      <c r="S50" s="141">
        <f>+'NCES-Private Grads-all races'!S51+'NCES-Public Grads-all races'!W52</f>
        <v>11005.222222222223</v>
      </c>
      <c r="T50" s="141">
        <f>+'NCES-Private Grads-all races'!T51+'NCES-Public Grads-all races'!X52</f>
        <v>10465.444444444445</v>
      </c>
      <c r="U50" s="141">
        <f>+'NCES-Private Grads-all races'!U51+'NCES-Public Grads-all races'!Y52</f>
        <v>9788.6666666666661</v>
      </c>
      <c r="V50" s="141">
        <f>+'NCES-Private Grads-all races'!V51+'NCES-Public Grads-all races'!Z52</f>
        <v>9201.8888888888887</v>
      </c>
      <c r="W50" s="141">
        <f>+'NCES-Private Grads-all races'!W51+'NCES-Public Grads-all races'!AA52</f>
        <v>8751.1111111111113</v>
      </c>
      <c r="X50" s="141">
        <f>+'NCES-Private Grads-all races'!X51+'NCES-Public Grads-all races'!AB52</f>
        <v>8396.3333333333321</v>
      </c>
      <c r="Y50" s="141">
        <f>+'NCES-Private Grads-all races'!Y51+'NCES-Public Grads-all races'!AC52</f>
        <v>8581.5555555555547</v>
      </c>
      <c r="Z50" s="141">
        <f>+'NCES-Private Grads-all races'!Z51+'NCES-Public Grads-all races'!AD52</f>
        <v>8903.7777777777774</v>
      </c>
      <c r="AA50" s="141">
        <f>+'NCES-Private Grads-all races'!AA51+'NCES-Public Grads-all races'!AE52</f>
        <v>8651</v>
      </c>
      <c r="AB50" s="141">
        <f>+'NCES-Private Grads-all races'!AB51+'NCES-Public Grads-all races'!AF52</f>
        <v>8080</v>
      </c>
      <c r="AC50" s="141">
        <f>+'NCES-Private Grads-all races'!AC51+'NCES-Public Grads-all races'!AG52</f>
        <v>7517</v>
      </c>
      <c r="AD50" s="141">
        <f>+'NCES-Private Grads-all races'!AD51+'NCES-Public Grads-all races'!AH52</f>
        <v>7651</v>
      </c>
      <c r="AE50" s="141">
        <f>+'NCES-Private Grads-all races'!AE51+'NCES-Public Grads-all races'!AI52</f>
        <v>8206</v>
      </c>
      <c r="AF50" s="141">
        <f>+'NCES-Private Grads-all races'!AF51+'NCES-Public Grads-all races'!AJ52</f>
        <v>8787</v>
      </c>
      <c r="AG50" s="141">
        <f>+'NCES-Private Grads-all races'!AG51+'NCES-Public Grads-all races'!AK52</f>
        <v>8791</v>
      </c>
      <c r="AH50" s="141">
        <f>+'NCES-Private Grads-all races'!AH51+'NCES-Public Grads-all races'!AL52</f>
        <v>9310</v>
      </c>
      <c r="AI50" s="141">
        <f>+'NCES-Private Grads-all races'!AI51+'NCES-Public Grads-all races'!AM52</f>
        <v>9662</v>
      </c>
      <c r="AJ50" s="141">
        <f>+'NCES-Private Grads-all races'!AJ51+'NCES-Public Grads-all races'!AN52</f>
        <v>9568.5</v>
      </c>
      <c r="AK50" s="141">
        <f>+'NCES-Private Grads-all races'!AK51+'NCES-Public Grads-all races'!AO52</f>
        <v>9199</v>
      </c>
      <c r="AL50" s="141">
        <f>+'NCES-Private Grads-all races'!AL51+'NCES-Public Grads-all races'!AP52</f>
        <v>10231</v>
      </c>
      <c r="AM50" s="141">
        <f>+'NCES-Private Grads-all races'!AM51+'NCES-Public Grads-all races'!AQ52</f>
        <v>9391</v>
      </c>
      <c r="AN50" s="141">
        <f>+'NCES-Private Grads-all races'!AN51+'NCES-Public Grads-all races'!AR52</f>
        <v>9291</v>
      </c>
      <c r="AO50" s="141">
        <f>+'NCES-Private Grads-all races'!AO51+'NCES-Public Grads-all races'!AS52</f>
        <v>9479</v>
      </c>
      <c r="AP50" s="141">
        <f>+'NCES-Private Grads-all races'!AP51+'NCES-Public Grads-all races'!AT52</f>
        <v>9496</v>
      </c>
      <c r="AQ50" s="141">
        <f>+'NCES-Private Grads-all races'!AQ51+'NCES-Public Grads-all races'!AU52</f>
        <v>9095</v>
      </c>
      <c r="AR50" s="141">
        <f>+'NCES-Private Grads-all races'!AR51+'NCES-Public Grads-all races'!AV52</f>
        <v>9124</v>
      </c>
      <c r="AS50" s="141">
        <f>+'NCES-Private Grads-all races'!AS51+'NCES-Public Grads-all races'!AW52</f>
        <v>8906</v>
      </c>
      <c r="AT50" s="141">
        <f>+'NCES-Private Grads-all races'!AT51+'NCES-Public Grads-all races'!AX52</f>
        <v>9122</v>
      </c>
      <c r="AU50" s="141">
        <f>+'NCES-Private Grads-all races'!AU51+'NCES-Public Grads-all races'!AY52</f>
        <v>8643</v>
      </c>
      <c r="AV50" s="141">
        <f>+'NCES-Private Grads-all races'!AV51+'NCES-Public Grads-all races'!AZ52</f>
        <v>8747</v>
      </c>
      <c r="AW50" s="141">
        <f>+'NCES-Private Grads-all races'!AW51+'NCES-Public Grads-all races'!BA52</f>
        <v>8898</v>
      </c>
      <c r="AX50" s="141">
        <f>+'NCES-Private Grads-all races'!AX51+'NCES-Public Grads-all races'!BB52</f>
        <v>8651</v>
      </c>
      <c r="AY50" s="141">
        <f>+'NCES-Private Grads-all races'!AY51+'NCES-Public Grads-all races'!BC52</f>
        <v>8499</v>
      </c>
      <c r="AZ50" s="141">
        <f>+'NCES-Private Grads-all races'!AZ51+'NCES-Public Grads-all races'!BD52</f>
        <v>8081.3950000000004</v>
      </c>
      <c r="BA50" s="141">
        <f>+'NCES-Private Grads-all races'!BA51+'NCES-Public Grads-all races'!BE52</f>
        <v>8181.0220000000008</v>
      </c>
      <c r="BB50" s="141">
        <f>+'NCES-Private Grads-all races'!BB51+'NCES-Public Grads-all races'!BF52</f>
        <v>8159.8320000000003</v>
      </c>
      <c r="BC50" s="141">
        <f>+'NCES-Private Grads-all races'!BC51+'NCES-Public Grads-all races'!BG52</f>
        <v>9058</v>
      </c>
      <c r="BD50" s="141">
        <f>+'NCES-Private Grads-all races'!BD51+'NCES-Public Grads-all races'!BH52</f>
        <v>9187</v>
      </c>
      <c r="BE50" s="141">
        <f>+'NCES-Private Grads-all races'!BE51+'NCES-Public Grads-all races'!BI52</f>
        <v>9121</v>
      </c>
      <c r="BF50" s="140">
        <f>+'NCES-Private Grads-all races'!BF51+'NCES-Public Grads-all races'!BJ52</f>
        <v>9450</v>
      </c>
    </row>
    <row r="51" spans="1:58">
      <c r="A51" s="165" t="s">
        <v>76</v>
      </c>
      <c r="B51" s="163">
        <f>+'NCES-Private Grads-all races'!B52+'NCES-Public Grads-all races'!F53</f>
        <v>56956</v>
      </c>
      <c r="C51" s="163">
        <f>+'NCES-Private Grads-all races'!C52+'NCES-Public Grads-all races'!G53</f>
        <v>67429</v>
      </c>
      <c r="D51" s="163">
        <f>+'NCES-Private Grads-all races'!D52+'NCES-Public Grads-all races'!H53</f>
        <v>69370.942857142858</v>
      </c>
      <c r="E51" s="163">
        <f>+'NCES-Private Grads-all races'!E52+'NCES-Public Grads-all races'!I53</f>
        <v>71312.885714285716</v>
      </c>
      <c r="F51" s="163">
        <f>+'NCES-Private Grads-all races'!F52+'NCES-Public Grads-all races'!J53</f>
        <v>73254.828571428574</v>
      </c>
      <c r="G51" s="163">
        <f>+'NCES-Private Grads-all races'!G52+'NCES-Public Grads-all races'!K53</f>
        <v>75196.771428571432</v>
      </c>
      <c r="H51" s="163">
        <f>+'NCES-Private Grads-all races'!H52+'NCES-Public Grads-all races'!L53</f>
        <v>77138.71428571429</v>
      </c>
      <c r="I51" s="163">
        <f>+'NCES-Private Grads-all races'!I52+'NCES-Public Grads-all races'!M53</f>
        <v>77924.857142857145</v>
      </c>
      <c r="J51" s="163">
        <f>+'NCES-Private Grads-all races'!J52+'NCES-Public Grads-all races'!N53</f>
        <v>80917</v>
      </c>
      <c r="K51" s="163">
        <f>+'NCES-Private Grads-all races'!K52+'NCES-Public Grads-all races'!O53</f>
        <v>81889</v>
      </c>
      <c r="L51" s="163">
        <f>+'NCES-Private Grads-all races'!L52+'NCES-Public Grads-all races'!P53</f>
        <v>80441</v>
      </c>
      <c r="M51" s="163">
        <f>+'NCES-Private Grads-all races'!M52+'NCES-Public Grads-all races'!Q53</f>
        <v>78479</v>
      </c>
      <c r="N51" s="163">
        <f>+'NCES-Private Grads-all races'!N52+'NCES-Public Grads-all races'!R53</f>
        <v>77355</v>
      </c>
      <c r="O51" s="163">
        <f>+'NCES-Private Grads-all races'!O52+'NCES-Public Grads-all races'!S53</f>
        <v>79367</v>
      </c>
      <c r="P51" s="163">
        <f>+'NCES-Private Grads-all races'!P52+'NCES-Public Grads-all races'!T53</f>
        <v>78278.333333333328</v>
      </c>
      <c r="Q51" s="163">
        <f>+'NCES-Private Grads-all races'!Q52+'NCES-Public Grads-all races'!U53</f>
        <v>78257.666666666672</v>
      </c>
      <c r="R51" s="163">
        <f>+'NCES-Private Grads-all races'!R52+'NCES-Public Grads-all races'!V53</f>
        <v>76282</v>
      </c>
      <c r="S51" s="163">
        <f>+'NCES-Private Grads-all races'!S52+'NCES-Public Grads-all races'!W53</f>
        <v>74548.444444444438</v>
      </c>
      <c r="T51" s="163">
        <f>+'NCES-Private Grads-all races'!T52+'NCES-Public Grads-all races'!X53</f>
        <v>74017.888888888891</v>
      </c>
      <c r="U51" s="163">
        <f>+'NCES-Private Grads-all races'!U52+'NCES-Public Grads-all races'!Y53</f>
        <v>70837.333333333328</v>
      </c>
      <c r="V51" s="163">
        <f>+'NCES-Private Grads-all races'!V52+'NCES-Public Grads-all races'!Z53</f>
        <v>68560.777777777781</v>
      </c>
      <c r="W51" s="163">
        <f>+'NCES-Private Grads-all races'!W52+'NCES-Public Grads-all races'!AA53</f>
        <v>65078.222222222219</v>
      </c>
      <c r="X51" s="163">
        <f>+'NCES-Private Grads-all races'!X52+'NCES-Public Grads-all races'!AB53</f>
        <v>64422.666666666664</v>
      </c>
      <c r="Y51" s="163">
        <f>+'NCES-Private Grads-all races'!Y52+'NCES-Public Grads-all races'!AC53</f>
        <v>62810.111111111109</v>
      </c>
      <c r="Z51" s="163">
        <f>+'NCES-Private Grads-all races'!Z52+'NCES-Public Grads-all races'!AD53</f>
        <v>64221.555555555555</v>
      </c>
      <c r="AA51" s="163">
        <f>+'NCES-Private Grads-all races'!AA52+'NCES-Public Grads-all races'!AE53</f>
        <v>60643</v>
      </c>
      <c r="AB51" s="163">
        <f>+'NCES-Private Grads-all races'!AB52+'NCES-Public Grads-all races'!AF53</f>
        <v>57367.5</v>
      </c>
      <c r="AC51" s="163">
        <f>+'NCES-Private Grads-all races'!AC52+'NCES-Public Grads-all races'!AG53</f>
        <v>54350</v>
      </c>
      <c r="AD51" s="163">
        <f>+'NCES-Private Grads-all races'!AD52+'NCES-Public Grads-all races'!AH53</f>
        <v>53573</v>
      </c>
      <c r="AE51" s="163">
        <f>+'NCES-Private Grads-all races'!AE52+'NCES-Public Grads-all races'!AI53</f>
        <v>55156</v>
      </c>
      <c r="AF51" s="163">
        <f>+'NCES-Private Grads-all races'!AF52+'NCES-Public Grads-all races'!AJ53</f>
        <v>53495</v>
      </c>
      <c r="AG51" s="163">
        <f>+'NCES-Private Grads-all races'!AG52+'NCES-Public Grads-all races'!AK53</f>
        <v>56854</v>
      </c>
      <c r="AH51" s="163">
        <f>+'NCES-Private Grads-all races'!AH52+'NCES-Public Grads-all races'!AL53</f>
        <v>57739</v>
      </c>
      <c r="AI51" s="163">
        <f>+'NCES-Private Grads-all races'!AI52+'NCES-Public Grads-all races'!AM53</f>
        <v>60461</v>
      </c>
      <c r="AJ51" s="163">
        <f>+'NCES-Private Grads-all races'!AJ52+'NCES-Public Grads-all races'!AN53</f>
        <v>63005.5</v>
      </c>
      <c r="AK51" s="163">
        <f>+'NCES-Private Grads-all races'!AK52+'NCES-Public Grads-all races'!AO53</f>
        <v>63837</v>
      </c>
      <c r="AL51" s="163">
        <f>+'NCES-Private Grads-all races'!AL52+'NCES-Public Grads-all races'!AP53</f>
        <v>63256</v>
      </c>
      <c r="AM51" s="163">
        <f>+'NCES-Private Grads-all races'!AM52+'NCES-Public Grads-all races'!AQ53</f>
        <v>64728</v>
      </c>
      <c r="AN51" s="163">
        <f>+'NCES-Private Grads-all races'!AN52+'NCES-Public Grads-all races'!AR53</f>
        <v>66228.5</v>
      </c>
      <c r="AO51" s="163">
        <f>+'NCES-Private Grads-all races'!AO52+'NCES-Public Grads-all races'!AS53</f>
        <v>69192</v>
      </c>
      <c r="AP51" s="163">
        <f>+'NCES-Private Grads-all races'!AP52+'NCES-Public Grads-all races'!AT53</f>
        <v>68579</v>
      </c>
      <c r="AQ51" s="163">
        <f>+'NCES-Private Grads-all races'!AQ52+'NCES-Public Grads-all races'!AU53</f>
        <v>68899</v>
      </c>
      <c r="AR51" s="163">
        <f>+'NCES-Private Grads-all races'!AR52+'NCES-Public Grads-all races'!AV53</f>
        <v>68553</v>
      </c>
      <c r="AS51" s="163">
        <f>+'NCES-Private Grads-all races'!AS52+'NCES-Public Grads-all races'!AW53</f>
        <v>69398</v>
      </c>
      <c r="AT51" s="163">
        <f>+'NCES-Private Grads-all races'!AT52+'NCES-Public Grads-all races'!AX53</f>
        <v>70703</v>
      </c>
      <c r="AU51" s="163">
        <f>+'NCES-Private Grads-all races'!AU52+'NCES-Public Grads-all races'!AY53</f>
        <v>71020</v>
      </c>
      <c r="AV51" s="163">
        <f>+'NCES-Private Grads-all races'!AV52+'NCES-Public Grads-all races'!AZ53</f>
        <v>70202</v>
      </c>
      <c r="AW51" s="163">
        <f>+'NCES-Private Grads-all races'!AW52+'NCES-Public Grads-all races'!BA53</f>
        <v>69555</v>
      </c>
      <c r="AX51" s="163">
        <f>+'NCES-Private Grads-all races'!AX52+'NCES-Public Grads-all races'!BB53</f>
        <v>69675</v>
      </c>
      <c r="AY51" s="163">
        <f>+'NCES-Private Grads-all races'!AY52+'NCES-Public Grads-all races'!BC53</f>
        <v>69945</v>
      </c>
      <c r="AZ51" s="163">
        <f>+'NCES-Private Grads-all races'!AZ52+'NCES-Public Grads-all races'!BD53</f>
        <v>65592.827999999994</v>
      </c>
      <c r="BA51" s="163">
        <f>+'NCES-Private Grads-all races'!BA52+'NCES-Public Grads-all races'!BE53</f>
        <v>63211.275999999998</v>
      </c>
      <c r="BB51" s="163">
        <f>+'NCES-Private Grads-all races'!BB52+'NCES-Public Grads-all races'!BF53</f>
        <v>61654.14</v>
      </c>
      <c r="BC51" s="163">
        <f>+'NCES-Private Grads-all races'!BC52+'NCES-Public Grads-all races'!BG53</f>
        <v>66533</v>
      </c>
      <c r="BD51" s="163">
        <f>+'NCES-Private Grads-all races'!BD52+'NCES-Public Grads-all races'!BH53</f>
        <v>67998</v>
      </c>
      <c r="BE51" s="163">
        <f>+'NCES-Private Grads-all races'!BE52+'NCES-Public Grads-all races'!BI53</f>
        <v>67813</v>
      </c>
      <c r="BF51" s="140">
        <f>+'NCES-Private Grads-all races'!BF52+'NCES-Public Grads-all races'!BJ53</f>
        <v>65960</v>
      </c>
    </row>
    <row r="52" spans="1:58">
      <c r="A52" s="161" t="s">
        <v>77</v>
      </c>
      <c r="B52" s="141">
        <f>+'NCES-Private Grads-all races'!B53+'NCES-Public Grads-all races'!F54</f>
        <v>585883</v>
      </c>
      <c r="C52" s="141">
        <f>+'NCES-Private Grads-all races'!C53+'NCES-Public Grads-all races'!G54</f>
        <v>644205</v>
      </c>
      <c r="D52" s="141">
        <f>+'NCES-Private Grads-all races'!D53+'NCES-Public Grads-all races'!H54</f>
        <v>651807.54285714286</v>
      </c>
      <c r="E52" s="141">
        <f>+'NCES-Private Grads-all races'!E53+'NCES-Public Grads-all races'!I54</f>
        <v>659410.08571428561</v>
      </c>
      <c r="F52" s="141">
        <f>+'NCES-Private Grads-all races'!F53+'NCES-Public Grads-all races'!J54</f>
        <v>667012.62857142859</v>
      </c>
      <c r="G52" s="141">
        <f>+'NCES-Private Grads-all races'!G53+'NCES-Public Grads-all races'!K54</f>
        <v>674615.17142857146</v>
      </c>
      <c r="H52" s="141">
        <f>+'NCES-Private Grads-all races'!H53+'NCES-Public Grads-all races'!L54</f>
        <v>682217.71428571432</v>
      </c>
      <c r="I52" s="141">
        <f>+'NCES-Private Grads-all races'!I53+'NCES-Public Grads-all races'!M54</f>
        <v>689213.85714285716</v>
      </c>
      <c r="J52" s="141">
        <f>+'NCES-Private Grads-all races'!J53+'NCES-Public Grads-all races'!N54</f>
        <v>710623</v>
      </c>
      <c r="K52" s="141">
        <f>+'NCES-Private Grads-all races'!K53+'NCES-Public Grads-all races'!O54</f>
        <v>721209</v>
      </c>
      <c r="L52" s="141">
        <f>+'NCES-Private Grads-all races'!L53+'NCES-Public Grads-all races'!P54</f>
        <v>739892</v>
      </c>
      <c r="M52" s="141">
        <f>+'NCES-Private Grads-all races'!M53+'NCES-Public Grads-all races'!Q54</f>
        <v>754973</v>
      </c>
      <c r="N52" s="141">
        <f>+'NCES-Private Grads-all races'!N53+'NCES-Public Grads-all races'!R54</f>
        <v>757503</v>
      </c>
      <c r="O52" s="141">
        <f>+'NCES-Private Grads-all races'!O53+'NCES-Public Grads-all races'!S54</f>
        <v>746514</v>
      </c>
      <c r="P52" s="141">
        <f>+'NCES-Private Grads-all races'!P53+'NCES-Public Grads-all races'!T54</f>
        <v>737456.33333333337</v>
      </c>
      <c r="Q52" s="141">
        <f>+'NCES-Private Grads-all races'!Q53+'NCES-Public Grads-all races'!U54</f>
        <v>727005.66666666663</v>
      </c>
      <c r="R52" s="141">
        <f>+'NCES-Private Grads-all races'!R53+'NCES-Public Grads-all races'!V54</f>
        <v>701986</v>
      </c>
      <c r="S52" s="141">
        <f>+'NCES-Private Grads-all races'!S53+'NCES-Public Grads-all races'!W54</f>
        <v>693064.88888888888</v>
      </c>
      <c r="T52" s="141">
        <f>+'NCES-Private Grads-all races'!T53+'NCES-Public Grads-all races'!X54</f>
        <v>684346.77777777775</v>
      </c>
      <c r="U52" s="141">
        <f>+'NCES-Private Grads-all races'!U53+'NCES-Public Grads-all races'!Y54</f>
        <v>658312.66666666663</v>
      </c>
      <c r="V52" s="141">
        <f>+'NCES-Private Grads-all races'!V53+'NCES-Public Grads-all races'!Z54</f>
        <v>628940.5555555555</v>
      </c>
      <c r="W52" s="141">
        <f>+'NCES-Private Grads-all races'!W53+'NCES-Public Grads-all races'!AA54</f>
        <v>605274.4444444445</v>
      </c>
      <c r="X52" s="141">
        <f>+'NCES-Private Grads-all races'!X53+'NCES-Public Grads-all races'!AB54</f>
        <v>588876.33333333337</v>
      </c>
      <c r="Y52" s="141">
        <f>+'NCES-Private Grads-all races'!Y53+'NCES-Public Grads-all races'!AC54</f>
        <v>587197.22222222225</v>
      </c>
      <c r="Z52" s="141">
        <f>+'NCES-Private Grads-all races'!Z53+'NCES-Public Grads-all races'!AD54</f>
        <v>593187.11111111112</v>
      </c>
      <c r="AA52" s="141">
        <f>+'NCES-Private Grads-all races'!AA53+'NCES-Public Grads-all races'!AE54</f>
        <v>566501</v>
      </c>
      <c r="AB52" s="141">
        <f>+'NCES-Private Grads-all races'!AB53+'NCES-Public Grads-all races'!AF54</f>
        <v>532473</v>
      </c>
      <c r="AC52" s="141">
        <f>+'NCES-Private Grads-all races'!AC53+'NCES-Public Grads-all races'!AG54</f>
        <v>503030</v>
      </c>
      <c r="AD52" s="141">
        <f>+'NCES-Private Grads-all races'!AD53+'NCES-Public Grads-all races'!AH54</f>
        <v>503138</v>
      </c>
      <c r="AE52" s="141">
        <f>+'NCES-Private Grads-all races'!AE53+'NCES-Public Grads-all races'!AI54</f>
        <v>492881</v>
      </c>
      <c r="AF52" s="141">
        <f>+'NCES-Private Grads-all races'!AF53+'NCES-Public Grads-all races'!AJ54</f>
        <v>485872</v>
      </c>
      <c r="AG52" s="141">
        <f>+'NCES-Private Grads-all races'!AG53+'NCES-Public Grads-all races'!AK54</f>
        <v>488725</v>
      </c>
      <c r="AH52" s="141">
        <f>+'NCES-Private Grads-all races'!AH53+'NCES-Public Grads-all races'!AL54</f>
        <v>491574</v>
      </c>
      <c r="AI52" s="141">
        <f>+'NCES-Private Grads-all races'!AI53+'NCES-Public Grads-all races'!AM54</f>
        <v>506503</v>
      </c>
      <c r="AJ52" s="141">
        <f>+'NCES-Private Grads-all races'!AJ53+'NCES-Public Grads-all races'!AN54</f>
        <v>505952.5</v>
      </c>
      <c r="AK52" s="141">
        <f>+'NCES-Private Grads-all races'!AK53+'NCES-Public Grads-all races'!AO54</f>
        <v>513938</v>
      </c>
      <c r="AL52" s="141">
        <f>+'NCES-Private Grads-all races'!AL53+'NCES-Public Grads-all races'!AP54</f>
        <v>531037</v>
      </c>
      <c r="AM52" s="141">
        <f>+'NCES-Private Grads-all races'!AM53+'NCES-Public Grads-all races'!AQ54</f>
        <v>536680</v>
      </c>
      <c r="AN52" s="141">
        <f>+'NCES-Private Grads-all races'!AN53+'NCES-Public Grads-all races'!AR54</f>
        <v>544110</v>
      </c>
      <c r="AO52" s="141">
        <f>+'NCES-Private Grads-all races'!AO53+'NCES-Public Grads-all races'!AS54</f>
        <v>563461</v>
      </c>
      <c r="AP52" s="141">
        <f>+'NCES-Private Grads-all races'!AP53+'NCES-Public Grads-all races'!AT54</f>
        <v>570415</v>
      </c>
      <c r="AQ52" s="141">
        <f>+'NCES-Private Grads-all races'!AQ53+'NCES-Public Grads-all races'!AU54</f>
        <v>586798</v>
      </c>
      <c r="AR52" s="141">
        <f>+'NCES-Private Grads-all races'!AR53+'NCES-Public Grads-all races'!AV54</f>
        <v>606340</v>
      </c>
      <c r="AS52" s="141">
        <f>+'NCES-Private Grads-all races'!AS53+'NCES-Public Grads-all races'!AW54</f>
        <v>624077</v>
      </c>
      <c r="AT52" s="141">
        <f>+'NCES-Private Grads-all races'!AT53+'NCES-Public Grads-all races'!AX54</f>
        <v>640459</v>
      </c>
      <c r="AU52" s="141">
        <f>+'NCES-Private Grads-all races'!AU53+'NCES-Public Grads-all races'!AY54</f>
        <v>641933</v>
      </c>
      <c r="AV52" s="141">
        <f>+'NCES-Private Grads-all races'!AV53+'NCES-Public Grads-all races'!AZ54</f>
        <v>642890</v>
      </c>
      <c r="AW52" s="141">
        <f>+'NCES-Private Grads-all races'!AW53+'NCES-Public Grads-all races'!BA54</f>
        <v>640631</v>
      </c>
      <c r="AX52" s="141">
        <f>+'NCES-Private Grads-all races'!AX53+'NCES-Public Grads-all races'!BB54</f>
        <v>637280</v>
      </c>
      <c r="AY52" s="141">
        <f>+'NCES-Private Grads-all races'!AY53+'NCES-Public Grads-all races'!BC54</f>
        <v>636332</v>
      </c>
      <c r="AZ52" s="141">
        <f>+'NCES-Private Grads-all races'!AZ53+'NCES-Public Grads-all races'!BD54</f>
        <v>612666.25900000008</v>
      </c>
      <c r="BA52" s="141">
        <f>+'NCES-Private Grads-all races'!BA53+'NCES-Public Grads-all races'!BE54</f>
        <v>613980.98600000003</v>
      </c>
      <c r="BB52" s="141">
        <f>+'NCES-Private Grads-all races'!BB53+'NCES-Public Grads-all races'!BF54</f>
        <v>614045.26900000009</v>
      </c>
      <c r="BC52" s="141">
        <f>+'NCES-Private Grads-all races'!BC53+'NCES-Public Grads-all races'!BG54</f>
        <v>636632</v>
      </c>
      <c r="BD52" s="141">
        <f>+'NCES-Private Grads-all races'!BD53+'NCES-Public Grads-all races'!BH54</f>
        <v>643898</v>
      </c>
      <c r="BE52" s="141">
        <f>+'NCES-Private Grads-all races'!BE53+'NCES-Public Grads-all races'!BI54</f>
        <v>644859</v>
      </c>
      <c r="BF52" s="140">
        <f>+'NCES-Private Grads-all races'!BF53+'NCES-Public Grads-all races'!BJ54</f>
        <v>639660</v>
      </c>
    </row>
    <row r="53" spans="1:58">
      <c r="A53" s="161"/>
      <c r="B53" s="14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c r="AG53" s="141"/>
      <c r="AH53" s="141"/>
      <c r="AI53" s="141"/>
      <c r="AJ53" s="141"/>
      <c r="AK53" s="141"/>
      <c r="AL53" s="141"/>
      <c r="AM53" s="141"/>
      <c r="AN53" s="141"/>
      <c r="AO53" s="141"/>
      <c r="AP53" s="141"/>
      <c r="AQ53" s="141"/>
      <c r="AR53" s="141"/>
      <c r="AS53" s="141"/>
      <c r="AT53" s="141"/>
      <c r="AU53" s="141"/>
      <c r="AV53" s="141"/>
      <c r="AW53" s="141"/>
      <c r="AX53" s="141"/>
      <c r="AY53" s="141"/>
      <c r="AZ53" s="141"/>
      <c r="BA53" s="141"/>
      <c r="BB53" s="141"/>
      <c r="BC53" s="141"/>
      <c r="BD53" s="141"/>
      <c r="BE53" s="141"/>
      <c r="BF53" s="140">
        <f>+'NCES-Private Grads-all races'!BF54+'NCES-Public Grads-all races'!BJ55</f>
        <v>0</v>
      </c>
    </row>
    <row r="54" spans="1:58">
      <c r="A54" s="164" t="s">
        <v>78</v>
      </c>
      <c r="B54" s="141">
        <f>+'NCES-Private Grads-all races'!B55+'NCES-Public Grads-all races'!F56</f>
        <v>34710</v>
      </c>
      <c r="C54" s="141">
        <f>+'NCES-Private Grads-all races'!C55+'NCES-Public Grads-all races'!G56</f>
        <v>38469</v>
      </c>
      <c r="D54" s="141">
        <f>+'NCES-Private Grads-all races'!D55+'NCES-Public Grads-all races'!H56</f>
        <v>39211.342857142859</v>
      </c>
      <c r="E54" s="141">
        <f>+'NCES-Private Grads-all races'!E55+'NCES-Public Grads-all races'!I56</f>
        <v>39953.685714285719</v>
      </c>
      <c r="F54" s="141">
        <f>+'NCES-Private Grads-all races'!F55+'NCES-Public Grads-all races'!J56</f>
        <v>40696.028571428571</v>
      </c>
      <c r="G54" s="141">
        <f>+'NCES-Private Grads-all races'!G55+'NCES-Public Grads-all races'!K56</f>
        <v>41438.371428571423</v>
      </c>
      <c r="H54" s="141">
        <f>+'NCES-Private Grads-all races'!H55+'NCES-Public Grads-all races'!L56</f>
        <v>42180.714285714283</v>
      </c>
      <c r="I54" s="141">
        <f>+'NCES-Private Grads-all races'!I55+'NCES-Public Grads-all races'!M56</f>
        <v>42717.857142857145</v>
      </c>
      <c r="J54" s="141">
        <f>+'NCES-Private Grads-all races'!J55+'NCES-Public Grads-all races'!N56</f>
        <v>45504</v>
      </c>
      <c r="K54" s="141">
        <f>+'NCES-Private Grads-all races'!K55+'NCES-Public Grads-all races'!O56</f>
        <v>45571</v>
      </c>
      <c r="L54" s="141">
        <f>+'NCES-Private Grads-all races'!L55+'NCES-Public Grads-all races'!P56</f>
        <v>46871</v>
      </c>
      <c r="M54" s="141">
        <f>+'NCES-Private Grads-all races'!M55+'NCES-Public Grads-all races'!Q56</f>
        <v>50092</v>
      </c>
      <c r="N54" s="141">
        <f>+'NCES-Private Grads-all races'!N55+'NCES-Public Grads-all races'!R56</f>
        <v>48612</v>
      </c>
      <c r="O54" s="141">
        <f>+'NCES-Private Grads-all races'!O55+'NCES-Public Grads-all races'!S56</f>
        <v>47485</v>
      </c>
      <c r="P54" s="141">
        <f>+'NCES-Private Grads-all races'!P55+'NCES-Public Grads-all races'!T56</f>
        <v>47049.333333333336</v>
      </c>
      <c r="Q54" s="141">
        <f>+'NCES-Private Grads-all races'!Q55+'NCES-Public Grads-all races'!U56</f>
        <v>46747.666666666664</v>
      </c>
      <c r="R54" s="141">
        <f>+'NCES-Private Grads-all races'!R55+'NCES-Public Grads-all races'!V56</f>
        <v>46251</v>
      </c>
      <c r="S54" s="141">
        <f>+'NCES-Private Grads-all races'!S55+'NCES-Public Grads-all races'!W56</f>
        <v>46839.111111111109</v>
      </c>
      <c r="T54" s="141">
        <f>+'NCES-Private Grads-all races'!T55+'NCES-Public Grads-all races'!X56</f>
        <v>46078.222222222219</v>
      </c>
      <c r="U54" s="141">
        <f>+'NCES-Private Grads-all races'!U55+'NCES-Public Grads-all races'!Y56</f>
        <v>44478.333333333336</v>
      </c>
      <c r="V54" s="141">
        <f>+'NCES-Private Grads-all races'!V55+'NCES-Public Grads-all races'!Z56</f>
        <v>41855.444444444445</v>
      </c>
      <c r="W54" s="141">
        <f>+'NCES-Private Grads-all races'!W55+'NCES-Public Grads-all races'!AA56</f>
        <v>40204.555555555555</v>
      </c>
      <c r="X54" s="141">
        <f>+'NCES-Private Grads-all races'!X55+'NCES-Public Grads-all races'!AB56</f>
        <v>41551.666666666672</v>
      </c>
      <c r="Y54" s="141">
        <f>+'NCES-Private Grads-all races'!Y55+'NCES-Public Grads-all races'!AC56</f>
        <v>39023.777777777781</v>
      </c>
      <c r="Z54" s="141">
        <f>+'NCES-Private Grads-all races'!Z55+'NCES-Public Grads-all races'!AD56</f>
        <v>40167.888888888891</v>
      </c>
      <c r="AA54" s="141">
        <f>+'NCES-Private Grads-all races'!AA55+'NCES-Public Grads-all races'!AE56</f>
        <v>38549</v>
      </c>
      <c r="AB54" s="141">
        <f>+'NCES-Private Grads-all races'!AB55+'NCES-Public Grads-all races'!AF56</f>
        <v>34902</v>
      </c>
      <c r="AC54" s="141">
        <f>+'NCES-Private Grads-all races'!AC55+'NCES-Public Grads-all races'!AG56</f>
        <v>33651</v>
      </c>
      <c r="AD54" s="141">
        <f>+'NCES-Private Grads-all races'!AD55+'NCES-Public Grads-all races'!AH56</f>
        <v>33440</v>
      </c>
      <c r="AE54" s="141">
        <f>+'NCES-Private Grads-all races'!AE55+'NCES-Public Grads-all races'!AI56</f>
        <v>33090</v>
      </c>
      <c r="AF54" s="141">
        <f>+'NCES-Private Grads-all races'!AF55+'NCES-Public Grads-all races'!AJ56</f>
        <v>32058.5</v>
      </c>
      <c r="AG54" s="141">
        <f>+'NCES-Private Grads-all races'!AG55+'NCES-Public Grads-all races'!AK56</f>
        <v>31611</v>
      </c>
      <c r="AH54" s="141">
        <f>+'NCES-Private Grads-all races'!AH55+'NCES-Public Grads-all races'!AL56</f>
        <v>31394</v>
      </c>
      <c r="AI54" s="141">
        <f>+'NCES-Private Grads-all races'!AI55+'NCES-Public Grads-all races'!AM56</f>
        <v>32137</v>
      </c>
      <c r="AJ54" s="141">
        <f>+'NCES-Private Grads-all races'!AJ55+'NCES-Public Grads-all races'!AN56</f>
        <v>33009.5</v>
      </c>
      <c r="AK54" s="141">
        <f>+'NCES-Private Grads-all races'!AK55+'NCES-Public Grads-all races'!AO56</f>
        <v>33425</v>
      </c>
      <c r="AL54" s="141">
        <f>+'NCES-Private Grads-all races'!AL55+'NCES-Public Grads-all races'!AP56</f>
        <v>37165</v>
      </c>
      <c r="AM54" s="141">
        <f>+'NCES-Private Grads-all races'!AM55+'NCES-Public Grads-all races'!AQ56</f>
        <v>35514</v>
      </c>
      <c r="AN54" s="141">
        <f>+'NCES-Private Grads-all races'!AN55+'NCES-Public Grads-all races'!AR56</f>
        <v>40170</v>
      </c>
      <c r="AO54" s="141">
        <f>+'NCES-Private Grads-all races'!AO55+'NCES-Public Grads-all races'!AS56</f>
        <v>44227</v>
      </c>
      <c r="AP54" s="141">
        <f>+'NCES-Private Grads-all races'!AP55+'NCES-Public Grads-all races'!AT56</f>
        <v>42648</v>
      </c>
      <c r="AQ54" s="141">
        <f>+'NCES-Private Grads-all races'!AQ55+'NCES-Public Grads-all races'!AU56</f>
        <v>41105</v>
      </c>
      <c r="AR54" s="141">
        <f>+'NCES-Private Grads-all races'!AR55+'NCES-Public Grads-all races'!AV56</f>
        <v>43012</v>
      </c>
      <c r="AS54" s="141">
        <f>+'NCES-Private Grads-all races'!AS55+'NCES-Public Grads-all races'!AW56</f>
        <v>45531</v>
      </c>
      <c r="AT54" s="141">
        <f>+'NCES-Private Grads-all races'!AT55+'NCES-Public Grads-all races'!AX56</f>
        <v>45529</v>
      </c>
      <c r="AU54" s="141">
        <f>+'NCES-Private Grads-all races'!AU55+'NCES-Public Grads-all races'!AY56</f>
        <v>41198</v>
      </c>
      <c r="AV54" s="141">
        <f>+'NCES-Private Grads-all races'!AV55+'NCES-Public Grads-all races'!AZ56</f>
        <v>40590</v>
      </c>
      <c r="AW54" s="141">
        <f>+'NCES-Private Grads-all races'!AW55+'NCES-Public Grads-all races'!BA56</f>
        <v>44814</v>
      </c>
      <c r="AX54" s="141">
        <f>+'NCES-Private Grads-all races'!AX55+'NCES-Public Grads-all races'!BB56</f>
        <v>44696</v>
      </c>
      <c r="AY54" s="141">
        <f>+'NCES-Private Grads-all races'!AY55+'NCES-Public Grads-all races'!BC56</f>
        <v>44792</v>
      </c>
      <c r="AZ54" s="141">
        <f>+'NCES-Private Grads-all races'!AZ55+'NCES-Public Grads-all races'!BD56</f>
        <v>44058.5</v>
      </c>
      <c r="BA54" s="141">
        <f>+'NCES-Private Grads-all races'!BA55+'NCES-Public Grads-all races'!BE56</f>
        <v>44109.311999999998</v>
      </c>
      <c r="BB54" s="141">
        <f>+'NCES-Private Grads-all races'!BB55+'NCES-Public Grads-all races'!BF56</f>
        <v>43758.172000000006</v>
      </c>
      <c r="BC54" s="141">
        <f>+'NCES-Private Grads-all races'!BC55+'NCES-Public Grads-all races'!BG56</f>
        <v>44725</v>
      </c>
      <c r="BD54" s="141">
        <f>+'NCES-Private Grads-all races'!BD55+'NCES-Public Grads-all races'!BH56</f>
        <v>44781</v>
      </c>
      <c r="BE54" s="141">
        <f>+'NCES-Private Grads-all races'!BE55+'NCES-Public Grads-all races'!BI56</f>
        <v>44278</v>
      </c>
      <c r="BF54" s="140">
        <f>+'NCES-Private Grads-all races'!BF55+'NCES-Public Grads-all races'!BJ56</f>
        <v>43180</v>
      </c>
    </row>
    <row r="55" spans="1:58">
      <c r="A55" s="164" t="s">
        <v>79</v>
      </c>
      <c r="B55" s="141">
        <f>+'NCES-Private Grads-all races'!B56+'NCES-Public Grads-all races'!F57</f>
        <v>12162</v>
      </c>
      <c r="C55" s="141">
        <f>+'NCES-Private Grads-all races'!C56+'NCES-Public Grads-all races'!G57</f>
        <v>15031</v>
      </c>
      <c r="D55" s="141">
        <f>+'NCES-Private Grads-all races'!D56+'NCES-Public Grads-all races'!H57</f>
        <v>15389.4</v>
      </c>
      <c r="E55" s="141">
        <f>+'NCES-Private Grads-all races'!E56+'NCES-Public Grads-all races'!I57</f>
        <v>15747.8</v>
      </c>
      <c r="F55" s="141">
        <f>+'NCES-Private Grads-all races'!F56+'NCES-Public Grads-all races'!J57</f>
        <v>16106.199999999999</v>
      </c>
      <c r="G55" s="141">
        <f>+'NCES-Private Grads-all races'!G56+'NCES-Public Grads-all races'!K57</f>
        <v>16464.599999999999</v>
      </c>
      <c r="H55" s="141">
        <f>+'NCES-Private Grads-all races'!H56+'NCES-Public Grads-all races'!L57</f>
        <v>16823</v>
      </c>
      <c r="I55" s="141">
        <f>+'NCES-Private Grads-all races'!I56+'NCES-Public Grads-all races'!M57</f>
        <v>16767</v>
      </c>
      <c r="J55" s="141">
        <f>+'NCES-Private Grads-all races'!J56+'NCES-Public Grads-all races'!N57</f>
        <v>17356</v>
      </c>
      <c r="K55" s="141">
        <f>+'NCES-Private Grads-all races'!K56+'NCES-Public Grads-all races'!O57</f>
        <v>17377</v>
      </c>
      <c r="L55" s="141">
        <f>+'NCES-Private Grads-all races'!L56+'NCES-Public Grads-all races'!P57</f>
        <v>17491</v>
      </c>
      <c r="M55" s="141">
        <f>+'NCES-Private Grads-all races'!M56+'NCES-Public Grads-all races'!Q57</f>
        <v>16630</v>
      </c>
      <c r="N55" s="141">
        <f>+'NCES-Private Grads-all races'!N56+'NCES-Public Grads-all races'!R57</f>
        <v>17200</v>
      </c>
      <c r="O55" s="141">
        <f>+'NCES-Private Grads-all races'!O56+'NCES-Public Grads-all races'!S57</f>
        <v>17205</v>
      </c>
      <c r="P55" s="141">
        <f>+'NCES-Private Grads-all races'!P56+'NCES-Public Grads-all races'!T57</f>
        <v>17309</v>
      </c>
      <c r="Q55" s="141">
        <f>+'NCES-Private Grads-all races'!Q56+'NCES-Public Grads-all races'!U57</f>
        <v>17292</v>
      </c>
      <c r="R55" s="141">
        <f>+'NCES-Private Grads-all races'!R56+'NCES-Public Grads-all races'!V57</f>
        <v>17280</v>
      </c>
      <c r="S55" s="141">
        <f>+'NCES-Private Grads-all races'!S56+'NCES-Public Grads-all races'!W57</f>
        <v>17410.111111111109</v>
      </c>
      <c r="T55" s="141">
        <f>+'NCES-Private Grads-all races'!T56+'NCES-Public Grads-all races'!X57</f>
        <v>16641.222222222223</v>
      </c>
      <c r="U55" s="141">
        <f>+'NCES-Private Grads-all races'!U56+'NCES-Public Grads-all races'!Y57</f>
        <v>16498.333333333332</v>
      </c>
      <c r="V55" s="141">
        <f>+'NCES-Private Grads-all races'!V56+'NCES-Public Grads-all races'!Z57</f>
        <v>15854.444444444445</v>
      </c>
      <c r="W55" s="141">
        <f>+'NCES-Private Grads-all races'!W56+'NCES-Public Grads-all races'!AA57</f>
        <v>15864.555555555555</v>
      </c>
      <c r="X55" s="141">
        <f>+'NCES-Private Grads-all races'!X56+'NCES-Public Grads-all races'!AB57</f>
        <v>14967.666666666666</v>
      </c>
      <c r="Y55" s="141">
        <f>+'NCES-Private Grads-all races'!Y56+'NCES-Public Grads-all races'!AC57</f>
        <v>15674.777777777777</v>
      </c>
      <c r="Z55" s="141">
        <f>+'NCES-Private Grads-all races'!Z56+'NCES-Public Grads-all races'!AD57</f>
        <v>15811.888888888889</v>
      </c>
      <c r="AA55" s="141">
        <f>+'NCES-Private Grads-all races'!AA56+'NCES-Public Grads-all races'!AE57</f>
        <v>15882</v>
      </c>
      <c r="AB55" s="141">
        <f>+'NCES-Private Grads-all races'!AB56+'NCES-Public Grads-all races'!AF57</f>
        <v>15693.5</v>
      </c>
      <c r="AC55" s="141">
        <f>+'NCES-Private Grads-all races'!AC56+'NCES-Public Grads-all races'!AG57</f>
        <v>14835</v>
      </c>
      <c r="AD55" s="141">
        <f>+'NCES-Private Grads-all races'!AD56+'NCES-Public Grads-all races'!AH57</f>
        <v>14861</v>
      </c>
      <c r="AE55" s="141">
        <f>+'NCES-Private Grads-all races'!AE56+'NCES-Public Grads-all races'!AI57</f>
        <v>14017</v>
      </c>
      <c r="AF55" s="141">
        <f>+'NCES-Private Grads-all races'!AF56+'NCES-Public Grads-all races'!AJ57</f>
        <v>13220.5</v>
      </c>
      <c r="AG55" s="141">
        <f>+'NCES-Private Grads-all races'!AG56+'NCES-Public Grads-all races'!AK57</f>
        <v>13260</v>
      </c>
      <c r="AH55" s="141">
        <f>+'NCES-Private Grads-all races'!AH56+'NCES-Public Grads-all races'!AL57</f>
        <v>13848</v>
      </c>
      <c r="AI55" s="141">
        <f>+'NCES-Private Grads-all races'!AI56+'NCES-Public Grads-all races'!AM57</f>
        <v>13764</v>
      </c>
      <c r="AJ55" s="141">
        <f>+'NCES-Private Grads-all races'!AJ56+'NCES-Public Grads-all races'!AN57</f>
        <v>14068.5</v>
      </c>
      <c r="AK55" s="141">
        <f>+'NCES-Private Grads-all races'!AK56+'NCES-Public Grads-all races'!AO57</f>
        <v>14038</v>
      </c>
      <c r="AL55" s="141">
        <f>+'NCES-Private Grads-all races'!AL56+'NCES-Public Grads-all races'!AP57</f>
        <v>14495</v>
      </c>
      <c r="AM55" s="141">
        <f>+'NCES-Private Grads-all races'!AM56+'NCES-Public Grads-all races'!AQ57</f>
        <v>14699</v>
      </c>
      <c r="AN55" s="141">
        <f>+'NCES-Private Grads-all races'!AN56+'NCES-Public Grads-all races'!AR57</f>
        <v>15235.5</v>
      </c>
      <c r="AO55" s="141">
        <f>+'NCES-Private Grads-all races'!AO56+'NCES-Public Grads-all races'!AS57</f>
        <v>16187</v>
      </c>
      <c r="AP55" s="141">
        <f>+'NCES-Private Grads-all races'!AP56+'NCES-Public Grads-all races'!AT57</f>
        <v>16073</v>
      </c>
      <c r="AQ55" s="141">
        <f>+'NCES-Private Grads-all races'!AQ56+'NCES-Public Grads-all races'!AU57</f>
        <v>15427</v>
      </c>
      <c r="AR55" s="141">
        <f>+'NCES-Private Grads-all races'!AR56+'NCES-Public Grads-all races'!AV57</f>
        <v>15435</v>
      </c>
      <c r="AS55" s="141">
        <f>+'NCES-Private Grads-all races'!AS56+'NCES-Public Grads-all races'!AW57</f>
        <v>15771</v>
      </c>
      <c r="AT55" s="141">
        <f>+'NCES-Private Grads-all races'!AT56+'NCES-Public Grads-all races'!AX57</f>
        <v>16840</v>
      </c>
      <c r="AU55" s="141">
        <f>+'NCES-Private Grads-all races'!AU56+'NCES-Public Grads-all races'!AY57</f>
        <v>16453</v>
      </c>
      <c r="AV55" s="141">
        <f>+'NCES-Private Grads-all races'!AV56+'NCES-Public Grads-all races'!AZ57</f>
        <v>16549</v>
      </c>
      <c r="AW55" s="141">
        <f>+'NCES-Private Grads-all races'!AW56+'NCES-Public Grads-all races'!BA57</f>
        <v>16253</v>
      </c>
      <c r="AX55" s="141">
        <f>+'NCES-Private Grads-all races'!AX56+'NCES-Public Grads-all races'!BB57</f>
        <v>16088</v>
      </c>
      <c r="AY55" s="141">
        <f>+'NCES-Private Grads-all races'!AY56+'NCES-Public Grads-all races'!BC57</f>
        <v>15800</v>
      </c>
      <c r="AZ55" s="141">
        <f>+'NCES-Private Grads-all races'!AZ56+'NCES-Public Grads-all races'!BD57</f>
        <v>15028.445</v>
      </c>
      <c r="BA55" s="141">
        <f>+'NCES-Private Grads-all races'!BA56+'NCES-Public Grads-all races'!BE57</f>
        <v>15058.5</v>
      </c>
      <c r="BB55" s="141">
        <f>+'NCES-Private Grads-all races'!BB56+'NCES-Public Grads-all races'!BF57</f>
        <v>15011.63</v>
      </c>
      <c r="BC55" s="141">
        <f>+'NCES-Private Grads-all races'!BC56+'NCES-Public Grads-all races'!BG57</f>
        <v>14169</v>
      </c>
      <c r="BD55" s="141">
        <f>+'NCES-Private Grads-all races'!BD56+'NCES-Public Grads-all races'!BH57</f>
        <v>15141</v>
      </c>
      <c r="BE55" s="141">
        <f>+'NCES-Private Grads-all races'!BE56+'NCES-Public Grads-all races'!BI57</f>
        <v>14259</v>
      </c>
      <c r="BF55" s="140">
        <f>+'NCES-Private Grads-all races'!BF56+'NCES-Public Grads-all races'!BJ57</f>
        <v>14300</v>
      </c>
    </row>
    <row r="56" spans="1:58">
      <c r="A56" s="164" t="s">
        <v>80</v>
      </c>
      <c r="B56" s="141">
        <f>+'NCES-Private Grads-all races'!B57+'NCES-Public Grads-all races'!F58</f>
        <v>69344</v>
      </c>
      <c r="C56" s="141">
        <f>+'NCES-Private Grads-all races'!C57+'NCES-Public Grads-all races'!G58</f>
        <v>78954</v>
      </c>
      <c r="D56" s="141">
        <f>+'NCES-Private Grads-all races'!D57+'NCES-Public Grads-all races'!H58</f>
        <v>79212.771428571432</v>
      </c>
      <c r="E56" s="141">
        <f>+'NCES-Private Grads-all races'!E57+'NCES-Public Grads-all races'!I58</f>
        <v>79471.542857142849</v>
      </c>
      <c r="F56" s="141">
        <f>+'NCES-Private Grads-all races'!F57+'NCES-Public Grads-all races'!J58</f>
        <v>79730.314285714281</v>
      </c>
      <c r="G56" s="141">
        <f>+'NCES-Private Grads-all races'!G57+'NCES-Public Grads-all races'!K58</f>
        <v>79989.085714285698</v>
      </c>
      <c r="H56" s="141">
        <f>+'NCES-Private Grads-all races'!H57+'NCES-Public Grads-all races'!L58</f>
        <v>80247.857142857145</v>
      </c>
      <c r="I56" s="141">
        <f>+'NCES-Private Grads-all races'!I57+'NCES-Public Grads-all races'!M58</f>
        <v>78694.42857142858</v>
      </c>
      <c r="J56" s="141">
        <f>+'NCES-Private Grads-all races'!J57+'NCES-Public Grads-all races'!N58</f>
        <v>84187</v>
      </c>
      <c r="K56" s="141">
        <f>+'NCES-Private Grads-all races'!K57+'NCES-Public Grads-all races'!O58</f>
        <v>89396</v>
      </c>
      <c r="L56" s="141">
        <f>+'NCES-Private Grads-all races'!L57+'NCES-Public Grads-all races'!P58</f>
        <v>94700</v>
      </c>
      <c r="M56" s="141">
        <f>+'NCES-Private Grads-all races'!M57+'NCES-Public Grads-all races'!Q58</f>
        <v>94000</v>
      </c>
      <c r="N56" s="141">
        <f>+'NCES-Private Grads-all races'!N57+'NCES-Public Grads-all races'!R58</f>
        <v>96207</v>
      </c>
      <c r="O56" s="141">
        <f>+'NCES-Private Grads-all races'!O57+'NCES-Public Grads-all races'!S58</f>
        <v>90386</v>
      </c>
      <c r="P56" s="141">
        <f>+'NCES-Private Grads-all races'!P57+'NCES-Public Grads-all races'!T58</f>
        <v>92558.666666666672</v>
      </c>
      <c r="Q56" s="141">
        <f>+'NCES-Private Grads-all races'!Q57+'NCES-Public Grads-all races'!U58</f>
        <v>89518.333333333328</v>
      </c>
      <c r="R56" s="141">
        <f>+'NCES-Private Grads-all races'!R57+'NCES-Public Grads-all races'!V58</f>
        <v>86434</v>
      </c>
      <c r="S56" s="141">
        <f>+'NCES-Private Grads-all races'!S57+'NCES-Public Grads-all races'!W58</f>
        <v>87174.444444444438</v>
      </c>
      <c r="T56" s="141">
        <f>+'NCES-Private Grads-all races'!T57+'NCES-Public Grads-all races'!X58</f>
        <v>85468.888888888891</v>
      </c>
      <c r="U56" s="141">
        <f>+'NCES-Private Grads-all races'!U57+'NCES-Public Grads-all races'!Y58</f>
        <v>82985.333333333343</v>
      </c>
      <c r="V56" s="141">
        <f>+'NCES-Private Grads-all races'!V57+'NCES-Public Grads-all races'!Z58</f>
        <v>77362.777777777781</v>
      </c>
      <c r="W56" s="141">
        <f>+'NCES-Private Grads-all races'!W57+'NCES-Public Grads-all races'!AA58</f>
        <v>74600.222222222219</v>
      </c>
      <c r="X56" s="141">
        <f>+'NCES-Private Grads-all races'!X57+'NCES-Public Grads-all races'!AB58</f>
        <v>71260.666666666672</v>
      </c>
      <c r="Y56" s="141">
        <f>+'NCES-Private Grads-all races'!Y57+'NCES-Public Grads-all races'!AC58</f>
        <v>71622.111111111124</v>
      </c>
      <c r="Z56" s="141">
        <f>+'NCES-Private Grads-all races'!Z57+'NCES-Public Grads-all races'!AD58</f>
        <v>69838.555555555562</v>
      </c>
      <c r="AA56" s="141">
        <f>+'NCES-Private Grads-all races'!AA57+'NCES-Public Grads-all races'!AE58</f>
        <v>67363</v>
      </c>
      <c r="AB56" s="141">
        <f>+'NCES-Private Grads-all races'!AB57+'NCES-Public Grads-all races'!AF58</f>
        <v>66093</v>
      </c>
      <c r="AC56" s="141">
        <f>+'NCES-Private Grads-all races'!AC57+'NCES-Public Grads-all races'!AG58</f>
        <v>60485</v>
      </c>
      <c r="AD56" s="141">
        <f>+'NCES-Private Grads-all races'!AD57+'NCES-Public Grads-all races'!AH58</f>
        <v>60586</v>
      </c>
      <c r="AE56" s="141">
        <f>+'NCES-Private Grads-all races'!AE57+'NCES-Public Grads-all races'!AI58</f>
        <v>58602</v>
      </c>
      <c r="AF56" s="141">
        <f>+'NCES-Private Grads-all races'!AF57+'NCES-Public Grads-all races'!AJ58</f>
        <v>56874</v>
      </c>
      <c r="AG56" s="141">
        <f>+'NCES-Private Grads-all races'!AG57+'NCES-Public Grads-all races'!AK58</f>
        <v>56240</v>
      </c>
      <c r="AH56" s="141">
        <f>+'NCES-Private Grads-all races'!AH57+'NCES-Public Grads-all races'!AL58</f>
        <v>58579</v>
      </c>
      <c r="AI56" s="141">
        <f>+'NCES-Private Grads-all races'!AI57+'NCES-Public Grads-all races'!AM58</f>
        <v>57968</v>
      </c>
      <c r="AJ56" s="141">
        <f>+'NCES-Private Grads-all races'!AJ57+'NCES-Public Grads-all races'!AN58</f>
        <v>59748</v>
      </c>
      <c r="AK56" s="141">
        <f>+'NCES-Private Grads-all races'!AK57+'NCES-Public Grads-all races'!AO58</f>
        <v>61097</v>
      </c>
      <c r="AL56" s="141">
        <f>+'NCES-Private Grads-all races'!AL57+'NCES-Public Grads-all races'!AP58</f>
        <v>63966</v>
      </c>
      <c r="AM56" s="141">
        <f>+'NCES-Private Grads-all races'!AM57+'NCES-Public Grads-all races'!AQ58</f>
        <v>64079</v>
      </c>
      <c r="AN56" s="141">
        <f>+'NCES-Private Grads-all races'!AN57+'NCES-Public Grads-all races'!AR58</f>
        <v>65140</v>
      </c>
      <c r="AO56" s="141">
        <f>+'NCES-Private Grads-all races'!AO57+'NCES-Public Grads-all races'!AS58</f>
        <v>66037</v>
      </c>
      <c r="AP56" s="141">
        <f>+'NCES-Private Grads-all races'!AP57+'NCES-Public Grads-all races'!AT58</f>
        <v>68821</v>
      </c>
      <c r="AQ56" s="141">
        <f>+'NCES-Private Grads-all races'!AQ57+'NCES-Public Grads-all races'!AU58</f>
        <v>70605</v>
      </c>
      <c r="AR56" s="141">
        <f>+'NCES-Private Grads-all races'!AR57+'NCES-Public Grads-all races'!AV58</f>
        <v>71957</v>
      </c>
      <c r="AS56" s="141">
        <f>+'NCES-Private Grads-all races'!AS57+'NCES-Public Grads-all races'!AW58</f>
        <v>74333</v>
      </c>
      <c r="AT56" s="141">
        <f>+'NCES-Private Grads-all races'!AT57+'NCES-Public Grads-all races'!AX58</f>
        <v>75727</v>
      </c>
      <c r="AU56" s="141">
        <f>+'NCES-Private Grads-all races'!AU57+'NCES-Public Grads-all races'!AY58</f>
        <v>75888</v>
      </c>
      <c r="AV56" s="141">
        <f>+'NCES-Private Grads-all races'!AV57+'NCES-Public Grads-all races'!AZ58</f>
        <v>74842</v>
      </c>
      <c r="AW56" s="141">
        <f>+'NCES-Private Grads-all races'!AW57+'NCES-Public Grads-all races'!BA58</f>
        <v>74854</v>
      </c>
      <c r="AX56" s="141">
        <f>+'NCES-Private Grads-all races'!AX57+'NCES-Public Grads-all races'!BB58</f>
        <v>75732</v>
      </c>
      <c r="AY56" s="141">
        <f>+'NCES-Private Grads-all races'!AY57+'NCES-Public Grads-all races'!BC58</f>
        <v>77380</v>
      </c>
      <c r="AZ56" s="141">
        <f>+'NCES-Private Grads-all races'!AZ57+'NCES-Public Grads-all races'!BD58</f>
        <v>73142.648000000001</v>
      </c>
      <c r="BA56" s="141">
        <f>+'NCES-Private Grads-all races'!BA57+'NCES-Public Grads-all races'!BE58</f>
        <v>72539.801999999996</v>
      </c>
      <c r="BB56" s="141">
        <f>+'NCES-Private Grads-all races'!BB57+'NCES-Public Grads-all races'!BF58</f>
        <v>74774.375</v>
      </c>
      <c r="BC56" s="141">
        <f>+'NCES-Private Grads-all races'!BC57+'NCES-Public Grads-all races'!BG58</f>
        <v>77752</v>
      </c>
      <c r="BD56" s="141">
        <f>+'NCES-Private Grads-all races'!BD57+'NCES-Public Grads-all races'!BH58</f>
        <v>77921</v>
      </c>
      <c r="BE56" s="141">
        <f>+'NCES-Private Grads-all races'!BE57+'NCES-Public Grads-all races'!BI58</f>
        <v>79314</v>
      </c>
      <c r="BF56" s="140">
        <f>+'NCES-Private Grads-all races'!BF57+'NCES-Public Grads-all races'!BJ58</f>
        <v>78590</v>
      </c>
    </row>
    <row r="57" spans="1:58">
      <c r="A57" s="164" t="s">
        <v>81</v>
      </c>
      <c r="B57" s="141">
        <f>+'NCES-Private Grads-all races'!B58+'NCES-Public Grads-all races'!F59</f>
        <v>8477</v>
      </c>
      <c r="C57" s="141">
        <f>+'NCES-Private Grads-all races'!C58+'NCES-Public Grads-all races'!G59</f>
        <v>10065</v>
      </c>
      <c r="D57" s="141">
        <f>+'NCES-Private Grads-all races'!D58+'NCES-Public Grads-all races'!H59</f>
        <v>10243.200000000001</v>
      </c>
      <c r="E57" s="141">
        <f>+'NCES-Private Grads-all races'!E58+'NCES-Public Grads-all races'!I59</f>
        <v>10421.4</v>
      </c>
      <c r="F57" s="141">
        <f>+'NCES-Private Grads-all races'!F58+'NCES-Public Grads-all races'!J59</f>
        <v>10599.6</v>
      </c>
      <c r="G57" s="141">
        <f>+'NCES-Private Grads-all races'!G58+'NCES-Public Grads-all races'!K59</f>
        <v>10777.800000000001</v>
      </c>
      <c r="H57" s="141">
        <f>+'NCES-Private Grads-all races'!H58+'NCES-Public Grads-all races'!L59</f>
        <v>10956</v>
      </c>
      <c r="I57" s="141">
        <f>+'NCES-Private Grads-all races'!I58+'NCES-Public Grads-all races'!M59</f>
        <v>11589</v>
      </c>
      <c r="J57" s="141">
        <f>+'NCES-Private Grads-all races'!J58+'NCES-Public Grads-all races'!N59</f>
        <v>11790</v>
      </c>
      <c r="K57" s="141">
        <f>+'NCES-Private Grads-all races'!K58+'NCES-Public Grads-all races'!O59</f>
        <v>12349</v>
      </c>
      <c r="L57" s="141">
        <f>+'NCES-Private Grads-all races'!L58+'NCES-Public Grads-all races'!P59</f>
        <v>12432</v>
      </c>
      <c r="M57" s="141">
        <f>+'NCES-Private Grads-all races'!M58+'NCES-Public Grads-all races'!Q59</f>
        <v>12950</v>
      </c>
      <c r="N57" s="141">
        <f>+'NCES-Private Grads-all races'!N58+'NCES-Public Grads-all races'!R59</f>
        <v>13663</v>
      </c>
      <c r="O57" s="141">
        <f>+'NCES-Private Grads-all races'!O58+'NCES-Public Grads-all races'!S59</f>
        <v>14477</v>
      </c>
      <c r="P57" s="141">
        <f>+'NCES-Private Grads-all races'!P58+'NCES-Public Grads-all races'!T59</f>
        <v>14077</v>
      </c>
      <c r="Q57" s="141">
        <f>+'NCES-Private Grads-all races'!Q58+'NCES-Public Grads-all races'!U59</f>
        <v>14287</v>
      </c>
      <c r="R57" s="141">
        <f>+'NCES-Private Grads-all races'!R58+'NCES-Public Grads-all races'!V59</f>
        <v>13873</v>
      </c>
      <c r="S57" s="141">
        <f>+'NCES-Private Grads-all races'!S58+'NCES-Public Grads-all races'!W59</f>
        <v>13706</v>
      </c>
      <c r="T57" s="141">
        <f>+'NCES-Private Grads-all races'!T58+'NCES-Public Grads-all races'!X59</f>
        <v>13826</v>
      </c>
      <c r="U57" s="141">
        <f>+'NCES-Private Grads-all races'!U58+'NCES-Public Grads-all races'!Y59</f>
        <v>13630</v>
      </c>
      <c r="V57" s="141">
        <f>+'NCES-Private Grads-all races'!V58+'NCES-Public Grads-all races'!Z59</f>
        <v>13641</v>
      </c>
      <c r="W57" s="141">
        <f>+'NCES-Private Grads-all races'!W58+'NCES-Public Grads-all races'!AA59</f>
        <v>13218</v>
      </c>
      <c r="X57" s="141">
        <f>+'NCES-Private Grads-all races'!X58+'NCES-Public Grads-all races'!AB59</f>
        <v>12817</v>
      </c>
      <c r="Y57" s="141">
        <f>+'NCES-Private Grads-all races'!Y58+'NCES-Public Grads-all races'!AC59</f>
        <v>12968</v>
      </c>
      <c r="Z57" s="141">
        <f>+'NCES-Private Grads-all races'!Z58+'NCES-Public Grads-all races'!AD59</f>
        <v>13860</v>
      </c>
      <c r="AA57" s="141">
        <f>+'NCES-Private Grads-all races'!AA58+'NCES-Public Grads-all races'!AE59</f>
        <v>13518</v>
      </c>
      <c r="AB57" s="141">
        <f>+'NCES-Private Grads-all races'!AB58+'NCES-Public Grads-all races'!AF59</f>
        <v>12795.5</v>
      </c>
      <c r="AC57" s="141">
        <f>+'NCES-Private Grads-all races'!AC58+'NCES-Public Grads-all races'!AG59</f>
        <v>11940</v>
      </c>
      <c r="AD57" s="141">
        <f>+'NCES-Private Grads-all races'!AD58+'NCES-Public Grads-all races'!AH59</f>
        <v>12210</v>
      </c>
      <c r="AE57" s="141">
        <f>+'NCES-Private Grads-all races'!AE58+'NCES-Public Grads-all races'!AI59</f>
        <v>11795</v>
      </c>
      <c r="AF57" s="141">
        <f>+'NCES-Private Grads-all races'!AF58+'NCES-Public Grads-all races'!AJ59</f>
        <v>11663</v>
      </c>
      <c r="AG57" s="141">
        <f>+'NCES-Private Grads-all races'!AG58+'NCES-Public Grads-all races'!AK59</f>
        <v>11875</v>
      </c>
      <c r="AH57" s="141">
        <f>+'NCES-Private Grads-all races'!AH58+'NCES-Public Grads-all races'!AL59</f>
        <v>11710</v>
      </c>
      <c r="AI57" s="141">
        <f>+'NCES-Private Grads-all races'!AI58+'NCES-Public Grads-all races'!AM59</f>
        <v>12407</v>
      </c>
      <c r="AJ57" s="141">
        <f>+'NCES-Private Grads-all races'!AJ58+'NCES-Public Grads-all races'!AN59</f>
        <v>12750</v>
      </c>
      <c r="AK57" s="141">
        <f>+'NCES-Private Grads-all races'!AK58+'NCES-Public Grads-all races'!AO59</f>
        <v>13145</v>
      </c>
      <c r="AL57" s="141">
        <f>+'NCES-Private Grads-all races'!AL58+'NCES-Public Grads-all races'!AP59</f>
        <v>13906</v>
      </c>
      <c r="AM57" s="141">
        <f>+'NCES-Private Grads-all races'!AM58+'NCES-Public Grads-all races'!AQ59</f>
        <v>14483</v>
      </c>
      <c r="AN57" s="141">
        <f>+'NCES-Private Grads-all races'!AN58+'NCES-Public Grads-all races'!AR59</f>
        <v>14666.5</v>
      </c>
      <c r="AO57" s="141">
        <f>+'NCES-Private Grads-all races'!AO58+'NCES-Public Grads-all races'!AS59</f>
        <v>15450</v>
      </c>
      <c r="AP57" s="141">
        <f>+'NCES-Private Grads-all races'!AP58+'NCES-Public Grads-all races'!AT59</f>
        <v>15509</v>
      </c>
      <c r="AQ57" s="141">
        <f>+'NCES-Private Grads-all races'!AQ58+'NCES-Public Grads-all races'!AU59</f>
        <v>15935</v>
      </c>
      <c r="AR57" s="141">
        <f>+'NCES-Private Grads-all races'!AR58+'NCES-Public Grads-all races'!AV59</f>
        <v>16213</v>
      </c>
      <c r="AS57" s="141">
        <f>+'NCES-Private Grads-all races'!AS58+'NCES-Public Grads-all races'!AW59</f>
        <v>16742</v>
      </c>
      <c r="AT57" s="141">
        <f>+'NCES-Private Grads-all races'!AT58+'NCES-Public Grads-all races'!AX59</f>
        <v>17357</v>
      </c>
      <c r="AU57" s="141">
        <f>+'NCES-Private Grads-all races'!AU58+'NCES-Public Grads-all races'!AY59</f>
        <v>17217</v>
      </c>
      <c r="AV57" s="141">
        <f>+'NCES-Private Grads-all races'!AV58+'NCES-Public Grads-all races'!AZ59</f>
        <v>17524</v>
      </c>
      <c r="AW57" s="141">
        <f>+'NCES-Private Grads-all races'!AW58+'NCES-Public Grads-all races'!BA59</f>
        <v>17015</v>
      </c>
      <c r="AX57" s="141">
        <f>+'NCES-Private Grads-all races'!AX58+'NCES-Public Grads-all races'!BB59</f>
        <v>16916</v>
      </c>
      <c r="AY57" s="141">
        <f>+'NCES-Private Grads-all races'!AY58+'NCES-Public Grads-all races'!BC59</f>
        <v>16722</v>
      </c>
      <c r="AZ57" s="141">
        <f>+'NCES-Private Grads-all races'!AZ58+'NCES-Public Grads-all races'!BD59</f>
        <v>15830.032999999998</v>
      </c>
      <c r="BA57" s="141">
        <f>+'NCES-Private Grads-all races'!BA58+'NCES-Public Grads-all races'!BE59</f>
        <v>15447.655999999999</v>
      </c>
      <c r="BB57" s="141">
        <f>+'NCES-Private Grads-all races'!BB58+'NCES-Public Grads-all races'!BF59</f>
        <v>15578.35</v>
      </c>
      <c r="BC57" s="141">
        <f>+'NCES-Private Grads-all races'!BC58+'NCES-Public Grads-all races'!BG59</f>
        <v>15877</v>
      </c>
      <c r="BD57" s="141">
        <f>+'NCES-Private Grads-all races'!BD58+'NCES-Public Grads-all races'!BH59</f>
        <v>15682</v>
      </c>
      <c r="BE57" s="141">
        <f>+'NCES-Private Grads-all races'!BE58+'NCES-Public Grads-all races'!BI59</f>
        <v>15675</v>
      </c>
      <c r="BF57" s="140">
        <f>+'NCES-Private Grads-all races'!BF58+'NCES-Public Grads-all races'!BJ59</f>
        <v>16060</v>
      </c>
    </row>
    <row r="58" spans="1:58">
      <c r="A58" s="164" t="s">
        <v>82</v>
      </c>
      <c r="B58" s="141">
        <f>+'NCES-Private Grads-all races'!B59+'NCES-Public Grads-all races'!F60</f>
        <v>80983</v>
      </c>
      <c r="C58" s="141">
        <f>+'NCES-Private Grads-all races'!C59+'NCES-Public Grads-all races'!G60</f>
        <v>90760</v>
      </c>
      <c r="D58" s="141">
        <f>+'NCES-Private Grads-all races'!D59+'NCES-Public Grads-all races'!H60</f>
        <v>92479.6</v>
      </c>
      <c r="E58" s="141">
        <f>+'NCES-Private Grads-all races'!E59+'NCES-Public Grads-all races'!I60</f>
        <v>94199.200000000012</v>
      </c>
      <c r="F58" s="141">
        <f>+'NCES-Private Grads-all races'!F59+'NCES-Public Grads-all races'!J60</f>
        <v>95918.800000000017</v>
      </c>
      <c r="G58" s="141">
        <f>+'NCES-Private Grads-all races'!G59+'NCES-Public Grads-all races'!K60</f>
        <v>97638.400000000023</v>
      </c>
      <c r="H58" s="141">
        <f>+'NCES-Private Grads-all races'!H59+'NCES-Public Grads-all races'!L60</f>
        <v>99358</v>
      </c>
      <c r="I58" s="141">
        <f>+'NCES-Private Grads-all races'!I59+'NCES-Public Grads-all races'!M60</f>
        <v>100598</v>
      </c>
      <c r="J58" s="141">
        <f>+'NCES-Private Grads-all races'!J59+'NCES-Public Grads-all races'!N60</f>
        <v>101006</v>
      </c>
      <c r="K58" s="141">
        <f>+'NCES-Private Grads-all races'!K59+'NCES-Public Grads-all races'!O60</f>
        <v>104529</v>
      </c>
      <c r="L58" s="141">
        <f>+'NCES-Private Grads-all races'!L59+'NCES-Public Grads-all races'!P60</f>
        <v>106818</v>
      </c>
      <c r="M58" s="141">
        <f>+'NCES-Private Grads-all races'!M59+'NCES-Public Grads-all races'!Q60</f>
        <v>112900</v>
      </c>
      <c r="N58" s="141">
        <f>+'NCES-Private Grads-all races'!N59+'NCES-Public Grads-all races'!R60</f>
        <v>113985</v>
      </c>
      <c r="O58" s="141">
        <f>+'NCES-Private Grads-all races'!O59+'NCES-Public Grads-all races'!S60</f>
        <v>113494</v>
      </c>
      <c r="P58" s="141">
        <f>+'NCES-Private Grads-all races'!P59+'NCES-Public Grads-all races'!T60</f>
        <v>112426.66666666667</v>
      </c>
      <c r="Q58" s="141">
        <f>+'NCES-Private Grads-all races'!Q59+'NCES-Public Grads-all races'!U60</f>
        <v>112338.33333333333</v>
      </c>
      <c r="R58" s="141">
        <f>+'NCES-Private Grads-all races'!R59+'NCES-Public Grads-all races'!V60</f>
        <v>108607</v>
      </c>
      <c r="S58" s="141">
        <f>+'NCES-Private Grads-all races'!S59+'NCES-Public Grads-all races'!W60</f>
        <v>107506.55555555556</v>
      </c>
      <c r="T58" s="141">
        <f>+'NCES-Private Grads-all races'!T59+'NCES-Public Grads-all races'!X60</f>
        <v>108384.11111111111</v>
      </c>
      <c r="U58" s="141">
        <f>+'NCES-Private Grads-all races'!U59+'NCES-Public Grads-all races'!Y60</f>
        <v>104977.66666666666</v>
      </c>
      <c r="V58" s="141">
        <f>+'NCES-Private Grads-all races'!V59+'NCES-Public Grads-all races'!Z60</f>
        <v>100794.22222222222</v>
      </c>
      <c r="W58" s="141">
        <f>+'NCES-Private Grads-all races'!W59+'NCES-Public Grads-all races'!AA60</f>
        <v>97067.777777777781</v>
      </c>
      <c r="X58" s="141">
        <f>+'NCES-Private Grads-all races'!X59+'NCES-Public Grads-all races'!AB60</f>
        <v>94597.333333333328</v>
      </c>
      <c r="Y58" s="141">
        <f>+'NCES-Private Grads-all races'!Y59+'NCES-Public Grads-all races'!AC60</f>
        <v>95487.888888888876</v>
      </c>
      <c r="Z58" s="141">
        <f>+'NCES-Private Grads-all races'!Z59+'NCES-Public Grads-all races'!AD60</f>
        <v>97270.444444444438</v>
      </c>
      <c r="AA58" s="141">
        <f>+'NCES-Private Grads-all races'!AA59+'NCES-Public Grads-all races'!AE60</f>
        <v>92966</v>
      </c>
      <c r="AB58" s="141">
        <f>+'NCES-Private Grads-all races'!AB59+'NCES-Public Grads-all races'!AF60</f>
        <v>84868</v>
      </c>
      <c r="AC58" s="141">
        <f>+'NCES-Private Grads-all races'!AC59+'NCES-Public Grads-all races'!AG60</f>
        <v>80388</v>
      </c>
      <c r="AD58" s="141">
        <f>+'NCES-Private Grads-all races'!AD59+'NCES-Public Grads-all races'!AH60</f>
        <v>80054</v>
      </c>
      <c r="AE58" s="141">
        <f>+'NCES-Private Grads-all races'!AE59+'NCES-Public Grads-all races'!AI60</f>
        <v>78159</v>
      </c>
      <c r="AF58" s="141">
        <f>+'NCES-Private Grads-all races'!AF59+'NCES-Public Grads-all races'!AJ60</f>
        <v>77652.5</v>
      </c>
      <c r="AG58" s="141">
        <f>+'NCES-Private Grads-all races'!AG59+'NCES-Public Grads-all races'!AK60</f>
        <v>79433</v>
      </c>
      <c r="AH58" s="141">
        <f>+'NCES-Private Grads-all races'!AH59+'NCES-Public Grads-all races'!AL60</f>
        <v>78762</v>
      </c>
      <c r="AI58" s="141">
        <f>+'NCES-Private Grads-all races'!AI59+'NCES-Public Grads-all races'!AM60</f>
        <v>81854</v>
      </c>
      <c r="AJ58" s="141">
        <f>+'NCES-Private Grads-all races'!AJ59+'NCES-Public Grads-all races'!AN60</f>
        <v>76555</v>
      </c>
      <c r="AK58" s="141">
        <f>+'NCES-Private Grads-all races'!AK59+'NCES-Public Grads-all races'!AO60</f>
        <v>78482</v>
      </c>
      <c r="AL58" s="141">
        <f>+'NCES-Private Grads-all races'!AL59+'NCES-Public Grads-all races'!AP60</f>
        <v>85487</v>
      </c>
      <c r="AM58" s="141">
        <f>+'NCES-Private Grads-all races'!AM59+'NCES-Public Grads-all races'!AQ60</f>
        <v>88475</v>
      </c>
      <c r="AN58" s="141">
        <f>+'NCES-Private Grads-all races'!AN59+'NCES-Public Grads-all races'!AR60</f>
        <v>89801.5</v>
      </c>
      <c r="AO58" s="141">
        <f>+'NCES-Private Grads-all races'!AO59+'NCES-Public Grads-all races'!AS60</f>
        <v>93321</v>
      </c>
      <c r="AP58" s="141">
        <f>+'NCES-Private Grads-all races'!AP59+'NCES-Public Grads-all races'!AT60</f>
        <v>96196</v>
      </c>
      <c r="AQ58" s="141">
        <f>+'NCES-Private Grads-all races'!AQ59+'NCES-Public Grads-all races'!AU60</f>
        <v>99312</v>
      </c>
      <c r="AR58" s="141">
        <f>+'NCES-Private Grads-all races'!AR59+'NCES-Public Grads-all races'!AV60</f>
        <v>103124</v>
      </c>
      <c r="AS58" s="141">
        <f>+'NCES-Private Grads-all races'!AS59+'NCES-Public Grads-all races'!AW60</f>
        <v>106353</v>
      </c>
      <c r="AT58" s="141">
        <f>+'NCES-Private Grads-all races'!AT59+'NCES-Public Grads-all races'!AX60</f>
        <v>108839</v>
      </c>
      <c r="AU58" s="141">
        <f>+'NCES-Private Grads-all races'!AU59+'NCES-Public Grads-all races'!AY60</f>
        <v>109435</v>
      </c>
      <c r="AV58" s="141">
        <f>+'NCES-Private Grads-all races'!AV59+'NCES-Public Grads-all races'!AZ60</f>
        <v>109890</v>
      </c>
      <c r="AW58" s="141">
        <f>+'NCES-Private Grads-all races'!AW59+'NCES-Public Grads-all races'!BA60</f>
        <v>108166</v>
      </c>
      <c r="AX58" s="141">
        <f>+'NCES-Private Grads-all races'!AX59+'NCES-Public Grads-all races'!BB60</f>
        <v>106859</v>
      </c>
      <c r="AY58" s="141">
        <f>+'NCES-Private Grads-all races'!AY59+'NCES-Public Grads-all races'!BC60</f>
        <v>109590</v>
      </c>
      <c r="AZ58" s="141">
        <f>+'NCES-Private Grads-all races'!AZ59+'NCES-Public Grads-all races'!BD60</f>
        <v>107769.53199999999</v>
      </c>
      <c r="BA58" s="141">
        <f>+'NCES-Private Grads-all races'!BA59+'NCES-Public Grads-all races'!BE60</f>
        <v>109503.361</v>
      </c>
      <c r="BB58" s="141">
        <f>+'NCES-Private Grads-all races'!BB59+'NCES-Public Grads-all races'!BF60</f>
        <v>110469.49799999999</v>
      </c>
      <c r="BC58" s="141">
        <f>+'NCES-Private Grads-all races'!BC59+'NCES-Public Grads-all races'!BG60</f>
        <v>111843</v>
      </c>
      <c r="BD58" s="141">
        <f>+'NCES-Private Grads-all races'!BD59+'NCES-Public Grads-all races'!BH60</f>
        <v>114326</v>
      </c>
      <c r="BE58" s="141">
        <f>+'NCES-Private Grads-all races'!BE59+'NCES-Public Grads-all races'!BI60</f>
        <v>113801</v>
      </c>
      <c r="BF58" s="140">
        <f>+'NCES-Private Grads-all races'!BF59+'NCES-Public Grads-all races'!BJ60</f>
        <v>112600</v>
      </c>
    </row>
    <row r="59" spans="1:58">
      <c r="A59" s="164" t="s">
        <v>83</v>
      </c>
      <c r="B59" s="141">
        <f>+'NCES-Private Grads-all races'!B60+'NCES-Public Grads-all races'!F61</f>
        <v>209094</v>
      </c>
      <c r="C59" s="141">
        <f>+'NCES-Private Grads-all races'!C60+'NCES-Public Grads-all races'!G61</f>
        <v>220317</v>
      </c>
      <c r="D59" s="141">
        <f>+'NCES-Private Grads-all races'!D60+'NCES-Public Grads-all races'!H61</f>
        <v>222301.6</v>
      </c>
      <c r="E59" s="141">
        <f>+'NCES-Private Grads-all races'!E60+'NCES-Public Grads-all races'!I61</f>
        <v>224286.2</v>
      </c>
      <c r="F59" s="141">
        <f>+'NCES-Private Grads-all races'!F60+'NCES-Public Grads-all races'!J61</f>
        <v>226270.80000000002</v>
      </c>
      <c r="G59" s="141">
        <f>+'NCES-Private Grads-all races'!G60+'NCES-Public Grads-all races'!K61</f>
        <v>228255.40000000002</v>
      </c>
      <c r="H59" s="141">
        <f>+'NCES-Private Grads-all races'!H60+'NCES-Public Grads-all races'!L61</f>
        <v>230240</v>
      </c>
      <c r="I59" s="141">
        <f>+'NCES-Private Grads-all races'!I60+'NCES-Public Grads-all races'!M61</f>
        <v>233477</v>
      </c>
      <c r="J59" s="141">
        <f>+'NCES-Private Grads-all races'!J60+'NCES-Public Grads-all races'!N61</f>
        <v>240871</v>
      </c>
      <c r="K59" s="141">
        <f>+'NCES-Private Grads-all races'!K60+'NCES-Public Grads-all races'!O61</f>
        <v>245137</v>
      </c>
      <c r="L59" s="141">
        <f>+'NCES-Private Grads-all races'!L60+'NCES-Public Grads-all races'!P61</f>
        <v>248513</v>
      </c>
      <c r="M59" s="141">
        <f>+'NCES-Private Grads-all races'!M60+'NCES-Public Grads-all races'!Q61</f>
        <v>253580</v>
      </c>
      <c r="N59" s="141">
        <f>+'NCES-Private Grads-all races'!N60+'NCES-Public Grads-all races'!R61</f>
        <v>254234</v>
      </c>
      <c r="O59" s="141">
        <f>+'NCES-Private Grads-all races'!O60+'NCES-Public Grads-all races'!S61</f>
        <v>252907</v>
      </c>
      <c r="P59" s="141">
        <f>+'NCES-Private Grads-all races'!P60+'NCES-Public Grads-all races'!T61</f>
        <v>248175.33333333334</v>
      </c>
      <c r="Q59" s="141">
        <f>+'NCES-Private Grads-all races'!Q60+'NCES-Public Grads-all races'!U61</f>
        <v>243245.66666666669</v>
      </c>
      <c r="R59" s="141">
        <f>+'NCES-Private Grads-all races'!R60+'NCES-Public Grads-all races'!V61</f>
        <v>236430</v>
      </c>
      <c r="S59" s="141">
        <f>+'NCES-Private Grads-all races'!S60+'NCES-Public Grads-all races'!W61</f>
        <v>230232</v>
      </c>
      <c r="T59" s="141">
        <f>+'NCES-Private Grads-all races'!T60+'NCES-Public Grads-all races'!X61</f>
        <v>225773</v>
      </c>
      <c r="U59" s="141">
        <f>+'NCES-Private Grads-all races'!U60+'NCES-Public Grads-all races'!Y61</f>
        <v>214591</v>
      </c>
      <c r="V59" s="141">
        <f>+'NCES-Private Grads-all races'!V60+'NCES-Public Grads-all races'!Z61</f>
        <v>204732</v>
      </c>
      <c r="W59" s="141">
        <f>+'NCES-Private Grads-all races'!W60+'NCES-Public Grads-all races'!AA61</f>
        <v>196123</v>
      </c>
      <c r="X59" s="141">
        <f>+'NCES-Private Grads-all races'!X60+'NCES-Public Grads-all races'!AB61</f>
        <v>190937</v>
      </c>
      <c r="Y59" s="141">
        <f>+'NCES-Private Grads-all races'!Y60+'NCES-Public Grads-all races'!AC61</f>
        <v>191938</v>
      </c>
      <c r="Z59" s="141">
        <f>+'NCES-Private Grads-all races'!Z60+'NCES-Public Grads-all races'!AD61</f>
        <v>192953</v>
      </c>
      <c r="AA59" s="141">
        <f>+'NCES-Private Grads-all races'!AA60+'NCES-Public Grads-all races'!AE61</f>
        <v>181555</v>
      </c>
      <c r="AB59" s="141">
        <f>+'NCES-Private Grads-all races'!AB60+'NCES-Public Grads-all races'!AF61</f>
        <v>170985</v>
      </c>
      <c r="AC59" s="141">
        <f>+'NCES-Private Grads-all races'!AC60+'NCES-Public Grads-all races'!AG61</f>
        <v>161921</v>
      </c>
      <c r="AD59" s="141">
        <f>+'NCES-Private Grads-all races'!AD60+'NCES-Public Grads-all races'!AH61</f>
        <v>162932</v>
      </c>
      <c r="AE59" s="141">
        <f>+'NCES-Private Grads-all races'!AE60+'NCES-Public Grads-all races'!AI61</f>
        <v>159588</v>
      </c>
      <c r="AF59" s="141">
        <f>+'NCES-Private Grads-all races'!AF60+'NCES-Public Grads-all races'!AJ61</f>
        <v>158765</v>
      </c>
      <c r="AG59" s="141">
        <f>+'NCES-Private Grads-all races'!AG60+'NCES-Public Grads-all races'!AK61</f>
        <v>157890</v>
      </c>
      <c r="AH59" s="141">
        <f>+'NCES-Private Grads-all races'!AH60+'NCES-Public Grads-all races'!AL61</f>
        <v>159382</v>
      </c>
      <c r="AI59" s="141">
        <f>+'NCES-Private Grads-all races'!AI60+'NCES-Public Grads-all races'!AM61</f>
        <v>165479</v>
      </c>
      <c r="AJ59" s="141">
        <f>+'NCES-Private Grads-all races'!AJ60+'NCES-Public Grads-all races'!AN61</f>
        <v>163997</v>
      </c>
      <c r="AK59" s="141">
        <f>+'NCES-Private Grads-all races'!AK60+'NCES-Public Grads-all races'!AO61</f>
        <v>165740</v>
      </c>
      <c r="AL59" s="141">
        <f>+'NCES-Private Grads-all races'!AL60+'NCES-Public Grads-all races'!AP61</f>
        <v>167859</v>
      </c>
      <c r="AM59" s="141">
        <f>+'NCES-Private Grads-all races'!AM60+'NCES-Public Grads-all races'!AQ61</f>
        <v>168485</v>
      </c>
      <c r="AN59" s="141">
        <f>+'NCES-Private Grads-all races'!AN60+'NCES-Public Grads-all races'!AR61</f>
        <v>166874.5</v>
      </c>
      <c r="AO59" s="141">
        <f>+'NCES-Private Grads-all races'!AO60+'NCES-Public Grads-all races'!AS61</f>
        <v>170688</v>
      </c>
      <c r="AP59" s="141">
        <f>+'NCES-Private Grads-all races'!AP60+'NCES-Public Grads-all races'!AT61</f>
        <v>170216</v>
      </c>
      <c r="AQ59" s="141">
        <f>+'NCES-Private Grads-all races'!AQ60+'NCES-Public Grads-all races'!AU61</f>
        <v>181713</v>
      </c>
      <c r="AR59" s="141">
        <f>+'NCES-Private Grads-all races'!AR60+'NCES-Public Grads-all races'!AV61</f>
        <v>191017</v>
      </c>
      <c r="AS59" s="141">
        <f>+'NCES-Private Grads-all races'!AS60+'NCES-Public Grads-all races'!AW61</f>
        <v>198223</v>
      </c>
      <c r="AT59" s="141">
        <f>+'NCES-Private Grads-all races'!AT60+'NCES-Public Grads-all races'!AX61</f>
        <v>206895</v>
      </c>
      <c r="AU59" s="141">
        <f>+'NCES-Private Grads-all races'!AU60+'NCES-Public Grads-all races'!AY61</f>
        <v>212197</v>
      </c>
      <c r="AV59" s="141">
        <f>+'NCES-Private Grads-all races'!AV60+'NCES-Public Grads-all races'!AZ61</f>
        <v>214686</v>
      </c>
      <c r="AW59" s="141">
        <f>+'NCES-Private Grads-all races'!AW60+'NCES-Public Grads-all races'!BA61</f>
        <v>213199</v>
      </c>
      <c r="AX59" s="141">
        <f>+'NCES-Private Grads-all races'!AX60+'NCES-Public Grads-all races'!BB61</f>
        <v>210231</v>
      </c>
      <c r="AY59" s="141">
        <f>+'NCES-Private Grads-all races'!AY60+'NCES-Public Grads-all races'!BC61</f>
        <v>208761</v>
      </c>
      <c r="AZ59" s="141">
        <f>+'NCES-Private Grads-all races'!AZ60+'NCES-Public Grads-all races'!BD61</f>
        <v>201749.818</v>
      </c>
      <c r="BA59" s="141">
        <f>+'NCES-Private Grads-all races'!BA60+'NCES-Public Grads-all races'!BE61</f>
        <v>203374.90400000001</v>
      </c>
      <c r="BB59" s="141">
        <f>+'NCES-Private Grads-all races'!BB60+'NCES-Public Grads-all races'!BF61</f>
        <v>200854.75600000002</v>
      </c>
      <c r="BC59" s="141">
        <f>+'NCES-Private Grads-all races'!BC60+'NCES-Public Grads-all races'!BG61</f>
        <v>211256</v>
      </c>
      <c r="BD59" s="141">
        <f>+'NCES-Private Grads-all races'!BD60+'NCES-Public Grads-all races'!BH61</f>
        <v>214059</v>
      </c>
      <c r="BE59" s="141">
        <f>+'NCES-Private Grads-all races'!BE60+'NCES-Public Grads-all races'!BI61</f>
        <v>214529</v>
      </c>
      <c r="BF59" s="140">
        <f>+'NCES-Private Grads-all races'!BF60+'NCES-Public Grads-all races'!BJ61</f>
        <v>213590</v>
      </c>
    </row>
    <row r="60" spans="1:58">
      <c r="A60" s="164" t="s">
        <v>84</v>
      </c>
      <c r="B60" s="141">
        <f>+'NCES-Private Grads-all races'!B61+'NCES-Public Grads-all races'!F62</f>
        <v>155274</v>
      </c>
      <c r="C60" s="141">
        <f>+'NCES-Private Grads-all races'!C61+'NCES-Public Grads-all races'!G62</f>
        <v>173140</v>
      </c>
      <c r="D60" s="141">
        <f>+'NCES-Private Grads-all races'!D61+'NCES-Public Grads-all races'!H62</f>
        <v>174925.65714285712</v>
      </c>
      <c r="E60" s="141">
        <f>+'NCES-Private Grads-all races'!E61+'NCES-Public Grads-all races'!I62</f>
        <v>176711.31428571427</v>
      </c>
      <c r="F60" s="141">
        <f>+'NCES-Private Grads-all races'!F61+'NCES-Public Grads-all races'!J62</f>
        <v>178496.97142857139</v>
      </c>
      <c r="G60" s="141">
        <f>+'NCES-Private Grads-all races'!G61+'NCES-Public Grads-all races'!K62</f>
        <v>180282.62857142853</v>
      </c>
      <c r="H60" s="141">
        <f>+'NCES-Private Grads-all races'!H61+'NCES-Public Grads-all races'!L62</f>
        <v>182068.28571428571</v>
      </c>
      <c r="I60" s="141">
        <f>+'NCES-Private Grads-all races'!I61+'NCES-Public Grads-all races'!M62</f>
        <v>184845.14285714284</v>
      </c>
      <c r="J60" s="141">
        <f>+'NCES-Private Grads-all races'!J61+'NCES-Public Grads-all races'!N62</f>
        <v>188915</v>
      </c>
      <c r="K60" s="141">
        <f>+'NCES-Private Grads-all races'!K61+'NCES-Public Grads-all races'!O62</f>
        <v>185545</v>
      </c>
      <c r="L60" s="141">
        <f>+'NCES-Private Grads-all races'!L61+'NCES-Public Grads-all races'!P62</f>
        <v>191434</v>
      </c>
      <c r="M60" s="141">
        <f>+'NCES-Private Grads-all races'!M61+'NCES-Public Grads-all races'!Q62</f>
        <v>193924</v>
      </c>
      <c r="N60" s="141">
        <f>+'NCES-Private Grads-all races'!N61+'NCES-Public Grads-all races'!R62</f>
        <v>192812</v>
      </c>
      <c r="O60" s="141">
        <f>+'NCES-Private Grads-all races'!O61+'NCES-Public Grads-all races'!S62</f>
        <v>189665</v>
      </c>
      <c r="P60" s="141">
        <f>+'NCES-Private Grads-all races'!P61+'NCES-Public Grads-all races'!T62</f>
        <v>184929</v>
      </c>
      <c r="Q60" s="141">
        <f>+'NCES-Private Grads-all races'!Q61+'NCES-Public Grads-all races'!U62</f>
        <v>182464</v>
      </c>
      <c r="R60" s="141">
        <f>+'NCES-Private Grads-all races'!R61+'NCES-Public Grads-all races'!V62</f>
        <v>172491</v>
      </c>
      <c r="S60" s="141">
        <f>+'NCES-Private Grads-all races'!S61+'NCES-Public Grads-all races'!W62</f>
        <v>170091.11111111112</v>
      </c>
      <c r="T60" s="141">
        <f>+'NCES-Private Grads-all races'!T61+'NCES-Public Grads-all races'!X62</f>
        <v>168215.22222222222</v>
      </c>
      <c r="U60" s="141">
        <f>+'NCES-Private Grads-all races'!U61+'NCES-Public Grads-all races'!Y62</f>
        <v>161766.33333333331</v>
      </c>
      <c r="V60" s="141">
        <f>+'NCES-Private Grads-all races'!V61+'NCES-Public Grads-all races'!Z62</f>
        <v>156097.44444444444</v>
      </c>
      <c r="W60" s="141">
        <f>+'NCES-Private Grads-all races'!W61+'NCES-Public Grads-all races'!AA62</f>
        <v>150324.55555555556</v>
      </c>
      <c r="X60" s="141">
        <f>+'NCES-Private Grads-all races'!X61+'NCES-Public Grads-all races'!AB62</f>
        <v>145382.66666666666</v>
      </c>
      <c r="Y60" s="141">
        <f>+'NCES-Private Grads-all races'!Y61+'NCES-Public Grads-all races'!AC62</f>
        <v>143143.77777777775</v>
      </c>
      <c r="Z60" s="141">
        <f>+'NCES-Private Grads-all races'!Z61+'NCES-Public Grads-all races'!AD62</f>
        <v>145713.88888888888</v>
      </c>
      <c r="AA60" s="141">
        <f>+'NCES-Private Grads-all races'!AA61+'NCES-Public Grads-all races'!AE62</f>
        <v>139672</v>
      </c>
      <c r="AB60" s="141">
        <f>+'NCES-Private Grads-all races'!AB61+'NCES-Public Grads-all races'!AF62</f>
        <v>130719.5</v>
      </c>
      <c r="AC60" s="141">
        <f>+'NCES-Private Grads-all races'!AC61+'NCES-Public Grads-all races'!AG62</f>
        <v>124404</v>
      </c>
      <c r="AD60" s="141">
        <f>+'NCES-Private Grads-all races'!AD61+'NCES-Public Grads-all races'!AH62</f>
        <v>123515</v>
      </c>
      <c r="AE60" s="141">
        <f>+'NCES-Private Grads-all races'!AE61+'NCES-Public Grads-all races'!AI62</f>
        <v>122247</v>
      </c>
      <c r="AF60" s="141">
        <f>+'NCES-Private Grads-all races'!AF61+'NCES-Public Grads-all races'!AJ62</f>
        <v>120293</v>
      </c>
      <c r="AG60" s="141">
        <f>+'NCES-Private Grads-all races'!AG61+'NCES-Public Grads-all races'!AK62</f>
        <v>122284</v>
      </c>
      <c r="AH60" s="141">
        <f>+'NCES-Private Grads-all races'!AH61+'NCES-Public Grads-all races'!AL62</f>
        <v>122610</v>
      </c>
      <c r="AI60" s="141">
        <f>+'NCES-Private Grads-all races'!AI61+'NCES-Public Grads-all races'!AM62</f>
        <v>126295</v>
      </c>
      <c r="AJ60" s="141">
        <f>+'NCES-Private Grads-all races'!AJ61+'NCES-Public Grads-all races'!AN62</f>
        <v>128659</v>
      </c>
      <c r="AK60" s="141">
        <f>+'NCES-Private Grads-all races'!AK61+'NCES-Public Grads-all races'!AO62</f>
        <v>130634</v>
      </c>
      <c r="AL60" s="141">
        <f>+'NCES-Private Grads-all races'!AL61+'NCES-Public Grads-all races'!AP62</f>
        <v>131075</v>
      </c>
      <c r="AM60" s="141">
        <f>+'NCES-Private Grads-all races'!AM61+'NCES-Public Grads-all races'!AQ62</f>
        <v>132528</v>
      </c>
      <c r="AN60" s="141">
        <f>+'NCES-Private Grads-all races'!AN61+'NCES-Public Grads-all races'!AR62</f>
        <v>133124</v>
      </c>
      <c r="AO60" s="141">
        <f>+'NCES-Private Grads-all races'!AO61+'NCES-Public Grads-all races'!AS62</f>
        <v>138203</v>
      </c>
      <c r="AP60" s="141">
        <f>+'NCES-Private Grads-all races'!AP61+'NCES-Public Grads-all races'!AT62</f>
        <v>141584</v>
      </c>
      <c r="AQ60" s="141">
        <f>+'NCES-Private Grads-all races'!AQ61+'NCES-Public Grads-all races'!AU62</f>
        <v>142708</v>
      </c>
      <c r="AR60" s="141">
        <f>+'NCES-Private Grads-all races'!AR61+'NCES-Public Grads-all races'!AV62</f>
        <v>145545</v>
      </c>
      <c r="AS60" s="141">
        <f>+'NCES-Private Grads-all races'!AS61+'NCES-Public Grads-all races'!AW62</f>
        <v>146083</v>
      </c>
      <c r="AT60" s="141">
        <f>+'NCES-Private Grads-all races'!AT61+'NCES-Public Grads-all races'!AX62</f>
        <v>148368</v>
      </c>
      <c r="AU60" s="141">
        <f>+'NCES-Private Grads-all races'!AU61+'NCES-Public Grads-all races'!AY62</f>
        <v>149318</v>
      </c>
      <c r="AV60" s="141">
        <f>+'NCES-Private Grads-all races'!AV61+'NCES-Public Grads-all races'!AZ62</f>
        <v>148697</v>
      </c>
      <c r="AW60" s="141">
        <f>+'NCES-Private Grads-all races'!AW61+'NCES-Public Grads-all races'!BA62</f>
        <v>146654</v>
      </c>
      <c r="AX60" s="141">
        <f>+'NCES-Private Grads-all races'!AX61+'NCES-Public Grads-all races'!BB62</f>
        <v>147298</v>
      </c>
      <c r="AY60" s="141">
        <f>+'NCES-Private Grads-all races'!AY61+'NCES-Public Grads-all races'!BC62</f>
        <v>144537</v>
      </c>
      <c r="AZ60" s="141">
        <f>+'NCES-Private Grads-all races'!AZ61+'NCES-Public Grads-all races'!BD62</f>
        <v>137871.351</v>
      </c>
      <c r="BA60" s="141">
        <f>+'NCES-Private Grads-all races'!BA61+'NCES-Public Grads-all races'!BE62</f>
        <v>136926.03200000001</v>
      </c>
      <c r="BB60" s="141">
        <f>+'NCES-Private Grads-all races'!BB61+'NCES-Public Grads-all races'!BF62</f>
        <v>136478.098</v>
      </c>
      <c r="BC60" s="141">
        <f>+'NCES-Private Grads-all races'!BC61+'NCES-Public Grads-all races'!BG62</f>
        <v>143565</v>
      </c>
      <c r="BD60" s="141">
        <f>+'NCES-Private Grads-all races'!BD61+'NCES-Public Grads-all races'!BH62</f>
        <v>144376</v>
      </c>
      <c r="BE60" s="141">
        <f>+'NCES-Private Grads-all races'!BE61+'NCES-Public Grads-all races'!BI62</f>
        <v>144825</v>
      </c>
      <c r="BF60" s="140">
        <f>+'NCES-Private Grads-all races'!BF61+'NCES-Public Grads-all races'!BJ62</f>
        <v>143190</v>
      </c>
    </row>
    <row r="61" spans="1:58">
      <c r="A61" s="164" t="s">
        <v>85</v>
      </c>
      <c r="B61" s="141">
        <f>+'NCES-Private Grads-all races'!B62+'NCES-Public Grads-all races'!F63</f>
        <v>10605</v>
      </c>
      <c r="C61" s="141">
        <f>+'NCES-Private Grads-all races'!C62+'NCES-Public Grads-all races'!G63</f>
        <v>11587</v>
      </c>
      <c r="D61" s="141">
        <f>+'NCES-Private Grads-all races'!D62+'NCES-Public Grads-all races'!H63</f>
        <v>11794.8</v>
      </c>
      <c r="E61" s="141">
        <f>+'NCES-Private Grads-all races'!E62+'NCES-Public Grads-all races'!I63</f>
        <v>12002.599999999999</v>
      </c>
      <c r="F61" s="141">
        <f>+'NCES-Private Grads-all races'!F62+'NCES-Public Grads-all races'!J63</f>
        <v>12210.399999999998</v>
      </c>
      <c r="G61" s="141">
        <f>+'NCES-Private Grads-all races'!G62+'NCES-Public Grads-all races'!K63</f>
        <v>12418.199999999997</v>
      </c>
      <c r="H61" s="141">
        <f>+'NCES-Private Grads-all races'!H62+'NCES-Public Grads-all races'!L63</f>
        <v>12626</v>
      </c>
      <c r="I61" s="141">
        <f>+'NCES-Private Grads-all races'!I62+'NCES-Public Grads-all races'!M63</f>
        <v>12925</v>
      </c>
      <c r="J61" s="141">
        <f>+'NCES-Private Grads-all races'!J62+'NCES-Public Grads-all races'!N63</f>
        <v>13409</v>
      </c>
      <c r="K61" s="141">
        <f>+'NCES-Private Grads-all races'!K62+'NCES-Public Grads-all races'!O63</f>
        <v>13302</v>
      </c>
      <c r="L61" s="141">
        <f>+'NCES-Private Grads-all races'!L62+'NCES-Public Grads-all races'!P63</f>
        <v>13617</v>
      </c>
      <c r="M61" s="141">
        <f>+'NCES-Private Grads-all races'!M62+'NCES-Public Grads-all races'!Q63</f>
        <v>13042</v>
      </c>
      <c r="N61" s="141">
        <f>+'NCES-Private Grads-all races'!N62+'NCES-Public Grads-all races'!R63</f>
        <v>12831</v>
      </c>
      <c r="O61" s="141">
        <f>+'NCES-Private Grads-all races'!O62+'NCES-Public Grads-all races'!S63</f>
        <v>12796</v>
      </c>
      <c r="P61" s="141">
        <f>+'NCES-Private Grads-all races'!P62+'NCES-Public Grads-all races'!T63</f>
        <v>12918</v>
      </c>
      <c r="Q61" s="141">
        <f>+'NCES-Private Grads-all races'!Q62+'NCES-Public Grads-all races'!U63</f>
        <v>13311</v>
      </c>
      <c r="R61" s="141">
        <f>+'NCES-Private Grads-all races'!R62+'NCES-Public Grads-all races'!V63</f>
        <v>12966</v>
      </c>
      <c r="S61" s="141">
        <f>+'NCES-Private Grads-all races'!S62+'NCES-Public Grads-all races'!W63</f>
        <v>12790.444444444445</v>
      </c>
      <c r="T61" s="141">
        <f>+'NCES-Private Grads-all races'!T62+'NCES-Public Grads-all races'!X63</f>
        <v>12585.888888888889</v>
      </c>
      <c r="U61" s="141">
        <f>+'NCES-Private Grads-all races'!U62+'NCES-Public Grads-all races'!Y63</f>
        <v>12543.333333333332</v>
      </c>
      <c r="V61" s="141">
        <f>+'NCES-Private Grads-all races'!V62+'NCES-Public Grads-all races'!Z63</f>
        <v>11799.777777777777</v>
      </c>
      <c r="W61" s="141">
        <f>+'NCES-Private Grads-all races'!W62+'NCES-Public Grads-all races'!AA63</f>
        <v>11331.222222222223</v>
      </c>
      <c r="X61" s="141">
        <f>+'NCES-Private Grads-all races'!X62+'NCES-Public Grads-all races'!AB63</f>
        <v>10826.666666666666</v>
      </c>
      <c r="Y61" s="141">
        <f>+'NCES-Private Grads-all races'!Y62+'NCES-Public Grads-all races'!AC63</f>
        <v>10659.111111111109</v>
      </c>
      <c r="Z61" s="141">
        <f>+'NCES-Private Grads-all races'!Z62+'NCES-Public Grads-all races'!AD63</f>
        <v>10712.555555555555</v>
      </c>
      <c r="AA61" s="141">
        <f>+'NCES-Private Grads-all races'!AA62+'NCES-Public Grads-all races'!AE63</f>
        <v>10381</v>
      </c>
      <c r="AB61" s="141">
        <f>+'NCES-Private Grads-all races'!AB62+'NCES-Public Grads-all races'!AF63</f>
        <v>9481</v>
      </c>
      <c r="AC61" s="141">
        <f>+'NCES-Private Grads-all races'!AC62+'NCES-Public Grads-all races'!AG63</f>
        <v>9229</v>
      </c>
      <c r="AD61" s="141">
        <f>+'NCES-Private Grads-all races'!AD62+'NCES-Public Grads-all races'!AH63</f>
        <v>9344</v>
      </c>
      <c r="AE61" s="141">
        <f>+'NCES-Private Grads-all races'!AE62+'NCES-Public Grads-all races'!AI63</f>
        <v>9048</v>
      </c>
      <c r="AF61" s="141">
        <f>+'NCES-Private Grads-all races'!AF62+'NCES-Public Grads-all races'!AJ63</f>
        <v>8831</v>
      </c>
      <c r="AG61" s="141">
        <f>+'NCES-Private Grads-all races'!AG62+'NCES-Public Grads-all races'!AK63</f>
        <v>9180</v>
      </c>
      <c r="AH61" s="141">
        <f>+'NCES-Private Grads-all races'!AH62+'NCES-Public Grads-all races'!AL63</f>
        <v>9010</v>
      </c>
      <c r="AI61" s="141">
        <f>+'NCES-Private Grads-all races'!AI62+'NCES-Public Grads-all races'!AM63</f>
        <v>9235</v>
      </c>
      <c r="AJ61" s="141">
        <f>+'NCES-Private Grads-all races'!AJ62+'NCES-Public Grads-all races'!AN63</f>
        <v>9468.5</v>
      </c>
      <c r="AK61" s="141">
        <f>+'NCES-Private Grads-all races'!AK62+'NCES-Public Grads-all races'!AO63</f>
        <v>9583</v>
      </c>
      <c r="AL61" s="141">
        <f>+'NCES-Private Grads-all races'!AL62+'NCES-Public Grads-all races'!AP63</f>
        <v>9823</v>
      </c>
      <c r="AM61" s="141">
        <f>+'NCES-Private Grads-all races'!AM62+'NCES-Public Grads-all races'!AQ63</f>
        <v>10219</v>
      </c>
      <c r="AN61" s="141">
        <f>+'NCES-Private Grads-all races'!AN62+'NCES-Public Grads-all races'!AR63</f>
        <v>10714</v>
      </c>
      <c r="AO61" s="141">
        <f>+'NCES-Private Grads-all races'!AO62+'NCES-Public Grads-all races'!AS63</f>
        <v>11118</v>
      </c>
      <c r="AP61" s="141">
        <f>+'NCES-Private Grads-all races'!AP62+'NCES-Public Grads-all races'!AT63</f>
        <v>11063</v>
      </c>
      <c r="AQ61" s="141">
        <f>+'NCES-Private Grads-all races'!AQ62+'NCES-Public Grads-all races'!AU63</f>
        <v>11691</v>
      </c>
      <c r="AR61" s="141">
        <f>+'NCES-Private Grads-all races'!AR62+'NCES-Public Grads-all races'!AV63</f>
        <v>11803</v>
      </c>
      <c r="AS61" s="141">
        <f>+'NCES-Private Grads-all races'!AS62+'NCES-Public Grads-all races'!AW63</f>
        <v>11964</v>
      </c>
      <c r="AT61" s="141">
        <f>+'NCES-Private Grads-all races'!AT62+'NCES-Public Grads-all races'!AX63</f>
        <v>12047</v>
      </c>
      <c r="AU61" s="141">
        <f>+'NCES-Private Grads-all races'!AU62+'NCES-Public Grads-all races'!AY63</f>
        <v>11848</v>
      </c>
      <c r="AV61" s="141">
        <f>+'NCES-Private Grads-all races'!AV62+'NCES-Public Grads-all races'!AZ63</f>
        <v>11828</v>
      </c>
      <c r="AW61" s="141">
        <f>+'NCES-Private Grads-all races'!AW62+'NCES-Public Grads-all races'!BA63</f>
        <v>11744</v>
      </c>
      <c r="AX61" s="141">
        <f>+'NCES-Private Grads-all races'!AX62+'NCES-Public Grads-all races'!BB63</f>
        <v>11636</v>
      </c>
      <c r="AY61" s="141">
        <f>+'NCES-Private Grads-all races'!AY62+'NCES-Public Grads-all races'!BC63</f>
        <v>11329</v>
      </c>
      <c r="AZ61" s="141">
        <f>+'NCES-Private Grads-all races'!AZ62+'NCES-Public Grads-all races'!BD63</f>
        <v>10762.063999999998</v>
      </c>
      <c r="BA61" s="141">
        <f>+'NCES-Private Grads-all races'!BA62+'NCES-Public Grads-all races'!BE63</f>
        <v>10532.960000000001</v>
      </c>
      <c r="BB61" s="141">
        <f>+'NCES-Private Grads-all races'!BB62+'NCES-Public Grads-all races'!BF63</f>
        <v>10829.016</v>
      </c>
      <c r="BC61" s="141">
        <f>+'NCES-Private Grads-all races'!BC62+'NCES-Public Grads-all races'!BG63</f>
        <v>10495</v>
      </c>
      <c r="BD61" s="141">
        <f>+'NCES-Private Grads-all races'!BD62+'NCES-Public Grads-all races'!BH63</f>
        <v>10922</v>
      </c>
      <c r="BE61" s="141">
        <f>+'NCES-Private Grads-all races'!BE62+'NCES-Public Grads-all races'!BI63</f>
        <v>11588</v>
      </c>
      <c r="BF61" s="140">
        <f>+'NCES-Private Grads-all races'!BF62+'NCES-Public Grads-all races'!BJ63</f>
        <v>11630</v>
      </c>
    </row>
    <row r="62" spans="1:58">
      <c r="A62" s="165" t="s">
        <v>86</v>
      </c>
      <c r="B62" s="163">
        <f>+'NCES-Private Grads-all races'!B63+'NCES-Public Grads-all races'!F64</f>
        <v>5234</v>
      </c>
      <c r="C62" s="163">
        <f>+'NCES-Private Grads-all races'!C63+'NCES-Public Grads-all races'!G64</f>
        <v>5882</v>
      </c>
      <c r="D62" s="163">
        <f>+'NCES-Private Grads-all races'!D63+'NCES-Public Grads-all races'!H64</f>
        <v>6249.1714285714288</v>
      </c>
      <c r="E62" s="163">
        <f>+'NCES-Private Grads-all races'!E63+'NCES-Public Grads-all races'!I64</f>
        <v>6616.3428571428576</v>
      </c>
      <c r="F62" s="163">
        <f>+'NCES-Private Grads-all races'!F63+'NCES-Public Grads-all races'!J64</f>
        <v>6983.5142857142873</v>
      </c>
      <c r="G62" s="163">
        <f>+'NCES-Private Grads-all races'!G63+'NCES-Public Grads-all races'!K64</f>
        <v>7350.6857142857161</v>
      </c>
      <c r="H62" s="163">
        <f>+'NCES-Private Grads-all races'!H63+'NCES-Public Grads-all races'!L64</f>
        <v>7717.8571428571431</v>
      </c>
      <c r="I62" s="163">
        <f>+'NCES-Private Grads-all races'!I63+'NCES-Public Grads-all races'!M64</f>
        <v>7600.4285714285725</v>
      </c>
      <c r="J62" s="163">
        <f>+'NCES-Private Grads-all races'!J63+'NCES-Public Grads-all races'!N64</f>
        <v>7585</v>
      </c>
      <c r="K62" s="163">
        <f>+'NCES-Private Grads-all races'!K63+'NCES-Public Grads-all races'!O64</f>
        <v>8003</v>
      </c>
      <c r="L62" s="163">
        <f>+'NCES-Private Grads-all races'!L63+'NCES-Public Grads-all races'!P64</f>
        <v>8016</v>
      </c>
      <c r="M62" s="163">
        <f>+'NCES-Private Grads-all races'!M63+'NCES-Public Grads-all races'!Q64</f>
        <v>7855</v>
      </c>
      <c r="N62" s="163">
        <f>+'NCES-Private Grads-all races'!N63+'NCES-Public Grads-all races'!R64</f>
        <v>7959</v>
      </c>
      <c r="O62" s="163">
        <f>+'NCES-Private Grads-all races'!O63+'NCES-Public Grads-all races'!S64</f>
        <v>8099</v>
      </c>
      <c r="P62" s="163">
        <f>+'NCES-Private Grads-all races'!P63+'NCES-Public Grads-all races'!T64</f>
        <v>8013.333333333333</v>
      </c>
      <c r="Q62" s="163">
        <f>+'NCES-Private Grads-all races'!Q63+'NCES-Public Grads-all races'!U64</f>
        <v>7801.6666666666661</v>
      </c>
      <c r="R62" s="163">
        <f>+'NCES-Private Grads-all races'!R63+'NCES-Public Grads-all races'!V64</f>
        <v>7654</v>
      </c>
      <c r="S62" s="163">
        <f>+'NCES-Private Grads-all races'!S63+'NCES-Public Grads-all races'!W64</f>
        <v>7315.1111111111113</v>
      </c>
      <c r="T62" s="163">
        <f>+'NCES-Private Grads-all races'!T63+'NCES-Public Grads-all races'!X64</f>
        <v>7374.2222222222226</v>
      </c>
      <c r="U62" s="163">
        <f>+'NCES-Private Grads-all races'!U63+'NCES-Public Grads-all races'!Y64</f>
        <v>6842.333333333333</v>
      </c>
      <c r="V62" s="163">
        <f>+'NCES-Private Grads-all races'!V63+'NCES-Public Grads-all races'!Z64</f>
        <v>6803.4444444444443</v>
      </c>
      <c r="W62" s="163">
        <f>+'NCES-Private Grads-all races'!W63+'NCES-Public Grads-all races'!AA64</f>
        <v>6540.5555555555557</v>
      </c>
      <c r="X62" s="163">
        <f>+'NCES-Private Grads-all races'!X63+'NCES-Public Grads-all races'!AB64</f>
        <v>6535.6666666666661</v>
      </c>
      <c r="Y62" s="163">
        <f>+'NCES-Private Grads-all races'!Y63+'NCES-Public Grads-all races'!AC64</f>
        <v>6679.7777777777774</v>
      </c>
      <c r="Z62" s="163">
        <f>+'NCES-Private Grads-all races'!Z63+'NCES-Public Grads-all races'!AD64</f>
        <v>6858.8888888888887</v>
      </c>
      <c r="AA62" s="163">
        <f>+'NCES-Private Grads-all races'!AA63+'NCES-Public Grads-all races'!AE64</f>
        <v>6615</v>
      </c>
      <c r="AB62" s="163">
        <f>+'NCES-Private Grads-all races'!AB63+'NCES-Public Grads-all races'!AF64</f>
        <v>6935.5</v>
      </c>
      <c r="AC62" s="163">
        <f>+'NCES-Private Grads-all races'!AC63+'NCES-Public Grads-all races'!AG64</f>
        <v>6177</v>
      </c>
      <c r="AD62" s="163">
        <f>+'NCES-Private Grads-all races'!AD63+'NCES-Public Grads-all races'!AH64</f>
        <v>6196</v>
      </c>
      <c r="AE62" s="163">
        <f>+'NCES-Private Grads-all races'!AE63+'NCES-Public Grads-all races'!AI64</f>
        <v>6335</v>
      </c>
      <c r="AF62" s="163">
        <f>+'NCES-Private Grads-all races'!AF63+'NCES-Public Grads-all races'!AJ64</f>
        <v>6514.5</v>
      </c>
      <c r="AG62" s="163">
        <f>+'NCES-Private Grads-all races'!AG63+'NCES-Public Grads-all races'!AK64</f>
        <v>6952</v>
      </c>
      <c r="AH62" s="163">
        <f>+'NCES-Private Grads-all races'!AH63+'NCES-Public Grads-all races'!AL64</f>
        <v>6279</v>
      </c>
      <c r="AI62" s="163">
        <f>+'NCES-Private Grads-all races'!AI63+'NCES-Public Grads-all races'!AM64</f>
        <v>7364</v>
      </c>
      <c r="AJ62" s="163">
        <f>+'NCES-Private Grads-all races'!AJ63+'NCES-Public Grads-all races'!AN64</f>
        <v>7697</v>
      </c>
      <c r="AK62" s="163">
        <f>+'NCES-Private Grads-all races'!AK63+'NCES-Public Grads-all races'!AO64</f>
        <v>7794</v>
      </c>
      <c r="AL62" s="163">
        <f>+'NCES-Private Grads-all races'!AL63+'NCES-Public Grads-all races'!AP64</f>
        <v>7261</v>
      </c>
      <c r="AM62" s="163">
        <f>+'NCES-Private Grads-all races'!AM63+'NCES-Public Grads-all races'!AQ64</f>
        <v>8198</v>
      </c>
      <c r="AN62" s="163">
        <f>+'NCES-Private Grads-all races'!AN63+'NCES-Public Grads-all races'!AR64</f>
        <v>8384</v>
      </c>
      <c r="AO62" s="163">
        <f>+'NCES-Private Grads-all races'!AO63+'NCES-Public Grads-all races'!AS64</f>
        <v>8230</v>
      </c>
      <c r="AP62" s="163">
        <f>+'NCES-Private Grads-all races'!AP63+'NCES-Public Grads-all races'!AT64</f>
        <v>8305</v>
      </c>
      <c r="AQ62" s="163">
        <f>+'NCES-Private Grads-all races'!AQ63+'NCES-Public Grads-all races'!AU64</f>
        <v>8302</v>
      </c>
      <c r="AR62" s="163">
        <f>+'NCES-Private Grads-all races'!AR63+'NCES-Public Grads-all races'!AV64</f>
        <v>8234</v>
      </c>
      <c r="AS62" s="163">
        <f>+'NCES-Private Grads-all races'!AS63+'NCES-Public Grads-all races'!AW64</f>
        <v>9077</v>
      </c>
      <c r="AT62" s="163">
        <f>+'NCES-Private Grads-all races'!AT63+'NCES-Public Grads-all races'!AX64</f>
        <v>8857</v>
      </c>
      <c r="AU62" s="163">
        <f>+'NCES-Private Grads-all races'!AU63+'NCES-Public Grads-all races'!AY64</f>
        <v>8379</v>
      </c>
      <c r="AV62" s="163">
        <f>+'NCES-Private Grads-all races'!AV63+'NCES-Public Grads-all races'!AZ64</f>
        <v>8284</v>
      </c>
      <c r="AW62" s="163">
        <f>+'NCES-Private Grads-all races'!AW63+'NCES-Public Grads-all races'!BA64</f>
        <v>7932</v>
      </c>
      <c r="AX62" s="163">
        <f>+'NCES-Private Grads-all races'!AX63+'NCES-Public Grads-all races'!BB64</f>
        <v>7824</v>
      </c>
      <c r="AY62" s="163">
        <f>+'NCES-Private Grads-all races'!AY63+'NCES-Public Grads-all races'!BC64</f>
        <v>7421</v>
      </c>
      <c r="AZ62" s="163">
        <f>+'NCES-Private Grads-all races'!AZ63+'NCES-Public Grads-all races'!BD64</f>
        <v>6453.8680000000004</v>
      </c>
      <c r="BA62" s="163">
        <f>+'NCES-Private Grads-all races'!BA63+'NCES-Public Grads-all races'!BE64</f>
        <v>6488.4589999999998</v>
      </c>
      <c r="BB62" s="163">
        <f>+'NCES-Private Grads-all races'!BB63+'NCES-Public Grads-all races'!BF64</f>
        <v>6291.3739999999998</v>
      </c>
      <c r="BC62" s="163">
        <f>+'NCES-Private Grads-all races'!BC63+'NCES-Public Grads-all races'!BG64</f>
        <v>6950</v>
      </c>
      <c r="BD62" s="163">
        <f>+'NCES-Private Grads-all races'!BD63+'NCES-Public Grads-all races'!BH64</f>
        <v>6690</v>
      </c>
      <c r="BE62" s="163">
        <f>+'NCES-Private Grads-all races'!BE63+'NCES-Public Grads-all races'!BI64</f>
        <v>6590</v>
      </c>
      <c r="BF62" s="140">
        <f>+'NCES-Private Grads-all races'!BF63+'NCES-Public Grads-all races'!BJ64</f>
        <v>6520</v>
      </c>
    </row>
    <row r="63" spans="1:58">
      <c r="A63" s="159" t="s">
        <v>87</v>
      </c>
      <c r="B63" s="166">
        <f>+'NCES-Private Grads-all races'!B64+'NCES-Public Grads-all races'!F65</f>
        <v>5747</v>
      </c>
      <c r="C63" s="166">
        <f>+'NCES-Private Grads-all races'!C64+'NCES-Public Grads-all races'!G65</f>
        <v>6389</v>
      </c>
      <c r="D63" s="166">
        <f>+'NCES-Private Grads-all races'!D64+'NCES-Public Grads-all races'!H65</f>
        <v>6460.3428571428567</v>
      </c>
      <c r="E63" s="166">
        <f>+'NCES-Private Grads-all races'!E64+'NCES-Public Grads-all races'!I65</f>
        <v>6531.6857142857134</v>
      </c>
      <c r="F63" s="166">
        <f>+'NCES-Private Grads-all races'!F64+'NCES-Public Grads-all races'!J65</f>
        <v>6603.028571428571</v>
      </c>
      <c r="G63" s="166">
        <f>+'NCES-Private Grads-all races'!G64+'NCES-Public Grads-all races'!K65</f>
        <v>6674.3714285714277</v>
      </c>
      <c r="H63" s="166">
        <f>+'NCES-Private Grads-all races'!H64+'NCES-Public Grads-all races'!L65</f>
        <v>6745.7142857142853</v>
      </c>
      <c r="I63" s="166">
        <f>+'NCES-Private Grads-all races'!I64+'NCES-Public Grads-all races'!M65</f>
        <v>6542.8571428571431</v>
      </c>
      <c r="J63" s="166">
        <f>+'NCES-Private Grads-all races'!J64+'NCES-Public Grads-all races'!N65</f>
        <v>6765</v>
      </c>
      <c r="K63" s="166">
        <f>+'NCES-Private Grads-all races'!K64+'NCES-Public Grads-all races'!O65</f>
        <v>7013</v>
      </c>
      <c r="L63" s="166">
        <f>+'NCES-Private Grads-all races'!L64+'NCES-Public Grads-all races'!P65</f>
        <v>7340</v>
      </c>
      <c r="M63" s="166">
        <f>+'NCES-Private Grads-all races'!M64+'NCES-Public Grads-all races'!Q65</f>
        <v>6767</v>
      </c>
      <c r="N63" s="166">
        <f>+'NCES-Private Grads-all races'!N64+'NCES-Public Grads-all races'!R65</f>
        <v>6506</v>
      </c>
      <c r="O63" s="166">
        <f>+'NCES-Private Grads-all races'!O64+'NCES-Public Grads-all races'!S65</f>
        <v>6735</v>
      </c>
      <c r="P63" s="166">
        <f>+'NCES-Private Grads-all races'!P64+'NCES-Public Grads-all races'!T65</f>
        <v>6657.333333333333</v>
      </c>
      <c r="Q63" s="166">
        <f>+'NCES-Private Grads-all races'!Q64+'NCES-Public Grads-all races'!U65</f>
        <v>7354.6666666666661</v>
      </c>
      <c r="R63" s="166">
        <f>+'NCES-Private Grads-all races'!R64+'NCES-Public Grads-all races'!V65</f>
        <v>6573</v>
      </c>
      <c r="S63" s="166">
        <f>+'NCES-Private Grads-all races'!S64+'NCES-Public Grads-all races'!W65</f>
        <v>6508.7777777777774</v>
      </c>
      <c r="T63" s="166">
        <f>+'NCES-Private Grads-all races'!T64+'NCES-Public Grads-all races'!X65</f>
        <v>6578.5555555555557</v>
      </c>
      <c r="U63" s="166">
        <f>+'NCES-Private Grads-all races'!U64+'NCES-Public Grads-all races'!Y65</f>
        <v>6663.3333333333339</v>
      </c>
      <c r="V63" s="166">
        <f>+'NCES-Private Grads-all races'!V64+'NCES-Public Grads-all races'!Z65</f>
        <v>5874.1111111111113</v>
      </c>
      <c r="W63" s="166">
        <f>+'NCES-Private Grads-all races'!W64+'NCES-Public Grads-all races'!AA65</f>
        <v>5787.8888888888887</v>
      </c>
      <c r="X63" s="166">
        <f>+'NCES-Private Grads-all races'!X64+'NCES-Public Grads-all races'!AB65</f>
        <v>5769.666666666667</v>
      </c>
      <c r="Y63" s="166">
        <f>+'NCES-Private Grads-all races'!Y64+'NCES-Public Grads-all races'!AC65</f>
        <v>5783.4444444444453</v>
      </c>
      <c r="Z63" s="166">
        <f>+'NCES-Private Grads-all races'!Z64+'NCES-Public Grads-all races'!AD65</f>
        <v>5870.2222222222226</v>
      </c>
      <c r="AA63" s="166">
        <f>+'NCES-Private Grads-all races'!AA64+'NCES-Public Grads-all races'!AE65</f>
        <v>5600</v>
      </c>
      <c r="AB63" s="166">
        <f>+'NCES-Private Grads-all races'!AB64+'NCES-Public Grads-all races'!AF65</f>
        <v>5264</v>
      </c>
      <c r="AC63" s="166">
        <f>+'NCES-Private Grads-all races'!AC64+'NCES-Public Grads-all races'!AG65</f>
        <v>4610</v>
      </c>
      <c r="AD63" s="166">
        <f>+'NCES-Private Grads-all races'!AD64+'NCES-Public Grads-all races'!AH65</f>
        <v>4626</v>
      </c>
      <c r="AE63" s="166">
        <f>+'NCES-Private Grads-all races'!AE64+'NCES-Public Grads-all races'!AI65</f>
        <v>4190</v>
      </c>
      <c r="AF63" s="166">
        <f>+'NCES-Private Grads-all races'!AF64+'NCES-Public Grads-all races'!AJ65</f>
        <v>4355</v>
      </c>
      <c r="AG63" s="166">
        <f>+'NCES-Private Grads-all races'!AG64+'NCES-Public Grads-all races'!AK65</f>
        <v>4216</v>
      </c>
      <c r="AH63" s="166">
        <f>+'NCES-Private Grads-all races'!AH64+'NCES-Public Grads-all races'!AL65</f>
        <v>3677</v>
      </c>
      <c r="AI63" s="166">
        <f>+'NCES-Private Grads-all races'!AI64+'NCES-Public Grads-all races'!AM65</f>
        <v>4114</v>
      </c>
      <c r="AJ63" s="166">
        <f>+'NCES-Private Grads-all races'!AJ64+'NCES-Public Grads-all races'!AN65</f>
        <v>4023</v>
      </c>
      <c r="AK63" s="166">
        <f>+'NCES-Private Grads-all races'!AK64+'NCES-Public Grads-all races'!AO65</f>
        <v>3906</v>
      </c>
      <c r="AL63" s="166">
        <f>+'NCES-Private Grads-all races'!AL64+'NCES-Public Grads-all races'!AP65</f>
        <v>3549</v>
      </c>
      <c r="AM63" s="166">
        <f>+'NCES-Private Grads-all races'!AM64+'NCES-Public Grads-all races'!AQ65</f>
        <v>4363</v>
      </c>
      <c r="AN63" s="166">
        <f>+'NCES-Private Grads-all races'!AN64+'NCES-Public Grads-all races'!AR65</f>
        <v>4467.5</v>
      </c>
      <c r="AO63" s="166">
        <f>+'NCES-Private Grads-all races'!AO64+'NCES-Public Grads-all races'!AS65</f>
        <v>3925</v>
      </c>
      <c r="AP63" s="166">
        <f>+'NCES-Private Grads-all races'!AP64+'NCES-Public Grads-all races'!AT65</f>
        <v>4356</v>
      </c>
      <c r="AQ63" s="166">
        <f>+'NCES-Private Grads-all races'!AQ64+'NCES-Public Grads-all races'!AU65</f>
        <v>4231</v>
      </c>
      <c r="AR63" s="166">
        <f>+'NCES-Private Grads-all races'!AR64+'NCES-Public Grads-all races'!AV65</f>
        <v>4705</v>
      </c>
      <c r="AS63" s="166">
        <f>+'NCES-Private Grads-all races'!AS64+'NCES-Public Grads-all races'!AW65</f>
        <v>4604</v>
      </c>
      <c r="AT63" s="166">
        <f>+'NCES-Private Grads-all races'!AT64+'NCES-Public Grads-all races'!AX65</f>
        <v>4852</v>
      </c>
      <c r="AU63" s="166">
        <f>+'NCES-Private Grads-all races'!AU64+'NCES-Public Grads-all races'!AY65</f>
        <v>4857</v>
      </c>
      <c r="AV63" s="166">
        <f>+'NCES-Private Grads-all races'!AV64+'NCES-Public Grads-all races'!AZ65</f>
        <v>5027</v>
      </c>
      <c r="AW63" s="166">
        <f>+'NCES-Private Grads-all races'!AW64+'NCES-Public Grads-all races'!BA65</f>
        <v>4987</v>
      </c>
      <c r="AX63" s="166">
        <f>+'NCES-Private Grads-all races'!AX64+'NCES-Public Grads-all races'!BB65</f>
        <v>5525</v>
      </c>
      <c r="AY63" s="166">
        <f>+'NCES-Private Grads-all races'!AY64+'NCES-Public Grads-all races'!BC65</f>
        <v>5781</v>
      </c>
      <c r="AZ63" s="163">
        <f>+'NCES-Private Grads-all races'!AZ64+'NCES-Public Grads-all races'!BD65</f>
        <v>4791.3999999999996</v>
      </c>
      <c r="BA63" s="163">
        <f>+'NCES-Private Grads-all races'!BA64+'NCES-Public Grads-all races'!BE65</f>
        <v>4541.3999999999996</v>
      </c>
      <c r="BB63" s="163">
        <f>+'NCES-Private Grads-all races'!BB64+'NCES-Public Grads-all races'!BF65</f>
        <v>4656.9600000000009</v>
      </c>
      <c r="BC63" s="163">
        <f>+'NCES-Private Grads-all races'!BC64+'NCES-Public Grads-all races'!BG65</f>
        <v>4496</v>
      </c>
      <c r="BD63" s="163">
        <f>+'NCES-Private Grads-all races'!BD64+'NCES-Public Grads-all races'!BH65</f>
        <v>4794</v>
      </c>
      <c r="BE63" s="163">
        <f>+'NCES-Private Grads-all races'!BE64+'NCES-Public Grads-all races'!BI65</f>
        <v>4425</v>
      </c>
      <c r="BF63" s="140">
        <f>+'NCES-Private Grads-all races'!BF64+'NCES-Public Grads-all races'!BJ65</f>
        <v>4570</v>
      </c>
    </row>
    <row r="64" spans="1:58">
      <c r="B64" s="108"/>
      <c r="C64" s="98"/>
      <c r="D64" s="97"/>
      <c r="E64" s="97"/>
      <c r="F64" s="97"/>
      <c r="G64" s="97"/>
      <c r="H64" s="97"/>
      <c r="I64" s="97"/>
      <c r="J64" s="97"/>
      <c r="K64" s="97"/>
      <c r="L64" s="97"/>
      <c r="M64" s="97"/>
      <c r="N64" s="109"/>
      <c r="O64" s="97"/>
      <c r="P64" s="109"/>
      <c r="Q64" s="97"/>
      <c r="R64" s="97"/>
      <c r="S64" s="97"/>
      <c r="T64" s="97"/>
      <c r="U64" s="97"/>
      <c r="V64" s="97"/>
      <c r="W64" s="109"/>
      <c r="X64" s="109"/>
      <c r="Y64" s="97"/>
      <c r="Z64" s="97"/>
      <c r="AA64" s="97"/>
      <c r="AB64" s="97"/>
      <c r="AC64" s="109"/>
      <c r="AD64" s="109"/>
      <c r="AE64" s="109"/>
      <c r="AF64" s="109"/>
      <c r="AG64" s="109"/>
      <c r="AH64" s="109"/>
      <c r="AI64" s="109"/>
      <c r="AJ64" s="109"/>
      <c r="AK64" s="109"/>
      <c r="AL64" s="109"/>
      <c r="AM64" s="109"/>
      <c r="AN64" s="109"/>
      <c r="AO64" s="109"/>
      <c r="AP64" s="109"/>
      <c r="AQ64" s="109"/>
      <c r="AR64" s="109"/>
      <c r="AS64" s="109"/>
      <c r="AT64" s="109"/>
      <c r="AU64" s="109"/>
      <c r="AV64" s="107"/>
      <c r="AW64" s="107"/>
      <c r="AX64" s="107"/>
      <c r="AY64" s="107"/>
      <c r="AZ64" s="107"/>
    </row>
    <row r="65" spans="1:52" s="124" customFormat="1">
      <c r="A65" s="79"/>
      <c r="B65" s="120"/>
      <c r="C65" s="120"/>
      <c r="D65" s="110"/>
      <c r="E65" s="110"/>
      <c r="F65" s="110"/>
      <c r="G65" s="110"/>
      <c r="H65" s="110"/>
      <c r="I65" s="110"/>
      <c r="J65" s="110"/>
      <c r="K65" s="110"/>
      <c r="L65" s="110"/>
      <c r="M65" s="110"/>
      <c r="N65" s="121"/>
      <c r="O65" s="110"/>
      <c r="P65" s="121"/>
      <c r="Q65" s="110"/>
      <c r="R65" s="110"/>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23"/>
      <c r="AW65" s="123"/>
      <c r="AX65" s="123"/>
      <c r="AY65" s="123"/>
      <c r="AZ65" s="123"/>
    </row>
    <row r="66" spans="1:52">
      <c r="B66" s="98"/>
      <c r="C66" s="98"/>
      <c r="D66" s="97"/>
      <c r="E66" s="97"/>
      <c r="F66" s="97"/>
      <c r="G66" s="97"/>
      <c r="H66" s="97"/>
      <c r="I66" s="97"/>
      <c r="J66" s="97"/>
      <c r="K66" s="97"/>
      <c r="L66" s="97"/>
      <c r="M66" s="97"/>
      <c r="N66" s="99"/>
      <c r="O66" s="97"/>
      <c r="P66" s="99"/>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107"/>
      <c r="AW66" s="107"/>
      <c r="AX66" s="107"/>
      <c r="AY66" s="107"/>
      <c r="AZ66" s="107"/>
    </row>
    <row r="67" spans="1:52">
      <c r="B67" s="98"/>
      <c r="C67" s="98"/>
      <c r="D67" s="97"/>
      <c r="E67" s="97"/>
      <c r="F67" s="97"/>
      <c r="G67" s="97"/>
      <c r="H67" s="97"/>
      <c r="I67" s="97"/>
      <c r="J67" s="97"/>
      <c r="K67" s="97"/>
      <c r="L67" s="97"/>
      <c r="M67" s="97"/>
      <c r="N67" s="99"/>
      <c r="O67" s="97"/>
      <c r="P67" s="99"/>
      <c r="Q67" s="97"/>
      <c r="R67" s="97"/>
      <c r="S67" s="97"/>
      <c r="T67" s="97"/>
      <c r="U67" s="97"/>
      <c r="V67" s="97"/>
      <c r="W67" s="97"/>
      <c r="X67" s="97"/>
      <c r="Y67" s="97"/>
      <c r="Z67" s="97"/>
      <c r="AA67" s="97"/>
      <c r="AB67" s="97"/>
      <c r="AC67" s="97"/>
      <c r="AD67" s="97"/>
      <c r="AE67" s="97"/>
      <c r="AF67" s="97"/>
      <c r="AG67" s="97"/>
      <c r="AH67" s="97"/>
      <c r="AI67" s="97"/>
      <c r="AJ67" s="97"/>
      <c r="AK67" s="97"/>
      <c r="AL67" s="97"/>
      <c r="AM67" s="97"/>
      <c r="AN67" s="97"/>
      <c r="AO67" s="97"/>
      <c r="AP67" s="97"/>
      <c r="AQ67" s="97"/>
      <c r="AR67" s="97"/>
      <c r="AS67" s="97"/>
      <c r="AT67" s="97"/>
      <c r="AU67" s="97"/>
      <c r="AV67" s="107"/>
      <c r="AW67" s="107"/>
      <c r="AX67" s="107"/>
      <c r="AY67" s="107"/>
      <c r="AZ67" s="107"/>
    </row>
    <row r="68" spans="1:52">
      <c r="B68" s="98"/>
      <c r="C68" s="98"/>
      <c r="D68" s="97"/>
      <c r="E68" s="97"/>
      <c r="F68" s="97"/>
      <c r="G68" s="97"/>
      <c r="H68" s="97"/>
      <c r="I68" s="97"/>
      <c r="J68" s="97"/>
      <c r="K68" s="97"/>
      <c r="L68" s="97"/>
      <c r="M68" s="97"/>
      <c r="N68" s="99"/>
      <c r="O68" s="97"/>
      <c r="P68" s="99"/>
      <c r="Q68" s="97"/>
      <c r="R68" s="97"/>
      <c r="S68" s="97"/>
      <c r="T68" s="97"/>
      <c r="U68" s="97"/>
      <c r="V68" s="97"/>
      <c r="W68" s="97"/>
      <c r="X68" s="97"/>
      <c r="Y68" s="97"/>
      <c r="Z68" s="97"/>
      <c r="AA68" s="97"/>
      <c r="AB68" s="97"/>
      <c r="AC68" s="97"/>
      <c r="AD68" s="97"/>
      <c r="AE68" s="97"/>
      <c r="AF68" s="97"/>
      <c r="AG68" s="97"/>
      <c r="AH68" s="97"/>
      <c r="AI68" s="97"/>
      <c r="AJ68" s="97"/>
      <c r="AK68" s="97"/>
      <c r="AL68" s="97"/>
      <c r="AM68" s="97"/>
      <c r="AN68" s="97"/>
      <c r="AO68" s="97"/>
      <c r="AP68" s="97"/>
      <c r="AQ68" s="97"/>
      <c r="AR68" s="97"/>
      <c r="AS68" s="97"/>
      <c r="AT68" s="97"/>
      <c r="AU68" s="97"/>
      <c r="AV68" s="107"/>
      <c r="AW68" s="107"/>
      <c r="AX68" s="107"/>
      <c r="AY68" s="107"/>
      <c r="AZ68" s="107"/>
    </row>
    <row r="69" spans="1:52">
      <c r="B69" s="98"/>
      <c r="C69" s="98"/>
      <c r="D69" s="97"/>
      <c r="E69" s="97"/>
      <c r="F69" s="97"/>
      <c r="G69" s="97"/>
      <c r="H69" s="97"/>
      <c r="I69" s="97"/>
      <c r="J69" s="97"/>
      <c r="K69" s="97"/>
      <c r="L69" s="97"/>
      <c r="M69" s="97"/>
      <c r="N69" s="99"/>
      <c r="O69" s="97"/>
      <c r="P69" s="99"/>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107"/>
      <c r="AW69" s="107"/>
      <c r="AX69" s="107"/>
      <c r="AY69" s="107"/>
      <c r="AZ69" s="107"/>
    </row>
    <row r="70" spans="1:52">
      <c r="B70" s="98"/>
      <c r="C70" s="98"/>
      <c r="D70" s="97"/>
      <c r="E70" s="97"/>
      <c r="F70" s="97"/>
      <c r="G70" s="97"/>
      <c r="H70" s="97"/>
      <c r="I70" s="97"/>
      <c r="J70" s="97"/>
      <c r="K70" s="97"/>
      <c r="L70" s="97"/>
      <c r="M70" s="97"/>
      <c r="N70" s="99"/>
      <c r="O70" s="97"/>
      <c r="P70" s="99"/>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c r="AV70" s="107"/>
      <c r="AW70" s="107"/>
      <c r="AX70" s="107"/>
      <c r="AY70" s="107"/>
      <c r="AZ70" s="107"/>
    </row>
    <row r="71" spans="1:52">
      <c r="B71" s="98"/>
      <c r="C71" s="98"/>
      <c r="D71" s="97"/>
      <c r="E71" s="97"/>
      <c r="F71" s="97"/>
      <c r="G71" s="97"/>
      <c r="H71" s="97"/>
      <c r="I71" s="97"/>
      <c r="J71" s="97"/>
      <c r="K71" s="97"/>
      <c r="L71" s="97"/>
      <c r="M71" s="97"/>
      <c r="N71" s="99"/>
      <c r="O71" s="97"/>
      <c r="P71" s="99"/>
      <c r="Q71" s="97"/>
      <c r="R71" s="97"/>
      <c r="S71" s="97"/>
      <c r="T71" s="97"/>
      <c r="U71" s="97"/>
      <c r="V71" s="97"/>
      <c r="W71" s="97"/>
      <c r="X71" s="97"/>
      <c r="Y71" s="97"/>
      <c r="Z71" s="97"/>
      <c r="AA71" s="97"/>
      <c r="AB71" s="97"/>
      <c r="AC71" s="97"/>
      <c r="AD71" s="97"/>
      <c r="AE71" s="97"/>
      <c r="AF71" s="97"/>
      <c r="AG71" s="97"/>
      <c r="AH71" s="97"/>
      <c r="AI71" s="97"/>
      <c r="AJ71" s="97"/>
      <c r="AK71" s="97"/>
      <c r="AL71" s="97"/>
      <c r="AM71" s="97"/>
      <c r="AN71" s="97"/>
      <c r="AO71" s="97"/>
      <c r="AP71" s="97"/>
      <c r="AQ71" s="97"/>
      <c r="AR71" s="97"/>
      <c r="AS71" s="97"/>
      <c r="AT71" s="97"/>
      <c r="AU71" s="97"/>
      <c r="AV71" s="107"/>
      <c r="AW71" s="107"/>
      <c r="AX71" s="107"/>
      <c r="AY71" s="107"/>
      <c r="AZ71" s="107"/>
    </row>
    <row r="72" spans="1:52">
      <c r="B72" s="98"/>
      <c r="C72" s="98"/>
      <c r="D72" s="97"/>
      <c r="E72" s="97"/>
      <c r="F72" s="97"/>
      <c r="G72" s="97"/>
      <c r="H72" s="97"/>
      <c r="I72" s="97"/>
      <c r="J72" s="97"/>
      <c r="K72" s="97"/>
      <c r="L72" s="97"/>
      <c r="M72" s="97"/>
      <c r="N72" s="99"/>
      <c r="O72" s="97"/>
      <c r="P72" s="99"/>
      <c r="Q72" s="97"/>
      <c r="R72" s="97"/>
      <c r="S72" s="97"/>
      <c r="T72" s="97"/>
      <c r="U72" s="97"/>
      <c r="V72" s="97"/>
      <c r="W72" s="97"/>
      <c r="X72" s="97"/>
      <c r="Y72" s="97"/>
      <c r="Z72" s="97"/>
      <c r="AA72" s="97"/>
      <c r="AB72" s="97"/>
      <c r="AC72" s="97"/>
      <c r="AD72" s="97"/>
      <c r="AE72" s="97"/>
      <c r="AF72" s="97"/>
      <c r="AG72" s="97"/>
      <c r="AH72" s="97"/>
      <c r="AI72" s="97"/>
      <c r="AJ72" s="97"/>
      <c r="AK72" s="97"/>
      <c r="AL72" s="97"/>
      <c r="AM72" s="97"/>
      <c r="AN72" s="97"/>
      <c r="AO72" s="97"/>
      <c r="AP72" s="97"/>
      <c r="AQ72" s="97"/>
      <c r="AR72" s="97"/>
      <c r="AS72" s="97"/>
      <c r="AT72" s="97"/>
      <c r="AU72" s="97"/>
      <c r="AV72" s="107"/>
      <c r="AW72" s="107"/>
      <c r="AX72" s="107"/>
      <c r="AY72" s="107"/>
      <c r="AZ72" s="107"/>
    </row>
    <row r="73" spans="1:52">
      <c r="B73" s="98"/>
      <c r="C73" s="98"/>
      <c r="D73" s="97"/>
      <c r="E73" s="97"/>
      <c r="F73" s="97"/>
      <c r="G73" s="97"/>
      <c r="H73" s="97"/>
      <c r="I73" s="97"/>
      <c r="J73" s="97"/>
      <c r="K73" s="97"/>
      <c r="L73" s="97"/>
      <c r="M73" s="97"/>
      <c r="N73" s="99"/>
      <c r="O73" s="97"/>
      <c r="P73" s="99"/>
      <c r="Q73" s="97"/>
      <c r="R73" s="97"/>
      <c r="S73" s="97"/>
      <c r="T73" s="97"/>
      <c r="U73" s="97"/>
      <c r="V73" s="97"/>
      <c r="W73" s="97"/>
      <c r="X73" s="97"/>
      <c r="Y73" s="97"/>
      <c r="Z73" s="97"/>
      <c r="AA73" s="97"/>
      <c r="AB73" s="97"/>
      <c r="AC73" s="97"/>
      <c r="AD73" s="97"/>
      <c r="AE73" s="97"/>
      <c r="AF73" s="97"/>
      <c r="AG73" s="97"/>
      <c r="AH73" s="97"/>
      <c r="AI73" s="97"/>
      <c r="AJ73" s="97"/>
      <c r="AK73" s="97"/>
      <c r="AL73" s="97"/>
      <c r="AM73" s="97"/>
      <c r="AN73" s="97"/>
      <c r="AO73" s="97"/>
      <c r="AP73" s="97"/>
      <c r="AQ73" s="97"/>
      <c r="AR73" s="97"/>
      <c r="AS73" s="97"/>
      <c r="AT73" s="97"/>
      <c r="AU73" s="97"/>
      <c r="AV73" s="107"/>
      <c r="AW73" s="107"/>
      <c r="AX73" s="107"/>
      <c r="AY73" s="107"/>
      <c r="AZ73" s="107"/>
    </row>
    <row r="74" spans="1:52">
      <c r="B74" s="98"/>
      <c r="C74" s="98"/>
      <c r="D74" s="97"/>
      <c r="E74" s="97"/>
      <c r="F74" s="97"/>
      <c r="G74" s="97"/>
      <c r="H74" s="97"/>
      <c r="I74" s="97"/>
      <c r="J74" s="97"/>
      <c r="K74" s="97"/>
      <c r="L74" s="97"/>
      <c r="M74" s="97"/>
      <c r="N74" s="99"/>
      <c r="O74" s="97"/>
      <c r="P74" s="99"/>
      <c r="Q74" s="97"/>
      <c r="R74" s="97"/>
      <c r="S74" s="97"/>
      <c r="T74" s="97"/>
      <c r="U74" s="97"/>
      <c r="V74" s="97"/>
      <c r="W74" s="97"/>
      <c r="X74" s="97"/>
      <c r="Y74" s="97"/>
      <c r="Z74" s="97"/>
      <c r="AA74" s="97"/>
      <c r="AB74" s="97"/>
      <c r="AC74" s="97"/>
      <c r="AD74" s="97"/>
      <c r="AE74" s="97"/>
      <c r="AF74" s="97"/>
      <c r="AG74" s="97"/>
      <c r="AH74" s="97"/>
      <c r="AI74" s="97"/>
      <c r="AJ74" s="97"/>
      <c r="AK74" s="97"/>
      <c r="AL74" s="97"/>
      <c r="AM74" s="97"/>
      <c r="AN74" s="97"/>
      <c r="AO74" s="97"/>
      <c r="AP74" s="97"/>
      <c r="AQ74" s="97"/>
      <c r="AR74" s="97"/>
      <c r="AS74" s="97"/>
      <c r="AT74" s="97"/>
      <c r="AU74" s="97"/>
      <c r="AV74" s="107"/>
      <c r="AW74" s="107"/>
      <c r="AX74" s="107"/>
      <c r="AY74" s="107"/>
      <c r="AZ74" s="107"/>
    </row>
    <row r="75" spans="1:52">
      <c r="B75" s="98"/>
      <c r="C75" s="98"/>
      <c r="D75" s="97"/>
      <c r="E75" s="97"/>
      <c r="F75" s="97"/>
      <c r="G75" s="97"/>
      <c r="H75" s="97"/>
      <c r="I75" s="97"/>
      <c r="J75" s="97"/>
      <c r="K75" s="97"/>
      <c r="L75" s="97"/>
      <c r="M75" s="97"/>
      <c r="N75" s="99"/>
      <c r="O75" s="97"/>
      <c r="P75" s="99"/>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97"/>
      <c r="AP75" s="97"/>
      <c r="AQ75" s="97"/>
      <c r="AR75" s="97"/>
      <c r="AS75" s="97"/>
      <c r="AT75" s="97"/>
      <c r="AU75" s="97"/>
      <c r="AV75" s="107"/>
      <c r="AW75" s="107"/>
      <c r="AX75" s="107"/>
      <c r="AY75" s="107"/>
      <c r="AZ75" s="107"/>
    </row>
    <row r="76" spans="1:52">
      <c r="B76" s="98"/>
      <c r="C76" s="98"/>
      <c r="D76" s="97"/>
      <c r="E76" s="97"/>
      <c r="F76" s="97"/>
      <c r="G76" s="97"/>
      <c r="H76" s="97"/>
      <c r="I76" s="97"/>
      <c r="J76" s="97"/>
      <c r="K76" s="97"/>
      <c r="L76" s="97"/>
      <c r="M76" s="97"/>
      <c r="N76" s="99"/>
      <c r="O76" s="97"/>
      <c r="P76" s="99"/>
      <c r="Q76" s="97"/>
      <c r="R76" s="97"/>
      <c r="S76" s="97"/>
      <c r="T76" s="97"/>
      <c r="U76" s="97"/>
      <c r="V76" s="97"/>
      <c r="W76" s="97"/>
      <c r="X76" s="97"/>
      <c r="Y76" s="97"/>
      <c r="Z76" s="97"/>
      <c r="AA76" s="97"/>
      <c r="AB76" s="97"/>
      <c r="AC76" s="97"/>
      <c r="AD76" s="97"/>
      <c r="AE76" s="97"/>
      <c r="AF76" s="97"/>
      <c r="AG76" s="97"/>
      <c r="AH76" s="97"/>
      <c r="AI76" s="97"/>
      <c r="AJ76" s="97"/>
      <c r="AK76" s="97"/>
      <c r="AL76" s="97"/>
      <c r="AM76" s="97"/>
      <c r="AN76" s="97"/>
      <c r="AO76" s="97"/>
      <c r="AP76" s="97"/>
      <c r="AQ76" s="97"/>
      <c r="AR76" s="97"/>
      <c r="AS76" s="97"/>
      <c r="AT76" s="97"/>
      <c r="AU76" s="97"/>
      <c r="AV76" s="107"/>
      <c r="AW76" s="107"/>
      <c r="AX76" s="107"/>
      <c r="AY76" s="107"/>
      <c r="AZ76" s="107"/>
    </row>
    <row r="77" spans="1:52">
      <c r="B77" s="98"/>
      <c r="C77" s="98"/>
      <c r="D77" s="97"/>
      <c r="E77" s="97"/>
      <c r="F77" s="97"/>
      <c r="G77" s="97"/>
      <c r="H77" s="97"/>
      <c r="I77" s="97"/>
      <c r="J77" s="97"/>
      <c r="K77" s="97"/>
      <c r="L77" s="97"/>
      <c r="M77" s="97"/>
      <c r="N77" s="99"/>
      <c r="O77" s="97"/>
      <c r="P77" s="99"/>
      <c r="Q77" s="97"/>
      <c r="R77" s="97"/>
      <c r="S77" s="97"/>
      <c r="T77" s="97"/>
      <c r="U77" s="97"/>
      <c r="V77" s="97"/>
      <c r="W77" s="97"/>
      <c r="X77" s="97"/>
      <c r="Y77" s="97"/>
      <c r="Z77" s="97"/>
      <c r="AA77" s="97"/>
      <c r="AB77" s="97"/>
      <c r="AC77" s="97"/>
      <c r="AD77" s="97"/>
      <c r="AE77" s="97"/>
      <c r="AF77" s="97"/>
      <c r="AG77" s="97"/>
      <c r="AH77" s="97"/>
      <c r="AI77" s="97"/>
      <c r="AJ77" s="97"/>
      <c r="AK77" s="97"/>
      <c r="AL77" s="97"/>
      <c r="AM77" s="97"/>
      <c r="AN77" s="97"/>
      <c r="AO77" s="97"/>
      <c r="AP77" s="97"/>
      <c r="AQ77" s="97"/>
      <c r="AR77" s="97"/>
      <c r="AS77" s="97"/>
      <c r="AT77" s="97"/>
      <c r="AU77" s="97"/>
      <c r="AV77" s="107"/>
      <c r="AW77" s="107"/>
      <c r="AX77" s="107"/>
      <c r="AY77" s="107"/>
      <c r="AZ77" s="107"/>
    </row>
    <row r="78" spans="1:52">
      <c r="B78" s="98"/>
      <c r="C78" s="98"/>
      <c r="D78" s="97"/>
      <c r="E78" s="97"/>
      <c r="F78" s="97"/>
      <c r="G78" s="97"/>
      <c r="H78" s="97"/>
      <c r="I78" s="97"/>
      <c r="J78" s="97"/>
      <c r="K78" s="97"/>
      <c r="L78" s="97"/>
      <c r="M78" s="97"/>
      <c r="N78" s="99"/>
      <c r="O78" s="97"/>
      <c r="P78" s="99"/>
      <c r="Q78" s="97"/>
      <c r="R78" s="97"/>
      <c r="S78" s="97"/>
      <c r="T78" s="97"/>
      <c r="U78" s="97"/>
      <c r="V78" s="97"/>
      <c r="W78" s="97"/>
      <c r="X78" s="97"/>
      <c r="Y78" s="97"/>
      <c r="Z78" s="97"/>
      <c r="AA78" s="97"/>
      <c r="AB78" s="97"/>
      <c r="AC78" s="97"/>
      <c r="AD78" s="97"/>
      <c r="AE78" s="97"/>
      <c r="AF78" s="97"/>
      <c r="AG78" s="97"/>
      <c r="AH78" s="97"/>
      <c r="AI78" s="97"/>
      <c r="AJ78" s="97"/>
      <c r="AK78" s="97"/>
      <c r="AL78" s="97"/>
      <c r="AM78" s="97"/>
      <c r="AN78" s="97"/>
      <c r="AO78" s="97"/>
      <c r="AP78" s="97"/>
      <c r="AQ78" s="97"/>
      <c r="AR78" s="97"/>
      <c r="AS78" s="97"/>
      <c r="AT78" s="97"/>
      <c r="AU78" s="97"/>
      <c r="AV78" s="107"/>
      <c r="AW78" s="107"/>
      <c r="AX78" s="107"/>
      <c r="AY78" s="107"/>
      <c r="AZ78" s="107"/>
    </row>
    <row r="79" spans="1:52">
      <c r="B79" s="98"/>
      <c r="C79" s="98"/>
      <c r="D79" s="97"/>
      <c r="E79" s="97"/>
      <c r="F79" s="97"/>
      <c r="G79" s="97"/>
      <c r="H79" s="97"/>
      <c r="I79" s="97"/>
      <c r="J79" s="97"/>
      <c r="K79" s="97"/>
      <c r="L79" s="97"/>
      <c r="M79" s="97"/>
      <c r="N79" s="99"/>
      <c r="O79" s="97"/>
      <c r="P79" s="99"/>
      <c r="Q79" s="97"/>
      <c r="R79" s="97"/>
      <c r="S79" s="97"/>
      <c r="T79" s="97"/>
      <c r="U79" s="97"/>
      <c r="V79" s="97"/>
      <c r="W79" s="97"/>
      <c r="X79" s="97"/>
      <c r="Y79" s="97"/>
      <c r="Z79" s="97"/>
      <c r="AA79" s="97"/>
      <c r="AB79" s="97"/>
      <c r="AC79" s="97"/>
      <c r="AD79" s="97"/>
      <c r="AE79" s="97"/>
      <c r="AF79" s="97"/>
      <c r="AG79" s="97"/>
      <c r="AH79" s="97"/>
      <c r="AI79" s="97"/>
      <c r="AJ79" s="97"/>
      <c r="AK79" s="97"/>
      <c r="AL79" s="97"/>
      <c r="AM79" s="97"/>
      <c r="AN79" s="97"/>
      <c r="AO79" s="97"/>
      <c r="AP79" s="97"/>
      <c r="AQ79" s="97"/>
      <c r="AR79" s="97"/>
      <c r="AS79" s="97"/>
      <c r="AT79" s="97"/>
      <c r="AU79" s="97"/>
      <c r="AV79" s="107"/>
      <c r="AW79" s="107"/>
      <c r="AX79" s="107"/>
      <c r="AY79" s="107"/>
      <c r="AZ79" s="107"/>
    </row>
    <row r="80" spans="1:52">
      <c r="B80" s="98"/>
      <c r="C80" s="98"/>
      <c r="D80" s="97"/>
      <c r="E80" s="97"/>
      <c r="F80" s="97"/>
      <c r="G80" s="97"/>
      <c r="H80" s="97"/>
      <c r="I80" s="97"/>
      <c r="J80" s="97"/>
      <c r="K80" s="97"/>
      <c r="L80" s="97"/>
      <c r="M80" s="97"/>
      <c r="N80" s="99"/>
      <c r="O80" s="97"/>
      <c r="P80" s="99"/>
      <c r="Q80" s="97"/>
      <c r="R80" s="97"/>
      <c r="S80" s="97"/>
      <c r="T80" s="97"/>
      <c r="U80" s="97"/>
      <c r="V80" s="97"/>
      <c r="W80" s="97"/>
      <c r="X80" s="97"/>
      <c r="Y80" s="97"/>
      <c r="Z80" s="97"/>
      <c r="AA80" s="97"/>
      <c r="AB80" s="97"/>
      <c r="AC80" s="97"/>
      <c r="AD80" s="97"/>
      <c r="AE80" s="97"/>
      <c r="AF80" s="97"/>
      <c r="AG80" s="97"/>
      <c r="AH80" s="97"/>
      <c r="AI80" s="97"/>
      <c r="AJ80" s="97"/>
      <c r="AK80" s="97"/>
      <c r="AL80" s="97"/>
      <c r="AM80" s="97"/>
      <c r="AN80" s="97"/>
      <c r="AO80" s="97"/>
      <c r="AP80" s="97"/>
      <c r="AQ80" s="97"/>
      <c r="AR80" s="97"/>
      <c r="AS80" s="97"/>
      <c r="AT80" s="97"/>
      <c r="AU80" s="97"/>
      <c r="AV80" s="107"/>
      <c r="AW80" s="107"/>
      <c r="AX80" s="107"/>
      <c r="AY80" s="107"/>
      <c r="AZ80" s="107"/>
    </row>
    <row r="81" spans="2:52">
      <c r="B81" s="98"/>
      <c r="C81" s="98"/>
      <c r="D81" s="97"/>
      <c r="E81" s="97"/>
      <c r="F81" s="97"/>
      <c r="G81" s="97"/>
      <c r="H81" s="97"/>
      <c r="I81" s="97"/>
      <c r="J81" s="97"/>
      <c r="K81" s="97"/>
      <c r="L81" s="97"/>
      <c r="M81" s="97"/>
      <c r="N81" s="99"/>
      <c r="O81" s="97"/>
      <c r="P81" s="99"/>
      <c r="Q81" s="97"/>
      <c r="R81" s="97"/>
      <c r="S81" s="97"/>
      <c r="T81" s="97"/>
      <c r="U81" s="97"/>
      <c r="V81" s="97"/>
      <c r="W81" s="97"/>
      <c r="X81" s="97"/>
      <c r="Y81" s="97"/>
      <c r="Z81" s="97"/>
      <c r="AA81" s="97"/>
      <c r="AB81" s="97"/>
      <c r="AC81" s="97"/>
      <c r="AD81" s="97"/>
      <c r="AE81" s="97"/>
      <c r="AF81" s="97"/>
      <c r="AG81" s="97"/>
      <c r="AH81" s="97"/>
      <c r="AI81" s="97"/>
      <c r="AJ81" s="97"/>
      <c r="AK81" s="97"/>
      <c r="AL81" s="97"/>
      <c r="AM81" s="97"/>
      <c r="AN81" s="97"/>
      <c r="AO81" s="97"/>
      <c r="AP81" s="97"/>
      <c r="AQ81" s="97"/>
      <c r="AR81" s="97"/>
      <c r="AS81" s="97"/>
      <c r="AT81" s="97"/>
      <c r="AU81" s="97"/>
      <c r="AV81" s="107"/>
      <c r="AW81" s="107"/>
      <c r="AX81" s="107"/>
      <c r="AY81" s="107"/>
      <c r="AZ81" s="107"/>
    </row>
    <row r="82" spans="2:52">
      <c r="B82" s="98"/>
      <c r="C82" s="98"/>
      <c r="D82" s="97"/>
      <c r="E82" s="97"/>
      <c r="F82" s="97"/>
      <c r="G82" s="97"/>
      <c r="H82" s="97"/>
      <c r="I82" s="97"/>
      <c r="J82" s="97"/>
      <c r="K82" s="97"/>
      <c r="L82" s="97"/>
      <c r="M82" s="97"/>
      <c r="N82" s="99"/>
      <c r="O82" s="97"/>
      <c r="P82" s="99"/>
      <c r="Q82" s="97"/>
      <c r="R82" s="97"/>
      <c r="S82" s="97"/>
      <c r="T82" s="97"/>
      <c r="U82" s="97"/>
      <c r="V82" s="97"/>
      <c r="W82" s="97"/>
      <c r="X82" s="97"/>
      <c r="Y82" s="97"/>
      <c r="Z82" s="97"/>
      <c r="AA82" s="97"/>
      <c r="AB82" s="97"/>
      <c r="AC82" s="97"/>
      <c r="AD82" s="97"/>
      <c r="AE82" s="97"/>
      <c r="AF82" s="97"/>
      <c r="AG82" s="97"/>
      <c r="AH82" s="97"/>
      <c r="AI82" s="97"/>
      <c r="AJ82" s="97"/>
      <c r="AK82" s="97"/>
      <c r="AL82" s="97"/>
      <c r="AM82" s="97"/>
      <c r="AN82" s="97"/>
      <c r="AO82" s="97"/>
      <c r="AP82" s="97"/>
      <c r="AQ82" s="97"/>
      <c r="AR82" s="97"/>
      <c r="AS82" s="97"/>
      <c r="AT82" s="97"/>
      <c r="AU82" s="97"/>
      <c r="AV82" s="107"/>
      <c r="AW82" s="107"/>
      <c r="AX82" s="107"/>
      <c r="AY82" s="107"/>
      <c r="AZ82" s="107"/>
    </row>
    <row r="83" spans="2:52">
      <c r="B83" s="98"/>
      <c r="C83" s="98"/>
      <c r="D83" s="97"/>
      <c r="E83" s="97"/>
      <c r="F83" s="97"/>
      <c r="G83" s="97"/>
      <c r="H83" s="97"/>
      <c r="I83" s="97"/>
      <c r="J83" s="97"/>
      <c r="K83" s="97"/>
      <c r="L83" s="97"/>
      <c r="M83" s="97"/>
      <c r="N83" s="99"/>
      <c r="O83" s="97"/>
      <c r="P83" s="99"/>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107"/>
      <c r="AW83" s="107"/>
      <c r="AX83" s="107"/>
      <c r="AY83" s="107"/>
      <c r="AZ83" s="107"/>
    </row>
    <row r="84" spans="2:52">
      <c r="B84" s="98"/>
      <c r="C84" s="98"/>
      <c r="D84" s="97"/>
      <c r="E84" s="97"/>
      <c r="F84" s="97"/>
      <c r="G84" s="97"/>
      <c r="H84" s="97"/>
      <c r="I84" s="97"/>
      <c r="J84" s="97"/>
      <c r="K84" s="97"/>
      <c r="L84" s="97"/>
      <c r="M84" s="97"/>
      <c r="N84" s="99"/>
      <c r="O84" s="97"/>
      <c r="P84" s="99"/>
      <c r="Q84" s="97"/>
      <c r="R84" s="97"/>
      <c r="S84" s="97"/>
      <c r="T84" s="97"/>
      <c r="U84" s="97"/>
      <c r="V84" s="97"/>
      <c r="W84" s="97"/>
      <c r="X84" s="97"/>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107"/>
      <c r="AW84" s="107"/>
      <c r="AX84" s="107"/>
      <c r="AY84" s="107"/>
      <c r="AZ84" s="107"/>
    </row>
    <row r="85" spans="2:52">
      <c r="B85" s="98"/>
      <c r="C85" s="98"/>
      <c r="D85" s="97"/>
      <c r="E85" s="97"/>
      <c r="F85" s="97"/>
      <c r="G85" s="97"/>
      <c r="H85" s="97"/>
      <c r="I85" s="97"/>
      <c r="J85" s="97"/>
      <c r="K85" s="97"/>
      <c r="L85" s="97"/>
      <c r="M85" s="97"/>
      <c r="N85" s="99"/>
      <c r="O85" s="97"/>
      <c r="P85" s="99"/>
      <c r="Q85" s="97"/>
      <c r="R85" s="97"/>
      <c r="S85" s="97"/>
      <c r="T85" s="97"/>
      <c r="U85" s="97"/>
      <c r="V85" s="97"/>
      <c r="W85" s="97"/>
      <c r="X85" s="97"/>
      <c r="Y85" s="97"/>
      <c r="Z85" s="97"/>
      <c r="AA85" s="97"/>
      <c r="AB85" s="97"/>
      <c r="AC85" s="97"/>
      <c r="AD85" s="97"/>
      <c r="AE85" s="97"/>
      <c r="AF85" s="97"/>
      <c r="AG85" s="97"/>
      <c r="AH85" s="97"/>
      <c r="AI85" s="97"/>
      <c r="AJ85" s="97"/>
      <c r="AK85" s="97"/>
      <c r="AL85" s="97"/>
      <c r="AM85" s="97"/>
      <c r="AN85" s="97"/>
      <c r="AO85" s="97"/>
      <c r="AP85" s="97"/>
      <c r="AQ85" s="97"/>
      <c r="AR85" s="97"/>
      <c r="AS85" s="97"/>
      <c r="AT85" s="97"/>
      <c r="AU85" s="97"/>
      <c r="AV85" s="107"/>
      <c r="AW85" s="107"/>
      <c r="AX85" s="107"/>
      <c r="AY85" s="107"/>
      <c r="AZ85" s="107"/>
    </row>
    <row r="86" spans="2:52">
      <c r="B86" s="98"/>
      <c r="C86" s="98"/>
      <c r="D86" s="97"/>
      <c r="E86" s="97"/>
      <c r="F86" s="97"/>
      <c r="G86" s="97"/>
      <c r="H86" s="97"/>
      <c r="I86" s="97"/>
      <c r="J86" s="97"/>
      <c r="K86" s="97"/>
      <c r="L86" s="97"/>
      <c r="M86" s="97"/>
      <c r="N86" s="99"/>
      <c r="O86" s="97"/>
      <c r="P86" s="99"/>
      <c r="Q86" s="97"/>
      <c r="R86" s="97"/>
      <c r="S86" s="97"/>
      <c r="T86" s="97"/>
      <c r="U86" s="97"/>
      <c r="V86" s="97"/>
      <c r="W86" s="97"/>
      <c r="X86" s="97"/>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107"/>
      <c r="AW86" s="107"/>
      <c r="AX86" s="107"/>
      <c r="AY86" s="107"/>
      <c r="AZ86" s="107"/>
    </row>
    <row r="87" spans="2:52">
      <c r="B87" s="98"/>
      <c r="C87" s="98"/>
      <c r="D87" s="97"/>
      <c r="E87" s="97"/>
      <c r="F87" s="97"/>
      <c r="G87" s="97"/>
      <c r="H87" s="97"/>
      <c r="I87" s="97"/>
      <c r="J87" s="97"/>
      <c r="K87" s="97"/>
      <c r="L87" s="97"/>
      <c r="M87" s="97"/>
      <c r="N87" s="99"/>
      <c r="O87" s="97"/>
      <c r="P87" s="99"/>
      <c r="Q87" s="97"/>
      <c r="R87" s="97"/>
      <c r="S87" s="97"/>
      <c r="T87" s="97"/>
      <c r="U87" s="97"/>
      <c r="V87" s="97"/>
      <c r="W87" s="97"/>
      <c r="X87" s="97"/>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107"/>
      <c r="AW87" s="107"/>
      <c r="AX87" s="107"/>
      <c r="AY87" s="107"/>
      <c r="AZ87" s="107"/>
    </row>
    <row r="88" spans="2:52">
      <c r="B88" s="98"/>
      <c r="C88" s="98"/>
      <c r="D88" s="97"/>
      <c r="E88" s="97"/>
      <c r="F88" s="97"/>
      <c r="G88" s="97"/>
      <c r="H88" s="97"/>
      <c r="I88" s="97"/>
      <c r="J88" s="97"/>
      <c r="K88" s="97"/>
      <c r="L88" s="97"/>
      <c r="M88" s="97"/>
      <c r="N88" s="99"/>
      <c r="O88" s="97"/>
      <c r="P88" s="99"/>
      <c r="Q88" s="97"/>
      <c r="R88" s="97"/>
      <c r="S88" s="97"/>
      <c r="T88" s="97"/>
      <c r="U88" s="97"/>
      <c r="V88" s="97"/>
      <c r="W88" s="97"/>
      <c r="X88" s="97"/>
      <c r="Y88" s="97"/>
      <c r="Z88" s="97"/>
      <c r="AA88" s="97"/>
      <c r="AB88" s="97"/>
      <c r="AC88" s="97"/>
      <c r="AD88" s="97"/>
      <c r="AE88" s="97"/>
      <c r="AF88" s="97"/>
      <c r="AG88" s="97"/>
      <c r="AH88" s="97"/>
      <c r="AI88" s="97"/>
      <c r="AJ88" s="97"/>
      <c r="AK88" s="97"/>
      <c r="AL88" s="97"/>
      <c r="AM88" s="97"/>
      <c r="AN88" s="97"/>
      <c r="AO88" s="97"/>
      <c r="AP88" s="97"/>
      <c r="AQ88" s="97"/>
      <c r="AR88" s="97"/>
      <c r="AS88" s="97"/>
      <c r="AT88" s="97"/>
      <c r="AU88" s="97"/>
      <c r="AV88" s="107"/>
      <c r="AW88" s="107"/>
      <c r="AX88" s="107"/>
      <c r="AY88" s="107"/>
      <c r="AZ88" s="107"/>
    </row>
    <row r="89" spans="2:52">
      <c r="B89" s="98"/>
      <c r="C89" s="98"/>
      <c r="D89" s="97"/>
      <c r="E89" s="97"/>
      <c r="F89" s="97"/>
      <c r="G89" s="97"/>
      <c r="H89" s="97"/>
      <c r="I89" s="97"/>
      <c r="J89" s="97"/>
      <c r="K89" s="97"/>
      <c r="L89" s="97"/>
      <c r="M89" s="97"/>
      <c r="N89" s="99"/>
      <c r="O89" s="97"/>
      <c r="P89" s="99"/>
      <c r="Q89" s="97"/>
      <c r="R89" s="97"/>
      <c r="S89" s="97"/>
      <c r="T89" s="97"/>
      <c r="U89" s="97"/>
      <c r="V89" s="97"/>
      <c r="W89" s="97"/>
      <c r="X89" s="97"/>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107"/>
      <c r="AW89" s="107"/>
      <c r="AX89" s="107"/>
      <c r="AY89" s="107"/>
      <c r="AZ89" s="107"/>
    </row>
    <row r="90" spans="2:52">
      <c r="B90" s="98"/>
      <c r="C90" s="98"/>
      <c r="D90" s="97"/>
      <c r="E90" s="97"/>
      <c r="F90" s="97"/>
      <c r="G90" s="97"/>
      <c r="H90" s="97"/>
      <c r="I90" s="97"/>
      <c r="J90" s="97"/>
      <c r="K90" s="97"/>
      <c r="L90" s="97"/>
      <c r="M90" s="97"/>
      <c r="N90" s="99"/>
      <c r="O90" s="97"/>
      <c r="P90" s="99"/>
      <c r="Q90" s="97"/>
      <c r="R90" s="97"/>
      <c r="S90" s="97"/>
      <c r="T90" s="97"/>
      <c r="U90" s="97"/>
      <c r="V90" s="97"/>
      <c r="W90" s="97"/>
      <c r="X90" s="97"/>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107"/>
      <c r="AW90" s="107"/>
      <c r="AX90" s="107"/>
      <c r="AY90" s="107"/>
      <c r="AZ90" s="107"/>
    </row>
    <row r="91" spans="2:52">
      <c r="B91" s="98"/>
      <c r="C91" s="98"/>
      <c r="D91" s="97"/>
      <c r="E91" s="97"/>
      <c r="F91" s="97"/>
      <c r="G91" s="97"/>
      <c r="H91" s="97"/>
      <c r="I91" s="97"/>
      <c r="J91" s="97"/>
      <c r="K91" s="97"/>
      <c r="L91" s="97"/>
      <c r="M91" s="97"/>
      <c r="N91" s="99"/>
      <c r="O91" s="97"/>
      <c r="P91" s="99"/>
      <c r="Q91" s="97"/>
      <c r="R91" s="97"/>
      <c r="S91" s="97"/>
      <c r="T91" s="97"/>
      <c r="U91" s="97"/>
      <c r="V91" s="97"/>
      <c r="W91" s="97"/>
      <c r="X91" s="97"/>
      <c r="Y91" s="97"/>
      <c r="Z91" s="97"/>
      <c r="AA91" s="97"/>
      <c r="AB91" s="97"/>
      <c r="AC91" s="97"/>
      <c r="AD91" s="97"/>
      <c r="AE91" s="97"/>
      <c r="AF91" s="97"/>
      <c r="AG91" s="97"/>
      <c r="AH91" s="97"/>
      <c r="AI91" s="97"/>
      <c r="AJ91" s="97"/>
      <c r="AK91" s="97"/>
      <c r="AL91" s="97"/>
      <c r="AM91" s="97"/>
      <c r="AN91" s="97"/>
      <c r="AO91" s="97"/>
      <c r="AP91" s="97"/>
      <c r="AQ91" s="97"/>
      <c r="AR91" s="97"/>
      <c r="AS91" s="97"/>
      <c r="AT91" s="97"/>
      <c r="AU91" s="97"/>
      <c r="AV91" s="107"/>
      <c r="AW91" s="107"/>
      <c r="AX91" s="107"/>
      <c r="AY91" s="107"/>
      <c r="AZ91" s="107"/>
    </row>
    <row r="92" spans="2:52">
      <c r="B92" s="98"/>
      <c r="C92" s="98"/>
      <c r="D92" s="97"/>
      <c r="E92" s="97"/>
      <c r="F92" s="97"/>
      <c r="G92" s="97"/>
      <c r="H92" s="97"/>
      <c r="I92" s="97"/>
      <c r="J92" s="97"/>
      <c r="K92" s="97"/>
      <c r="L92" s="97"/>
      <c r="M92" s="97"/>
      <c r="N92" s="99"/>
      <c r="O92" s="97"/>
      <c r="P92" s="99"/>
      <c r="Q92" s="97"/>
      <c r="R92" s="97"/>
      <c r="S92" s="97"/>
      <c r="T92" s="97"/>
      <c r="U92" s="97"/>
      <c r="V92" s="97"/>
      <c r="W92" s="97"/>
      <c r="X92" s="97"/>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107"/>
      <c r="AW92" s="107"/>
      <c r="AX92" s="107"/>
      <c r="AY92" s="107"/>
      <c r="AZ92" s="107"/>
    </row>
    <row r="93" spans="2:52">
      <c r="B93" s="98"/>
      <c r="C93" s="98"/>
      <c r="D93" s="97"/>
      <c r="E93" s="97"/>
      <c r="F93" s="97"/>
      <c r="G93" s="97"/>
      <c r="H93" s="97"/>
      <c r="I93" s="97"/>
      <c r="J93" s="97"/>
      <c r="K93" s="97"/>
      <c r="L93" s="97"/>
      <c r="M93" s="97"/>
      <c r="N93" s="99"/>
      <c r="O93" s="97"/>
      <c r="P93" s="99"/>
      <c r="Q93" s="97"/>
      <c r="R93" s="97"/>
      <c r="S93" s="97"/>
      <c r="T93" s="97"/>
      <c r="U93" s="97"/>
      <c r="V93" s="97"/>
      <c r="W93" s="97"/>
      <c r="X93" s="97"/>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107"/>
      <c r="AW93" s="107"/>
      <c r="AX93" s="107"/>
      <c r="AY93" s="107"/>
      <c r="AZ93" s="107"/>
    </row>
    <row r="94" spans="2:52">
      <c r="B94" s="98"/>
      <c r="C94" s="98"/>
      <c r="D94" s="97"/>
      <c r="E94" s="97"/>
      <c r="F94" s="97"/>
      <c r="G94" s="97"/>
      <c r="H94" s="97"/>
      <c r="I94" s="97"/>
      <c r="J94" s="97"/>
      <c r="K94" s="97"/>
      <c r="L94" s="97"/>
      <c r="M94" s="97"/>
      <c r="N94" s="99"/>
      <c r="O94" s="97"/>
      <c r="P94" s="99"/>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107"/>
      <c r="AW94" s="107"/>
      <c r="AX94" s="107"/>
      <c r="AY94" s="107"/>
      <c r="AZ94" s="107"/>
    </row>
    <row r="95" spans="2:52">
      <c r="B95" s="98"/>
      <c r="C95" s="98"/>
      <c r="D95" s="97"/>
      <c r="E95" s="97"/>
      <c r="F95" s="97"/>
      <c r="G95" s="97"/>
      <c r="H95" s="97"/>
      <c r="I95" s="97"/>
      <c r="J95" s="97"/>
      <c r="K95" s="97"/>
      <c r="L95" s="97"/>
      <c r="M95" s="97"/>
      <c r="N95" s="99"/>
      <c r="O95" s="97"/>
      <c r="P95" s="99"/>
      <c r="Q95" s="97"/>
      <c r="R95" s="97"/>
      <c r="S95" s="97"/>
      <c r="T95" s="97"/>
      <c r="U95" s="97"/>
      <c r="V95" s="97"/>
      <c r="W95" s="97"/>
      <c r="X95" s="97"/>
      <c r="Y95" s="97"/>
      <c r="Z95" s="97"/>
      <c r="AA95" s="97"/>
      <c r="AB95" s="97"/>
      <c r="AC95" s="97"/>
      <c r="AD95" s="97"/>
      <c r="AE95" s="97"/>
      <c r="AF95" s="97"/>
      <c r="AG95" s="97"/>
      <c r="AH95" s="97"/>
      <c r="AI95" s="97"/>
      <c r="AJ95" s="97"/>
      <c r="AK95" s="97"/>
      <c r="AL95" s="97"/>
      <c r="AM95" s="97"/>
      <c r="AN95" s="97"/>
      <c r="AO95" s="97"/>
      <c r="AP95" s="97"/>
      <c r="AQ95" s="97"/>
      <c r="AR95" s="97"/>
      <c r="AS95" s="97"/>
      <c r="AT95" s="97"/>
      <c r="AU95" s="97"/>
      <c r="AV95" s="107"/>
      <c r="AW95" s="107"/>
      <c r="AX95" s="107"/>
      <c r="AY95" s="107"/>
      <c r="AZ95" s="107"/>
    </row>
    <row r="96" spans="2:52">
      <c r="B96" s="98"/>
      <c r="C96" s="98"/>
      <c r="D96" s="97"/>
      <c r="E96" s="97"/>
      <c r="F96" s="97"/>
      <c r="G96" s="97"/>
      <c r="H96" s="97"/>
      <c r="I96" s="97"/>
      <c r="J96" s="97"/>
      <c r="K96" s="97"/>
      <c r="L96" s="97"/>
      <c r="M96" s="97"/>
      <c r="N96" s="99"/>
      <c r="O96" s="97"/>
      <c r="P96" s="99"/>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7"/>
      <c r="AS96" s="97"/>
      <c r="AT96" s="97"/>
      <c r="AU96" s="97"/>
      <c r="AV96" s="107"/>
      <c r="AW96" s="107"/>
      <c r="AX96" s="107"/>
      <c r="AY96" s="107"/>
      <c r="AZ96" s="107"/>
    </row>
    <row r="97" spans="2:52">
      <c r="B97" s="98"/>
      <c r="C97" s="98"/>
      <c r="D97" s="97"/>
      <c r="E97" s="97"/>
      <c r="F97" s="97"/>
      <c r="G97" s="97"/>
      <c r="H97" s="97"/>
      <c r="I97" s="97"/>
      <c r="J97" s="97"/>
      <c r="K97" s="97"/>
      <c r="L97" s="97"/>
      <c r="M97" s="97"/>
      <c r="N97" s="99"/>
      <c r="O97" s="97"/>
      <c r="P97" s="99"/>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107"/>
      <c r="AW97" s="107"/>
      <c r="AX97" s="107"/>
      <c r="AY97" s="107"/>
      <c r="AZ97" s="107"/>
    </row>
    <row r="98" spans="2:52">
      <c r="B98" s="98"/>
      <c r="C98" s="98"/>
      <c r="D98" s="97"/>
      <c r="E98" s="97"/>
      <c r="F98" s="97"/>
      <c r="G98" s="97"/>
      <c r="H98" s="97"/>
      <c r="I98" s="97"/>
      <c r="J98" s="97"/>
      <c r="K98" s="97"/>
      <c r="L98" s="97"/>
      <c r="M98" s="97"/>
      <c r="N98" s="99"/>
      <c r="O98" s="97"/>
      <c r="P98" s="99"/>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7"/>
      <c r="AS98" s="97"/>
      <c r="AT98" s="97"/>
      <c r="AU98" s="97"/>
      <c r="AV98" s="107"/>
      <c r="AW98" s="107"/>
      <c r="AX98" s="107"/>
      <c r="AY98" s="107"/>
      <c r="AZ98" s="107"/>
    </row>
    <row r="99" spans="2:52">
      <c r="B99" s="98"/>
      <c r="C99" s="98"/>
      <c r="D99" s="97"/>
      <c r="E99" s="97"/>
      <c r="F99" s="97"/>
      <c r="G99" s="97"/>
      <c r="H99" s="97"/>
      <c r="I99" s="97"/>
      <c r="J99" s="97"/>
      <c r="K99" s="97"/>
      <c r="L99" s="97"/>
      <c r="M99" s="97"/>
      <c r="N99" s="99"/>
      <c r="O99" s="97"/>
      <c r="P99" s="99"/>
      <c r="Q99" s="97"/>
      <c r="R99" s="97"/>
      <c r="S99" s="97"/>
      <c r="T99" s="97"/>
      <c r="U99" s="97"/>
      <c r="V99" s="97"/>
      <c r="W99" s="97"/>
      <c r="X99" s="97"/>
      <c r="Y99" s="97"/>
      <c r="Z99" s="97"/>
      <c r="AA99" s="97"/>
      <c r="AB99" s="97"/>
      <c r="AC99" s="97"/>
      <c r="AD99" s="97"/>
      <c r="AE99" s="97"/>
      <c r="AF99" s="97"/>
      <c r="AG99" s="97"/>
      <c r="AH99" s="97"/>
      <c r="AI99" s="97"/>
      <c r="AJ99" s="97"/>
      <c r="AK99" s="97"/>
      <c r="AL99" s="97"/>
      <c r="AM99" s="97"/>
      <c r="AN99" s="97"/>
      <c r="AO99" s="97"/>
      <c r="AP99" s="97"/>
      <c r="AQ99" s="97"/>
      <c r="AR99" s="97"/>
      <c r="AS99" s="97"/>
      <c r="AT99" s="97"/>
      <c r="AU99" s="97"/>
      <c r="AV99" s="107"/>
      <c r="AW99" s="107"/>
      <c r="AX99" s="107"/>
      <c r="AY99" s="107"/>
      <c r="AZ99" s="107"/>
    </row>
    <row r="100" spans="2:52">
      <c r="B100" s="98"/>
      <c r="C100" s="98"/>
      <c r="D100" s="97"/>
      <c r="E100" s="97"/>
      <c r="F100" s="97"/>
      <c r="G100" s="97"/>
      <c r="H100" s="97"/>
      <c r="I100" s="97"/>
      <c r="J100" s="97"/>
      <c r="K100" s="97"/>
      <c r="L100" s="97"/>
      <c r="M100" s="97"/>
      <c r="N100" s="99"/>
      <c r="O100" s="97"/>
      <c r="P100" s="99"/>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7"/>
      <c r="AS100" s="97"/>
      <c r="AT100" s="97"/>
      <c r="AU100" s="97"/>
      <c r="AV100" s="107"/>
      <c r="AW100" s="107"/>
      <c r="AX100" s="107"/>
      <c r="AY100" s="107"/>
      <c r="AZ100" s="107"/>
    </row>
    <row r="101" spans="2:52">
      <c r="B101" s="98"/>
      <c r="C101" s="98"/>
      <c r="D101" s="97"/>
      <c r="E101" s="97"/>
      <c r="F101" s="97"/>
      <c r="G101" s="97"/>
      <c r="H101" s="97"/>
      <c r="I101" s="97"/>
      <c r="J101" s="97"/>
      <c r="K101" s="97"/>
      <c r="L101" s="97"/>
      <c r="M101" s="97"/>
      <c r="N101" s="99"/>
      <c r="O101" s="97"/>
      <c r="P101" s="99"/>
      <c r="Q101" s="97"/>
      <c r="R101" s="97"/>
      <c r="S101" s="97"/>
      <c r="T101" s="97"/>
      <c r="U101" s="97"/>
      <c r="V101" s="97"/>
      <c r="W101" s="97"/>
      <c r="X101" s="97"/>
      <c r="Y101" s="97"/>
      <c r="Z101" s="97"/>
      <c r="AA101" s="97"/>
      <c r="AB101" s="97"/>
      <c r="AC101" s="97"/>
      <c r="AD101" s="97"/>
      <c r="AE101" s="97"/>
      <c r="AF101" s="97"/>
      <c r="AG101" s="97"/>
      <c r="AH101" s="97"/>
      <c r="AI101" s="97"/>
      <c r="AJ101" s="97"/>
      <c r="AK101" s="97"/>
      <c r="AL101" s="97"/>
      <c r="AM101" s="97"/>
      <c r="AN101" s="97"/>
      <c r="AO101" s="97"/>
      <c r="AP101" s="97"/>
      <c r="AQ101" s="97"/>
      <c r="AR101" s="97"/>
      <c r="AS101" s="97"/>
      <c r="AT101" s="97"/>
      <c r="AU101" s="97"/>
      <c r="AV101" s="107"/>
      <c r="AW101" s="107"/>
      <c r="AX101" s="107"/>
      <c r="AY101" s="107"/>
      <c r="AZ101" s="107"/>
    </row>
    <row r="102" spans="2:52">
      <c r="B102" s="98"/>
      <c r="C102" s="98"/>
      <c r="D102" s="97"/>
      <c r="E102" s="97"/>
      <c r="F102" s="97"/>
      <c r="G102" s="97"/>
      <c r="H102" s="97"/>
      <c r="I102" s="97"/>
      <c r="J102" s="97"/>
      <c r="K102" s="97"/>
      <c r="L102" s="97"/>
      <c r="M102" s="97"/>
      <c r="N102" s="99"/>
      <c r="O102" s="97"/>
      <c r="P102" s="99"/>
      <c r="Q102" s="97"/>
      <c r="R102" s="97"/>
      <c r="S102" s="97"/>
      <c r="T102" s="97"/>
      <c r="U102" s="97"/>
      <c r="V102" s="97"/>
      <c r="W102" s="97"/>
      <c r="X102" s="97"/>
      <c r="Y102" s="97"/>
      <c r="Z102" s="97"/>
      <c r="AA102" s="97"/>
      <c r="AB102" s="97"/>
      <c r="AC102" s="97"/>
      <c r="AD102" s="97"/>
      <c r="AE102" s="97"/>
      <c r="AF102" s="97"/>
      <c r="AG102" s="97"/>
      <c r="AH102" s="97"/>
      <c r="AI102" s="97"/>
      <c r="AJ102" s="97"/>
      <c r="AK102" s="97"/>
      <c r="AL102" s="97"/>
      <c r="AM102" s="97"/>
      <c r="AN102" s="97"/>
      <c r="AO102" s="97"/>
      <c r="AP102" s="97"/>
      <c r="AQ102" s="97"/>
      <c r="AR102" s="97"/>
      <c r="AS102" s="97"/>
      <c r="AT102" s="97"/>
      <c r="AU102" s="97"/>
      <c r="AV102" s="107"/>
      <c r="AW102" s="107"/>
      <c r="AX102" s="107"/>
      <c r="AY102" s="107"/>
      <c r="AZ102" s="107"/>
    </row>
    <row r="103" spans="2:52">
      <c r="B103" s="98"/>
      <c r="C103" s="98"/>
      <c r="D103" s="97"/>
      <c r="E103" s="97"/>
      <c r="F103" s="97"/>
      <c r="G103" s="97"/>
      <c r="H103" s="97"/>
      <c r="I103" s="97"/>
      <c r="J103" s="97"/>
      <c r="K103" s="97"/>
      <c r="L103" s="97"/>
      <c r="M103" s="97"/>
      <c r="N103" s="99"/>
      <c r="O103" s="97"/>
      <c r="P103" s="99"/>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107"/>
      <c r="AW103" s="107"/>
      <c r="AX103" s="107"/>
      <c r="AY103" s="107"/>
      <c r="AZ103" s="107"/>
    </row>
    <row r="104" spans="2:52">
      <c r="B104" s="98"/>
      <c r="C104" s="98"/>
      <c r="D104" s="97"/>
      <c r="E104" s="97"/>
      <c r="F104" s="97"/>
      <c r="G104" s="97"/>
      <c r="H104" s="97"/>
      <c r="I104" s="97"/>
      <c r="J104" s="97"/>
      <c r="K104" s="97"/>
      <c r="L104" s="97"/>
      <c r="M104" s="97"/>
      <c r="N104" s="99"/>
      <c r="O104" s="97"/>
      <c r="P104" s="99"/>
      <c r="Q104" s="97"/>
      <c r="R104" s="97"/>
      <c r="S104" s="97"/>
      <c r="T104" s="97"/>
      <c r="U104" s="97"/>
      <c r="V104" s="97"/>
      <c r="W104" s="97"/>
      <c r="X104" s="97"/>
      <c r="Y104" s="97"/>
      <c r="Z104" s="97"/>
      <c r="AA104" s="97"/>
      <c r="AB104" s="97"/>
      <c r="AC104" s="97"/>
      <c r="AD104" s="97"/>
      <c r="AE104" s="97"/>
      <c r="AF104" s="97"/>
      <c r="AG104" s="97"/>
      <c r="AH104" s="97"/>
      <c r="AI104" s="97"/>
      <c r="AJ104" s="97"/>
      <c r="AK104" s="97"/>
      <c r="AL104" s="97"/>
      <c r="AM104" s="97"/>
      <c r="AN104" s="97"/>
      <c r="AO104" s="97"/>
      <c r="AP104" s="97"/>
      <c r="AQ104" s="97"/>
      <c r="AR104" s="97"/>
      <c r="AS104" s="97"/>
      <c r="AT104" s="97"/>
      <c r="AU104" s="97"/>
      <c r="AV104" s="107"/>
      <c r="AW104" s="107"/>
      <c r="AX104" s="107"/>
      <c r="AY104" s="107"/>
      <c r="AZ104" s="107"/>
    </row>
    <row r="105" spans="2:52">
      <c r="B105" s="98"/>
      <c r="C105" s="98"/>
      <c r="D105" s="97"/>
      <c r="E105" s="97"/>
      <c r="F105" s="97"/>
      <c r="G105" s="97"/>
      <c r="H105" s="97"/>
      <c r="I105" s="97"/>
      <c r="J105" s="97"/>
      <c r="K105" s="97"/>
      <c r="L105" s="97"/>
      <c r="M105" s="97"/>
      <c r="N105" s="99"/>
      <c r="O105" s="97"/>
      <c r="P105" s="99"/>
      <c r="Q105" s="97"/>
      <c r="R105" s="97"/>
      <c r="S105" s="97"/>
      <c r="T105" s="97"/>
      <c r="U105" s="97"/>
      <c r="V105" s="97"/>
      <c r="W105" s="97"/>
      <c r="X105" s="97"/>
      <c r="Y105" s="97"/>
      <c r="Z105" s="97"/>
      <c r="AA105" s="97"/>
      <c r="AB105" s="97"/>
      <c r="AC105" s="97"/>
      <c r="AD105" s="97"/>
      <c r="AE105" s="97"/>
      <c r="AF105" s="97"/>
      <c r="AG105" s="97"/>
      <c r="AH105" s="97"/>
      <c r="AI105" s="97"/>
      <c r="AJ105" s="97"/>
      <c r="AK105" s="97"/>
      <c r="AL105" s="97"/>
      <c r="AM105" s="97"/>
      <c r="AN105" s="97"/>
      <c r="AO105" s="97"/>
      <c r="AP105" s="97"/>
      <c r="AQ105" s="97"/>
      <c r="AR105" s="97"/>
      <c r="AS105" s="97"/>
      <c r="AT105" s="97"/>
      <c r="AU105" s="97"/>
      <c r="AV105" s="107"/>
      <c r="AW105" s="107"/>
      <c r="AX105" s="107"/>
      <c r="AY105" s="107"/>
      <c r="AZ105" s="107"/>
    </row>
    <row r="106" spans="2:52">
      <c r="B106" s="98"/>
      <c r="C106" s="98"/>
      <c r="D106" s="97"/>
      <c r="E106" s="97"/>
      <c r="F106" s="97"/>
      <c r="G106" s="97"/>
      <c r="H106" s="97"/>
      <c r="I106" s="97"/>
      <c r="J106" s="97"/>
      <c r="K106" s="97"/>
      <c r="L106" s="97"/>
      <c r="M106" s="97"/>
      <c r="N106" s="99"/>
      <c r="O106" s="97"/>
      <c r="P106" s="99"/>
      <c r="Q106" s="97"/>
      <c r="R106" s="97"/>
      <c r="S106" s="97"/>
      <c r="T106" s="97"/>
      <c r="U106" s="97"/>
      <c r="V106" s="97"/>
      <c r="W106" s="97"/>
      <c r="X106" s="97"/>
      <c r="Y106" s="97"/>
      <c r="Z106" s="97"/>
      <c r="AA106" s="97"/>
      <c r="AB106" s="97"/>
      <c r="AC106" s="97"/>
      <c r="AD106" s="97"/>
      <c r="AE106" s="97"/>
      <c r="AF106" s="97"/>
      <c r="AG106" s="97"/>
      <c r="AH106" s="97"/>
      <c r="AI106" s="97"/>
      <c r="AJ106" s="97"/>
      <c r="AK106" s="97"/>
      <c r="AL106" s="97"/>
      <c r="AM106" s="97"/>
      <c r="AN106" s="97"/>
      <c r="AO106" s="97"/>
      <c r="AP106" s="97"/>
      <c r="AQ106" s="97"/>
      <c r="AR106" s="97"/>
      <c r="AS106" s="97"/>
      <c r="AT106" s="97"/>
      <c r="AU106" s="97"/>
      <c r="AV106" s="107"/>
      <c r="AW106" s="107"/>
      <c r="AX106" s="107"/>
      <c r="AY106" s="107"/>
      <c r="AZ106" s="107"/>
    </row>
    <row r="107" spans="2:52">
      <c r="B107" s="98"/>
      <c r="C107" s="98"/>
      <c r="D107" s="97"/>
      <c r="E107" s="97"/>
      <c r="F107" s="97"/>
      <c r="G107" s="97"/>
      <c r="H107" s="97"/>
      <c r="I107" s="97"/>
      <c r="J107" s="97"/>
      <c r="K107" s="97"/>
      <c r="L107" s="97"/>
      <c r="M107" s="97"/>
      <c r="N107" s="99"/>
      <c r="O107" s="97"/>
      <c r="P107" s="99"/>
      <c r="Q107" s="97"/>
      <c r="R107" s="97"/>
      <c r="S107" s="97"/>
      <c r="T107" s="97"/>
      <c r="U107" s="97"/>
      <c r="V107" s="97"/>
      <c r="W107" s="97"/>
      <c r="X107" s="97"/>
      <c r="Y107" s="97"/>
      <c r="Z107" s="97"/>
      <c r="AA107" s="97"/>
      <c r="AB107" s="97"/>
      <c r="AC107" s="97"/>
      <c r="AD107" s="97"/>
      <c r="AE107" s="97"/>
      <c r="AF107" s="97"/>
      <c r="AG107" s="97"/>
      <c r="AH107" s="97"/>
      <c r="AI107" s="97"/>
      <c r="AJ107" s="97"/>
      <c r="AK107" s="97"/>
      <c r="AL107" s="97"/>
      <c r="AM107" s="97"/>
      <c r="AN107" s="97"/>
      <c r="AO107" s="97"/>
      <c r="AP107" s="97"/>
      <c r="AQ107" s="97"/>
      <c r="AR107" s="97"/>
      <c r="AS107" s="97"/>
      <c r="AT107" s="97"/>
      <c r="AU107" s="97"/>
      <c r="AV107" s="107"/>
      <c r="AW107" s="107"/>
      <c r="AX107" s="107"/>
      <c r="AY107" s="107"/>
      <c r="AZ107" s="107"/>
    </row>
    <row r="108" spans="2:52">
      <c r="B108" s="98"/>
      <c r="C108" s="98"/>
      <c r="D108" s="97"/>
      <c r="E108" s="97"/>
      <c r="F108" s="97"/>
      <c r="G108" s="97"/>
      <c r="H108" s="97"/>
      <c r="I108" s="97"/>
      <c r="J108" s="97"/>
      <c r="K108" s="97"/>
      <c r="L108" s="97"/>
      <c r="M108" s="97"/>
      <c r="N108" s="99"/>
      <c r="O108" s="97"/>
      <c r="P108" s="99"/>
      <c r="Q108" s="97"/>
      <c r="R108" s="97"/>
      <c r="S108" s="97"/>
      <c r="T108" s="97"/>
      <c r="U108" s="97"/>
      <c r="V108" s="97"/>
      <c r="W108" s="97"/>
      <c r="X108" s="97"/>
      <c r="Y108" s="97"/>
      <c r="Z108" s="97"/>
      <c r="AA108" s="97"/>
      <c r="AB108" s="97"/>
      <c r="AC108" s="97"/>
      <c r="AD108" s="97"/>
      <c r="AE108" s="97"/>
      <c r="AF108" s="97"/>
      <c r="AG108" s="97"/>
      <c r="AH108" s="97"/>
      <c r="AI108" s="97"/>
      <c r="AJ108" s="97"/>
      <c r="AK108" s="97"/>
      <c r="AL108" s="97"/>
      <c r="AM108" s="97"/>
      <c r="AN108" s="97"/>
      <c r="AO108" s="97"/>
      <c r="AP108" s="97"/>
      <c r="AQ108" s="97"/>
      <c r="AR108" s="97"/>
      <c r="AS108" s="97"/>
      <c r="AT108" s="97"/>
      <c r="AU108" s="97"/>
      <c r="AV108" s="107"/>
      <c r="AW108" s="107"/>
      <c r="AX108" s="107"/>
      <c r="AY108" s="107"/>
      <c r="AZ108" s="107"/>
    </row>
    <row r="109" spans="2:52">
      <c r="B109" s="98"/>
      <c r="C109" s="98"/>
      <c r="D109" s="97"/>
      <c r="E109" s="97"/>
      <c r="F109" s="97"/>
      <c r="G109" s="97"/>
      <c r="H109" s="97"/>
      <c r="I109" s="97"/>
      <c r="J109" s="97"/>
      <c r="K109" s="97"/>
      <c r="L109" s="97"/>
      <c r="M109" s="97"/>
      <c r="N109" s="99"/>
      <c r="O109" s="97"/>
      <c r="P109" s="99"/>
      <c r="Q109" s="97"/>
      <c r="R109" s="97"/>
      <c r="S109" s="97"/>
      <c r="T109" s="97"/>
      <c r="U109" s="97"/>
      <c r="V109" s="97"/>
      <c r="W109" s="97"/>
      <c r="X109" s="97"/>
      <c r="Y109" s="97"/>
      <c r="Z109" s="97"/>
      <c r="AA109" s="97"/>
      <c r="AB109" s="97"/>
      <c r="AC109" s="97"/>
      <c r="AD109" s="97"/>
      <c r="AE109" s="97"/>
      <c r="AF109" s="97"/>
      <c r="AG109" s="97"/>
      <c r="AH109" s="97"/>
      <c r="AI109" s="97"/>
      <c r="AJ109" s="97"/>
      <c r="AK109" s="97"/>
      <c r="AL109" s="97"/>
      <c r="AM109" s="97"/>
      <c r="AN109" s="97"/>
      <c r="AO109" s="97"/>
      <c r="AP109" s="97"/>
      <c r="AQ109" s="97"/>
      <c r="AR109" s="97"/>
      <c r="AS109" s="97"/>
      <c r="AT109" s="97"/>
      <c r="AU109" s="97"/>
      <c r="AV109" s="107"/>
      <c r="AW109" s="107"/>
      <c r="AX109" s="107"/>
      <c r="AY109" s="107"/>
      <c r="AZ109" s="107"/>
    </row>
    <row r="110" spans="2:52">
      <c r="B110" s="98"/>
      <c r="C110" s="98"/>
      <c r="D110" s="97"/>
      <c r="E110" s="97"/>
      <c r="F110" s="97"/>
      <c r="G110" s="97"/>
      <c r="H110" s="97"/>
      <c r="I110" s="97"/>
      <c r="J110" s="97"/>
      <c r="K110" s="97"/>
      <c r="L110" s="97"/>
      <c r="M110" s="97"/>
      <c r="N110" s="99"/>
      <c r="O110" s="97"/>
      <c r="P110" s="99"/>
      <c r="Q110" s="97"/>
      <c r="R110" s="97"/>
      <c r="S110" s="97"/>
      <c r="T110" s="97"/>
      <c r="U110" s="97"/>
      <c r="V110" s="97"/>
      <c r="W110" s="97"/>
      <c r="X110" s="97"/>
      <c r="Y110" s="97"/>
      <c r="Z110" s="97"/>
      <c r="AA110" s="97"/>
      <c r="AB110" s="97"/>
      <c r="AC110" s="97"/>
      <c r="AD110" s="97"/>
      <c r="AE110" s="97"/>
      <c r="AF110" s="97"/>
      <c r="AG110" s="97"/>
      <c r="AH110" s="97"/>
      <c r="AI110" s="97"/>
      <c r="AJ110" s="97"/>
      <c r="AK110" s="97"/>
      <c r="AL110" s="97"/>
      <c r="AM110" s="97"/>
      <c r="AN110" s="97"/>
      <c r="AO110" s="97"/>
      <c r="AP110" s="97"/>
      <c r="AQ110" s="97"/>
      <c r="AR110" s="97"/>
      <c r="AS110" s="97"/>
      <c r="AT110" s="97"/>
      <c r="AU110" s="97"/>
      <c r="AV110" s="107"/>
      <c r="AW110" s="107"/>
      <c r="AX110" s="107"/>
      <c r="AY110" s="107"/>
      <c r="AZ110" s="107"/>
    </row>
    <row r="111" spans="2:52">
      <c r="B111" s="98"/>
      <c r="C111" s="98"/>
      <c r="D111" s="97"/>
      <c r="E111" s="97"/>
      <c r="F111" s="97"/>
      <c r="G111" s="97"/>
      <c r="H111" s="97"/>
      <c r="I111" s="97"/>
      <c r="J111" s="97"/>
      <c r="K111" s="97"/>
      <c r="L111" s="97"/>
      <c r="M111" s="97"/>
      <c r="N111" s="99"/>
      <c r="O111" s="97"/>
      <c r="P111" s="99"/>
      <c r="Q111" s="97"/>
      <c r="R111" s="97"/>
      <c r="S111" s="97"/>
      <c r="T111" s="97"/>
      <c r="U111" s="97"/>
      <c r="V111" s="97"/>
      <c r="W111" s="97"/>
      <c r="X111" s="97"/>
      <c r="Y111" s="97"/>
      <c r="Z111" s="97"/>
      <c r="AA111" s="97"/>
      <c r="AB111" s="97"/>
      <c r="AC111" s="97"/>
      <c r="AD111" s="97"/>
      <c r="AE111" s="97"/>
      <c r="AF111" s="97"/>
      <c r="AG111" s="97"/>
      <c r="AH111" s="97"/>
      <c r="AI111" s="97"/>
      <c r="AJ111" s="97"/>
      <c r="AK111" s="97"/>
      <c r="AL111" s="97"/>
      <c r="AM111" s="97"/>
      <c r="AN111" s="97"/>
      <c r="AO111" s="97"/>
      <c r="AP111" s="97"/>
      <c r="AQ111" s="97"/>
      <c r="AR111" s="97"/>
      <c r="AS111" s="97"/>
      <c r="AT111" s="97"/>
      <c r="AU111" s="97"/>
      <c r="AV111" s="107"/>
      <c r="AW111" s="107"/>
      <c r="AX111" s="107"/>
      <c r="AY111" s="107"/>
      <c r="AZ111" s="107"/>
    </row>
    <row r="112" spans="2:52">
      <c r="B112" s="98"/>
      <c r="C112" s="98"/>
      <c r="D112" s="97"/>
      <c r="E112" s="97"/>
      <c r="F112" s="97"/>
      <c r="G112" s="97"/>
      <c r="H112" s="97"/>
      <c r="I112" s="97"/>
      <c r="J112" s="97"/>
      <c r="K112" s="97"/>
      <c r="L112" s="97"/>
      <c r="M112" s="97"/>
      <c r="N112" s="99"/>
      <c r="O112" s="97"/>
      <c r="P112" s="99"/>
      <c r="Q112" s="97"/>
      <c r="R112" s="97"/>
      <c r="S112" s="97"/>
      <c r="T112" s="97"/>
      <c r="U112" s="97"/>
      <c r="V112" s="97"/>
      <c r="W112" s="97"/>
      <c r="X112" s="97"/>
      <c r="Y112" s="97"/>
      <c r="Z112" s="97"/>
      <c r="AA112" s="97"/>
      <c r="AB112" s="97"/>
      <c r="AC112" s="97"/>
      <c r="AD112" s="97"/>
      <c r="AE112" s="97"/>
      <c r="AF112" s="97"/>
      <c r="AG112" s="97"/>
      <c r="AH112" s="97"/>
      <c r="AI112" s="97"/>
      <c r="AJ112" s="97"/>
      <c r="AK112" s="97"/>
      <c r="AL112" s="97"/>
      <c r="AM112" s="97"/>
      <c r="AN112" s="97"/>
      <c r="AO112" s="97"/>
      <c r="AP112" s="97"/>
      <c r="AQ112" s="97"/>
      <c r="AR112" s="97"/>
      <c r="AS112" s="97"/>
      <c r="AT112" s="97"/>
      <c r="AU112" s="97"/>
      <c r="AV112" s="107"/>
      <c r="AW112" s="107"/>
      <c r="AX112" s="107"/>
      <c r="AY112" s="107"/>
      <c r="AZ112" s="107"/>
    </row>
    <row r="113" spans="2:52">
      <c r="B113" s="98"/>
      <c r="C113" s="98"/>
      <c r="D113" s="97"/>
      <c r="E113" s="97"/>
      <c r="F113" s="97"/>
      <c r="G113" s="97"/>
      <c r="H113" s="97"/>
      <c r="I113" s="97"/>
      <c r="J113" s="97"/>
      <c r="K113" s="97"/>
      <c r="L113" s="97"/>
      <c r="M113" s="97"/>
      <c r="N113" s="99"/>
      <c r="O113" s="97"/>
      <c r="P113" s="99"/>
      <c r="Q113" s="97"/>
      <c r="R113" s="97"/>
      <c r="S113" s="97"/>
      <c r="T113" s="97"/>
      <c r="U113" s="97"/>
      <c r="V113" s="97"/>
      <c r="W113" s="97"/>
      <c r="X113" s="97"/>
      <c r="Y113" s="97"/>
      <c r="Z113" s="97"/>
      <c r="AA113" s="97"/>
      <c r="AB113" s="97"/>
      <c r="AC113" s="97"/>
      <c r="AD113" s="97"/>
      <c r="AE113" s="97"/>
      <c r="AF113" s="97"/>
      <c r="AG113" s="97"/>
      <c r="AH113" s="97"/>
      <c r="AI113" s="97"/>
      <c r="AJ113" s="97"/>
      <c r="AK113" s="97"/>
      <c r="AL113" s="97"/>
      <c r="AM113" s="97"/>
      <c r="AN113" s="97"/>
      <c r="AO113" s="97"/>
      <c r="AP113" s="97"/>
      <c r="AQ113" s="97"/>
      <c r="AR113" s="97"/>
      <c r="AS113" s="97"/>
      <c r="AT113" s="97"/>
      <c r="AU113" s="97"/>
      <c r="AV113" s="107"/>
      <c r="AW113" s="107"/>
      <c r="AX113" s="107"/>
      <c r="AY113" s="107"/>
      <c r="AZ113" s="107"/>
    </row>
    <row r="114" spans="2:52">
      <c r="B114" s="98"/>
      <c r="C114" s="98"/>
      <c r="D114" s="97"/>
      <c r="E114" s="97"/>
      <c r="F114" s="97"/>
      <c r="G114" s="97"/>
      <c r="H114" s="97"/>
      <c r="I114" s="97"/>
      <c r="J114" s="97"/>
      <c r="K114" s="97"/>
      <c r="L114" s="97"/>
      <c r="M114" s="97"/>
      <c r="N114" s="99"/>
      <c r="O114" s="97"/>
      <c r="P114" s="99"/>
      <c r="Q114" s="97"/>
      <c r="R114" s="97"/>
      <c r="S114" s="97"/>
      <c r="T114" s="97"/>
      <c r="U114" s="97"/>
      <c r="V114" s="97"/>
      <c r="W114" s="97"/>
      <c r="X114" s="97"/>
      <c r="Y114" s="97"/>
      <c r="Z114" s="97"/>
      <c r="AA114" s="97"/>
      <c r="AB114" s="97"/>
      <c r="AC114" s="97"/>
      <c r="AD114" s="97"/>
      <c r="AE114" s="97"/>
      <c r="AF114" s="97"/>
      <c r="AG114" s="97"/>
      <c r="AH114" s="97"/>
      <c r="AI114" s="97"/>
      <c r="AJ114" s="97"/>
      <c r="AK114" s="97"/>
      <c r="AL114" s="97"/>
      <c r="AM114" s="97"/>
      <c r="AN114" s="97"/>
      <c r="AO114" s="97"/>
      <c r="AP114" s="97"/>
      <c r="AQ114" s="97"/>
      <c r="AR114" s="97"/>
      <c r="AS114" s="97"/>
      <c r="AT114" s="97"/>
      <c r="AU114" s="97"/>
      <c r="AV114" s="107"/>
      <c r="AW114" s="107"/>
      <c r="AX114" s="107"/>
      <c r="AY114" s="107"/>
      <c r="AZ114" s="107"/>
    </row>
    <row r="115" spans="2:52">
      <c r="B115" s="98"/>
      <c r="C115" s="98"/>
      <c r="D115" s="97"/>
      <c r="E115" s="97"/>
      <c r="F115" s="97"/>
      <c r="G115" s="97"/>
      <c r="H115" s="97"/>
      <c r="I115" s="97"/>
      <c r="J115" s="97"/>
      <c r="K115" s="97"/>
      <c r="L115" s="97"/>
      <c r="M115" s="97"/>
      <c r="N115" s="99"/>
      <c r="O115" s="97"/>
      <c r="P115" s="99"/>
      <c r="Q115" s="97"/>
      <c r="R115" s="97"/>
      <c r="S115" s="97"/>
      <c r="T115" s="97"/>
      <c r="U115" s="97"/>
      <c r="V115" s="97"/>
      <c r="W115" s="97"/>
      <c r="X115" s="97"/>
      <c r="Y115" s="97"/>
      <c r="Z115" s="97"/>
      <c r="AA115" s="97"/>
      <c r="AB115" s="97"/>
      <c r="AC115" s="97"/>
      <c r="AD115" s="97"/>
      <c r="AE115" s="97"/>
      <c r="AF115" s="97"/>
      <c r="AG115" s="97"/>
      <c r="AH115" s="97"/>
      <c r="AI115" s="97"/>
      <c r="AJ115" s="97"/>
      <c r="AK115" s="97"/>
      <c r="AL115" s="97"/>
      <c r="AM115" s="97"/>
      <c r="AN115" s="97"/>
      <c r="AO115" s="97"/>
      <c r="AP115" s="97"/>
      <c r="AQ115" s="97"/>
      <c r="AR115" s="97"/>
      <c r="AS115" s="97"/>
      <c r="AT115" s="97"/>
      <c r="AU115" s="97"/>
      <c r="AV115" s="107"/>
      <c r="AW115" s="107"/>
      <c r="AX115" s="107"/>
      <c r="AY115" s="107"/>
      <c r="AZ115" s="107"/>
    </row>
    <row r="116" spans="2:52">
      <c r="B116" s="98"/>
      <c r="C116" s="98"/>
      <c r="D116" s="97"/>
      <c r="E116" s="97"/>
      <c r="F116" s="97"/>
      <c r="G116" s="97"/>
      <c r="H116" s="97"/>
      <c r="I116" s="97"/>
      <c r="J116" s="97"/>
      <c r="K116" s="97"/>
      <c r="L116" s="97"/>
      <c r="M116" s="97"/>
      <c r="N116" s="99"/>
      <c r="O116" s="97"/>
      <c r="P116" s="99"/>
      <c r="Q116" s="97"/>
      <c r="R116" s="97"/>
      <c r="S116" s="97"/>
      <c r="T116" s="97"/>
      <c r="U116" s="97"/>
      <c r="V116" s="97"/>
      <c r="W116" s="97"/>
      <c r="X116" s="97"/>
      <c r="Y116" s="97"/>
      <c r="Z116" s="97"/>
      <c r="AA116" s="97"/>
      <c r="AB116" s="97"/>
      <c r="AC116" s="97"/>
      <c r="AD116" s="97"/>
      <c r="AE116" s="97"/>
      <c r="AF116" s="97"/>
      <c r="AG116" s="97"/>
      <c r="AH116" s="97"/>
      <c r="AI116" s="97"/>
      <c r="AJ116" s="97"/>
      <c r="AK116" s="97"/>
      <c r="AL116" s="97"/>
      <c r="AM116" s="97"/>
      <c r="AN116" s="97"/>
      <c r="AO116" s="97"/>
      <c r="AP116" s="97"/>
      <c r="AQ116" s="97"/>
      <c r="AR116" s="97"/>
      <c r="AS116" s="97"/>
      <c r="AT116" s="97"/>
      <c r="AU116" s="97"/>
      <c r="AV116" s="107"/>
      <c r="AW116" s="107"/>
      <c r="AX116" s="107"/>
      <c r="AY116" s="107"/>
      <c r="AZ116" s="107"/>
    </row>
    <row r="117" spans="2:52">
      <c r="B117" s="98"/>
      <c r="C117" s="98"/>
      <c r="D117" s="97"/>
      <c r="E117" s="97"/>
      <c r="F117" s="97"/>
      <c r="G117" s="97"/>
      <c r="H117" s="97"/>
      <c r="I117" s="97"/>
      <c r="J117" s="97"/>
      <c r="K117" s="97"/>
      <c r="L117" s="97"/>
      <c r="M117" s="97"/>
      <c r="N117" s="99"/>
      <c r="O117" s="97"/>
      <c r="P117" s="99"/>
      <c r="Q117" s="97"/>
      <c r="R117" s="97"/>
      <c r="S117" s="97"/>
      <c r="T117" s="97"/>
      <c r="U117" s="97"/>
      <c r="V117" s="97"/>
      <c r="W117" s="97"/>
      <c r="X117" s="97"/>
      <c r="Y117" s="97"/>
      <c r="Z117" s="97"/>
      <c r="AA117" s="97"/>
      <c r="AB117" s="97"/>
      <c r="AC117" s="97"/>
      <c r="AD117" s="97"/>
      <c r="AE117" s="97"/>
      <c r="AF117" s="97"/>
      <c r="AG117" s="97"/>
      <c r="AH117" s="97"/>
      <c r="AI117" s="97"/>
      <c r="AJ117" s="97"/>
      <c r="AK117" s="97"/>
      <c r="AL117" s="97"/>
      <c r="AM117" s="97"/>
      <c r="AN117" s="97"/>
      <c r="AO117" s="97"/>
      <c r="AP117" s="97"/>
      <c r="AQ117" s="97"/>
      <c r="AR117" s="97"/>
      <c r="AS117" s="97"/>
      <c r="AT117" s="97"/>
      <c r="AU117" s="97"/>
      <c r="AV117" s="107"/>
      <c r="AW117" s="107"/>
      <c r="AX117" s="107"/>
      <c r="AY117" s="107"/>
      <c r="AZ117" s="107"/>
    </row>
    <row r="118" spans="2:52">
      <c r="B118" s="98"/>
      <c r="C118" s="98"/>
      <c r="D118" s="97"/>
      <c r="E118" s="97"/>
      <c r="F118" s="97"/>
      <c r="G118" s="97"/>
      <c r="H118" s="97"/>
      <c r="I118" s="97"/>
      <c r="J118" s="97"/>
      <c r="K118" s="97"/>
      <c r="L118" s="97"/>
      <c r="M118" s="97"/>
      <c r="N118" s="99"/>
      <c r="O118" s="97"/>
      <c r="P118" s="99"/>
      <c r="Q118" s="97"/>
      <c r="R118" s="97"/>
      <c r="S118" s="97"/>
      <c r="T118" s="97"/>
      <c r="U118" s="97"/>
      <c r="V118" s="97"/>
      <c r="W118" s="97"/>
      <c r="X118" s="97"/>
      <c r="Y118" s="97"/>
      <c r="Z118" s="97"/>
      <c r="AA118" s="97"/>
      <c r="AB118" s="97"/>
      <c r="AC118" s="97"/>
      <c r="AD118" s="97"/>
      <c r="AE118" s="97"/>
      <c r="AF118" s="97"/>
      <c r="AG118" s="97"/>
      <c r="AH118" s="97"/>
      <c r="AI118" s="97"/>
      <c r="AJ118" s="97"/>
      <c r="AK118" s="97"/>
      <c r="AL118" s="97"/>
      <c r="AM118" s="97"/>
      <c r="AN118" s="97"/>
      <c r="AO118" s="97"/>
      <c r="AP118" s="97"/>
      <c r="AQ118" s="97"/>
      <c r="AR118" s="97"/>
      <c r="AS118" s="97"/>
      <c r="AT118" s="97"/>
      <c r="AU118" s="97"/>
      <c r="AV118" s="107"/>
      <c r="AW118" s="107"/>
      <c r="AX118" s="107"/>
      <c r="AY118" s="107"/>
      <c r="AZ118" s="107"/>
    </row>
    <row r="119" spans="2:52">
      <c r="B119" s="98"/>
      <c r="C119" s="98"/>
      <c r="D119" s="97"/>
      <c r="E119" s="97"/>
      <c r="F119" s="97"/>
      <c r="G119" s="97"/>
      <c r="H119" s="97"/>
      <c r="I119" s="97"/>
      <c r="J119" s="97"/>
      <c r="K119" s="97"/>
      <c r="L119" s="97"/>
      <c r="M119" s="97"/>
      <c r="N119" s="99"/>
      <c r="O119" s="97"/>
      <c r="P119" s="99"/>
      <c r="Q119" s="97"/>
      <c r="R119" s="97"/>
      <c r="S119" s="97"/>
      <c r="T119" s="97"/>
      <c r="U119" s="97"/>
      <c r="V119" s="97"/>
      <c r="W119" s="97"/>
      <c r="X119" s="97"/>
      <c r="Y119" s="97"/>
      <c r="Z119" s="97"/>
      <c r="AA119" s="97"/>
      <c r="AB119" s="97"/>
      <c r="AC119" s="97"/>
      <c r="AD119" s="97"/>
      <c r="AE119" s="97"/>
      <c r="AF119" s="97"/>
      <c r="AG119" s="97"/>
      <c r="AH119" s="97"/>
      <c r="AI119" s="97"/>
      <c r="AJ119" s="97"/>
      <c r="AK119" s="97"/>
      <c r="AL119" s="97"/>
      <c r="AM119" s="97"/>
      <c r="AN119" s="97"/>
      <c r="AO119" s="97"/>
      <c r="AP119" s="97"/>
      <c r="AQ119" s="97"/>
      <c r="AR119" s="97"/>
      <c r="AS119" s="97"/>
      <c r="AT119" s="97"/>
      <c r="AU119" s="97"/>
      <c r="AV119" s="107"/>
      <c r="AW119" s="107"/>
      <c r="AX119" s="107"/>
      <c r="AY119" s="107"/>
      <c r="AZ119" s="107"/>
    </row>
    <row r="120" spans="2:52">
      <c r="B120" s="98"/>
      <c r="C120" s="98"/>
      <c r="D120" s="97"/>
      <c r="E120" s="97"/>
      <c r="F120" s="97"/>
      <c r="G120" s="97"/>
      <c r="H120" s="97"/>
      <c r="I120" s="97"/>
      <c r="J120" s="97"/>
      <c r="K120" s="97"/>
      <c r="L120" s="97"/>
      <c r="M120" s="97"/>
      <c r="N120" s="99"/>
      <c r="O120" s="97"/>
      <c r="P120" s="99"/>
      <c r="Q120" s="97"/>
      <c r="R120" s="97"/>
      <c r="S120" s="97"/>
      <c r="T120" s="97"/>
      <c r="U120" s="97"/>
      <c r="V120" s="97"/>
      <c r="W120" s="97"/>
      <c r="X120" s="97"/>
      <c r="Y120" s="97"/>
      <c r="Z120" s="97"/>
      <c r="AA120" s="97"/>
      <c r="AB120" s="97"/>
      <c r="AC120" s="97"/>
      <c r="AD120" s="97"/>
      <c r="AE120" s="97"/>
      <c r="AF120" s="97"/>
      <c r="AG120" s="97"/>
      <c r="AH120" s="97"/>
      <c r="AI120" s="97"/>
      <c r="AJ120" s="97"/>
      <c r="AK120" s="97"/>
      <c r="AL120" s="97"/>
      <c r="AM120" s="97"/>
      <c r="AN120" s="97"/>
      <c r="AO120" s="97"/>
      <c r="AP120" s="97"/>
      <c r="AQ120" s="97"/>
      <c r="AR120" s="97"/>
      <c r="AS120" s="97"/>
      <c r="AT120" s="97"/>
      <c r="AU120" s="97"/>
      <c r="AV120" s="107"/>
      <c r="AW120" s="107"/>
      <c r="AX120" s="107"/>
      <c r="AY120" s="107"/>
      <c r="AZ120" s="107"/>
    </row>
    <row r="121" spans="2:52">
      <c r="B121" s="98"/>
      <c r="C121" s="98"/>
      <c r="D121" s="97"/>
      <c r="E121" s="97"/>
      <c r="F121" s="97"/>
      <c r="G121" s="97"/>
      <c r="H121" s="97"/>
      <c r="I121" s="97"/>
      <c r="J121" s="97"/>
      <c r="K121" s="97"/>
      <c r="L121" s="97"/>
      <c r="M121" s="97"/>
      <c r="N121" s="99"/>
      <c r="O121" s="97"/>
      <c r="P121" s="99"/>
      <c r="Q121" s="97"/>
      <c r="R121" s="97"/>
      <c r="S121" s="97"/>
      <c r="T121" s="97"/>
      <c r="U121" s="97"/>
      <c r="V121" s="97"/>
      <c r="W121" s="97"/>
      <c r="X121" s="97"/>
      <c r="Y121" s="97"/>
      <c r="Z121" s="97"/>
      <c r="AA121" s="97"/>
      <c r="AB121" s="97"/>
      <c r="AC121" s="97"/>
      <c r="AD121" s="97"/>
      <c r="AE121" s="97"/>
      <c r="AF121" s="97"/>
      <c r="AG121" s="97"/>
      <c r="AH121" s="97"/>
      <c r="AI121" s="97"/>
      <c r="AJ121" s="97"/>
      <c r="AK121" s="97"/>
      <c r="AL121" s="97"/>
      <c r="AM121" s="97"/>
      <c r="AN121" s="97"/>
      <c r="AO121" s="97"/>
      <c r="AP121" s="97"/>
      <c r="AQ121" s="97"/>
      <c r="AR121" s="97"/>
      <c r="AS121" s="97"/>
      <c r="AT121" s="97"/>
      <c r="AU121" s="97"/>
      <c r="AV121" s="107"/>
      <c r="AW121" s="107"/>
      <c r="AX121" s="107"/>
      <c r="AY121" s="107"/>
      <c r="AZ121" s="107"/>
    </row>
    <row r="122" spans="2:52">
      <c r="B122" s="98"/>
      <c r="C122" s="98"/>
      <c r="D122" s="97"/>
      <c r="E122" s="97"/>
      <c r="F122" s="97"/>
      <c r="G122" s="97"/>
      <c r="H122" s="97"/>
      <c r="I122" s="97"/>
      <c r="J122" s="97"/>
      <c r="K122" s="97"/>
      <c r="L122" s="97"/>
      <c r="M122" s="97"/>
      <c r="N122" s="99"/>
      <c r="O122" s="97"/>
      <c r="P122" s="99"/>
      <c r="Q122" s="97"/>
      <c r="R122" s="97"/>
      <c r="S122" s="97"/>
      <c r="T122" s="97"/>
      <c r="U122" s="97"/>
      <c r="V122" s="97"/>
      <c r="W122" s="97"/>
      <c r="X122" s="97"/>
      <c r="Y122" s="97"/>
      <c r="Z122" s="97"/>
      <c r="AA122" s="97"/>
      <c r="AB122" s="97"/>
      <c r="AC122" s="97"/>
      <c r="AD122" s="97"/>
      <c r="AE122" s="97"/>
      <c r="AF122" s="97"/>
      <c r="AG122" s="97"/>
      <c r="AH122" s="97"/>
      <c r="AI122" s="97"/>
      <c r="AJ122" s="97"/>
      <c r="AK122" s="97"/>
      <c r="AL122" s="97"/>
      <c r="AM122" s="97"/>
      <c r="AN122" s="97"/>
      <c r="AO122" s="97"/>
      <c r="AP122" s="97"/>
      <c r="AQ122" s="97"/>
      <c r="AR122" s="97"/>
      <c r="AS122" s="97"/>
      <c r="AT122" s="97"/>
      <c r="AU122" s="97"/>
      <c r="AV122" s="107"/>
      <c r="AW122" s="107"/>
      <c r="AX122" s="107"/>
      <c r="AY122" s="107"/>
      <c r="AZ122" s="107"/>
    </row>
    <row r="123" spans="2:52">
      <c r="B123" s="98"/>
      <c r="C123" s="98"/>
      <c r="D123" s="97"/>
      <c r="E123" s="97"/>
      <c r="F123" s="97"/>
      <c r="G123" s="97"/>
      <c r="H123" s="97"/>
      <c r="I123" s="97"/>
      <c r="J123" s="97"/>
      <c r="K123" s="97"/>
      <c r="L123" s="97"/>
      <c r="M123" s="97"/>
      <c r="N123" s="99"/>
      <c r="O123" s="97"/>
      <c r="P123" s="99"/>
      <c r="Q123" s="97"/>
      <c r="R123" s="97"/>
      <c r="S123" s="97"/>
      <c r="T123" s="97"/>
      <c r="U123" s="97"/>
      <c r="V123" s="97"/>
      <c r="W123" s="97"/>
      <c r="X123" s="97"/>
      <c r="Y123" s="97"/>
      <c r="Z123" s="97"/>
      <c r="AA123" s="97"/>
      <c r="AB123" s="97"/>
      <c r="AC123" s="97"/>
      <c r="AD123" s="97"/>
      <c r="AE123" s="97"/>
      <c r="AF123" s="97"/>
      <c r="AG123" s="97"/>
      <c r="AH123" s="97"/>
      <c r="AI123" s="97"/>
      <c r="AJ123" s="97"/>
      <c r="AK123" s="97"/>
      <c r="AL123" s="97"/>
      <c r="AM123" s="97"/>
      <c r="AN123" s="97"/>
      <c r="AO123" s="97"/>
      <c r="AP123" s="97"/>
      <c r="AQ123" s="97"/>
      <c r="AR123" s="97"/>
      <c r="AS123" s="97"/>
      <c r="AT123" s="97"/>
      <c r="AU123" s="97"/>
      <c r="AV123" s="107"/>
      <c r="AW123" s="107"/>
      <c r="AX123" s="107"/>
      <c r="AY123" s="107"/>
      <c r="AZ123" s="107"/>
    </row>
    <row r="124" spans="2:52">
      <c r="B124" s="98"/>
      <c r="C124" s="98"/>
      <c r="D124" s="97"/>
      <c r="E124" s="97"/>
      <c r="F124" s="97"/>
      <c r="G124" s="97"/>
      <c r="H124" s="97"/>
      <c r="I124" s="97"/>
      <c r="J124" s="97"/>
      <c r="K124" s="97"/>
      <c r="L124" s="97"/>
      <c r="M124" s="97"/>
      <c r="N124" s="99"/>
      <c r="O124" s="97"/>
      <c r="P124" s="99"/>
      <c r="Q124" s="97"/>
      <c r="R124" s="97"/>
      <c r="S124" s="97"/>
      <c r="T124" s="97"/>
      <c r="U124" s="97"/>
      <c r="V124" s="97"/>
      <c r="W124" s="97"/>
      <c r="X124" s="97"/>
      <c r="Y124" s="97"/>
      <c r="Z124" s="97"/>
      <c r="AA124" s="97"/>
      <c r="AB124" s="97"/>
      <c r="AC124" s="97"/>
      <c r="AD124" s="97"/>
      <c r="AE124" s="97"/>
      <c r="AF124" s="97"/>
      <c r="AG124" s="97"/>
      <c r="AH124" s="97"/>
      <c r="AI124" s="97"/>
      <c r="AJ124" s="97"/>
      <c r="AK124" s="97"/>
      <c r="AL124" s="97"/>
      <c r="AM124" s="97"/>
      <c r="AN124" s="97"/>
      <c r="AO124" s="97"/>
      <c r="AP124" s="97"/>
      <c r="AQ124" s="97"/>
      <c r="AR124" s="97"/>
      <c r="AS124" s="97"/>
      <c r="AT124" s="97"/>
      <c r="AU124" s="97"/>
      <c r="AV124" s="107"/>
      <c r="AW124" s="107"/>
      <c r="AX124" s="107"/>
      <c r="AY124" s="107"/>
      <c r="AZ124" s="107"/>
    </row>
    <row r="125" spans="2:52">
      <c r="B125" s="98"/>
      <c r="C125" s="98"/>
      <c r="D125" s="97"/>
      <c r="E125" s="97"/>
      <c r="F125" s="97"/>
      <c r="G125" s="97"/>
      <c r="H125" s="97"/>
      <c r="I125" s="97"/>
      <c r="J125" s="97"/>
      <c r="K125" s="97"/>
      <c r="L125" s="97"/>
      <c r="M125" s="97"/>
      <c r="N125" s="99"/>
      <c r="O125" s="97"/>
      <c r="P125" s="99"/>
      <c r="Q125" s="97"/>
      <c r="R125" s="97"/>
      <c r="S125" s="97"/>
      <c r="T125" s="97"/>
      <c r="U125" s="97"/>
      <c r="V125" s="97"/>
      <c r="W125" s="97"/>
      <c r="X125" s="97"/>
      <c r="Y125" s="97"/>
      <c r="Z125" s="97"/>
      <c r="AA125" s="97"/>
      <c r="AB125" s="97"/>
      <c r="AC125" s="97"/>
      <c r="AD125" s="97"/>
      <c r="AE125" s="97"/>
      <c r="AF125" s="97"/>
      <c r="AG125" s="97"/>
      <c r="AH125" s="97"/>
      <c r="AI125" s="97"/>
      <c r="AJ125" s="97"/>
      <c r="AK125" s="97"/>
      <c r="AL125" s="97"/>
      <c r="AM125" s="97"/>
      <c r="AN125" s="97"/>
      <c r="AO125" s="97"/>
      <c r="AP125" s="97"/>
      <c r="AQ125" s="97"/>
      <c r="AR125" s="97"/>
      <c r="AS125" s="97"/>
      <c r="AT125" s="97"/>
      <c r="AU125" s="97"/>
      <c r="AV125" s="107"/>
      <c r="AW125" s="107"/>
      <c r="AX125" s="107"/>
      <c r="AY125" s="107"/>
      <c r="AZ125" s="107"/>
    </row>
    <row r="126" spans="2:52">
      <c r="B126" s="98"/>
      <c r="C126" s="98"/>
      <c r="D126" s="97"/>
      <c r="E126" s="97"/>
      <c r="F126" s="97"/>
      <c r="G126" s="97"/>
      <c r="H126" s="97"/>
      <c r="I126" s="97"/>
      <c r="J126" s="97"/>
      <c r="K126" s="97"/>
      <c r="L126" s="97"/>
      <c r="M126" s="97"/>
      <c r="N126" s="99"/>
      <c r="O126" s="97"/>
      <c r="P126" s="99"/>
      <c r="Q126" s="97"/>
      <c r="R126" s="97"/>
      <c r="S126" s="97"/>
      <c r="T126" s="97"/>
      <c r="U126" s="97"/>
      <c r="V126" s="97"/>
      <c r="W126" s="97"/>
      <c r="X126" s="97"/>
      <c r="Y126" s="97"/>
      <c r="Z126" s="97"/>
      <c r="AA126" s="97"/>
      <c r="AB126" s="97"/>
      <c r="AC126" s="97"/>
      <c r="AD126" s="97"/>
      <c r="AE126" s="97"/>
      <c r="AF126" s="97"/>
      <c r="AG126" s="97"/>
      <c r="AH126" s="97"/>
      <c r="AI126" s="97"/>
      <c r="AJ126" s="97"/>
      <c r="AK126" s="97"/>
      <c r="AL126" s="97"/>
      <c r="AM126" s="97"/>
      <c r="AN126" s="97"/>
      <c r="AO126" s="97"/>
      <c r="AP126" s="97"/>
      <c r="AQ126" s="97"/>
      <c r="AR126" s="97"/>
      <c r="AS126" s="97"/>
      <c r="AT126" s="97"/>
      <c r="AU126" s="97"/>
      <c r="AV126" s="107"/>
      <c r="AW126" s="107"/>
      <c r="AX126" s="107"/>
      <c r="AY126" s="107"/>
      <c r="AZ126" s="107"/>
    </row>
    <row r="127" spans="2:52">
      <c r="B127" s="98"/>
      <c r="C127" s="98"/>
      <c r="D127" s="97"/>
      <c r="E127" s="97"/>
      <c r="F127" s="97"/>
      <c r="G127" s="97"/>
      <c r="H127" s="97"/>
      <c r="I127" s="97"/>
      <c r="J127" s="97"/>
      <c r="K127" s="97"/>
      <c r="L127" s="97"/>
      <c r="M127" s="97"/>
      <c r="N127" s="99"/>
      <c r="O127" s="97"/>
      <c r="P127" s="99"/>
      <c r="Q127" s="97"/>
      <c r="R127" s="97"/>
      <c r="S127" s="97"/>
      <c r="T127" s="97"/>
      <c r="U127" s="97"/>
      <c r="V127" s="97"/>
      <c r="W127" s="97"/>
      <c r="X127" s="97"/>
      <c r="Y127" s="97"/>
      <c r="Z127" s="97"/>
      <c r="AA127" s="97"/>
      <c r="AB127" s="97"/>
      <c r="AC127" s="97"/>
      <c r="AD127" s="97"/>
      <c r="AE127" s="97"/>
      <c r="AF127" s="97"/>
      <c r="AG127" s="97"/>
      <c r="AH127" s="97"/>
      <c r="AI127" s="97"/>
      <c r="AJ127" s="97"/>
      <c r="AK127" s="97"/>
      <c r="AL127" s="97"/>
      <c r="AM127" s="97"/>
      <c r="AN127" s="97"/>
      <c r="AO127" s="97"/>
      <c r="AP127" s="97"/>
      <c r="AQ127" s="97"/>
      <c r="AR127" s="97"/>
      <c r="AS127" s="97"/>
      <c r="AT127" s="97"/>
      <c r="AU127" s="97"/>
      <c r="AV127" s="107"/>
      <c r="AW127" s="107"/>
      <c r="AX127" s="107"/>
      <c r="AY127" s="107"/>
      <c r="AZ127" s="107"/>
    </row>
    <row r="128" spans="2:52">
      <c r="B128" s="98"/>
      <c r="C128" s="98"/>
      <c r="D128" s="97"/>
      <c r="E128" s="97"/>
      <c r="F128" s="97"/>
      <c r="G128" s="97"/>
      <c r="H128" s="97"/>
      <c r="I128" s="97"/>
      <c r="J128" s="97"/>
      <c r="K128" s="97"/>
      <c r="L128" s="97"/>
      <c r="M128" s="97"/>
      <c r="N128" s="99"/>
      <c r="O128" s="97"/>
      <c r="P128" s="99"/>
      <c r="Q128" s="97"/>
      <c r="R128" s="97"/>
      <c r="S128" s="97"/>
      <c r="T128" s="97"/>
      <c r="U128" s="97"/>
      <c r="V128" s="97"/>
      <c r="W128" s="97"/>
      <c r="X128" s="97"/>
      <c r="Y128" s="97"/>
      <c r="Z128" s="97"/>
      <c r="AA128" s="97"/>
      <c r="AB128" s="97"/>
      <c r="AC128" s="97"/>
      <c r="AD128" s="97"/>
      <c r="AE128" s="97"/>
      <c r="AF128" s="97"/>
      <c r="AG128" s="97"/>
      <c r="AH128" s="97"/>
      <c r="AI128" s="97"/>
      <c r="AJ128" s="97"/>
      <c r="AK128" s="97"/>
      <c r="AL128" s="97"/>
      <c r="AM128" s="97"/>
      <c r="AN128" s="97"/>
      <c r="AO128" s="97"/>
      <c r="AP128" s="97"/>
      <c r="AQ128" s="97"/>
      <c r="AR128" s="97"/>
      <c r="AS128" s="97"/>
      <c r="AT128" s="97"/>
      <c r="AU128" s="97"/>
      <c r="AV128" s="107"/>
      <c r="AW128" s="107"/>
      <c r="AX128" s="107"/>
      <c r="AY128" s="107"/>
      <c r="AZ128" s="107"/>
    </row>
    <row r="129" spans="2:52">
      <c r="B129" s="98"/>
      <c r="C129" s="98"/>
      <c r="D129" s="97"/>
      <c r="E129" s="97"/>
      <c r="F129" s="97"/>
      <c r="G129" s="97"/>
      <c r="H129" s="97"/>
      <c r="I129" s="97"/>
      <c r="J129" s="97"/>
      <c r="K129" s="97"/>
      <c r="L129" s="97"/>
      <c r="M129" s="97"/>
      <c r="N129" s="99"/>
      <c r="O129" s="97"/>
      <c r="P129" s="99"/>
      <c r="Q129" s="97"/>
      <c r="R129" s="97"/>
      <c r="S129" s="97"/>
      <c r="T129" s="97"/>
      <c r="U129" s="97"/>
      <c r="V129" s="97"/>
      <c r="W129" s="97"/>
      <c r="X129" s="97"/>
      <c r="Y129" s="97"/>
      <c r="Z129" s="97"/>
      <c r="AA129" s="97"/>
      <c r="AB129" s="97"/>
      <c r="AC129" s="97"/>
      <c r="AD129" s="97"/>
      <c r="AE129" s="97"/>
      <c r="AF129" s="97"/>
      <c r="AG129" s="97"/>
      <c r="AH129" s="97"/>
      <c r="AI129" s="97"/>
      <c r="AJ129" s="97"/>
      <c r="AK129" s="97"/>
      <c r="AL129" s="97"/>
      <c r="AM129" s="97"/>
      <c r="AN129" s="97"/>
      <c r="AO129" s="97"/>
      <c r="AP129" s="97"/>
      <c r="AQ129" s="97"/>
      <c r="AR129" s="97"/>
      <c r="AS129" s="97"/>
      <c r="AT129" s="97"/>
      <c r="AU129" s="97"/>
      <c r="AV129" s="107"/>
      <c r="AW129" s="107"/>
      <c r="AX129" s="107"/>
      <c r="AY129" s="107"/>
      <c r="AZ129" s="107"/>
    </row>
    <row r="130" spans="2:52">
      <c r="B130" s="98"/>
      <c r="C130" s="98"/>
      <c r="D130" s="97"/>
      <c r="E130" s="97"/>
      <c r="F130" s="97"/>
      <c r="G130" s="97"/>
      <c r="H130" s="97"/>
      <c r="I130" s="97"/>
      <c r="J130" s="97"/>
      <c r="K130" s="97"/>
      <c r="L130" s="97"/>
      <c r="M130" s="97"/>
      <c r="N130" s="99"/>
      <c r="O130" s="97"/>
      <c r="P130" s="99"/>
      <c r="Q130" s="97"/>
      <c r="R130" s="97"/>
      <c r="S130" s="97"/>
      <c r="T130" s="97"/>
      <c r="U130" s="97"/>
      <c r="V130" s="97"/>
      <c r="W130" s="97"/>
      <c r="X130" s="97"/>
      <c r="Y130" s="97"/>
      <c r="Z130" s="97"/>
      <c r="AA130" s="97"/>
      <c r="AB130" s="97"/>
      <c r="AC130" s="97"/>
      <c r="AD130" s="97"/>
      <c r="AE130" s="97"/>
      <c r="AF130" s="97"/>
      <c r="AG130" s="97"/>
      <c r="AH130" s="97"/>
      <c r="AI130" s="97"/>
      <c r="AJ130" s="97"/>
      <c r="AK130" s="97"/>
      <c r="AL130" s="97"/>
      <c r="AM130" s="97"/>
      <c r="AN130" s="97"/>
      <c r="AO130" s="97"/>
      <c r="AP130" s="97"/>
      <c r="AQ130" s="97"/>
      <c r="AR130" s="97"/>
      <c r="AS130" s="97"/>
      <c r="AT130" s="97"/>
      <c r="AU130" s="97"/>
      <c r="AV130" s="107"/>
      <c r="AW130" s="107"/>
      <c r="AX130" s="107"/>
      <c r="AY130" s="107"/>
      <c r="AZ130" s="107"/>
    </row>
    <row r="131" spans="2:52">
      <c r="B131" s="98"/>
      <c r="C131" s="98"/>
      <c r="D131" s="97"/>
      <c r="E131" s="97"/>
      <c r="F131" s="97"/>
      <c r="G131" s="97"/>
      <c r="H131" s="97"/>
      <c r="I131" s="97"/>
      <c r="J131" s="97"/>
      <c r="K131" s="97"/>
      <c r="L131" s="97"/>
      <c r="M131" s="97"/>
      <c r="N131" s="99"/>
      <c r="O131" s="97"/>
      <c r="P131" s="99"/>
      <c r="Q131" s="97"/>
      <c r="R131" s="97"/>
      <c r="S131" s="97"/>
      <c r="T131" s="97"/>
      <c r="U131" s="97"/>
      <c r="V131" s="97"/>
      <c r="W131" s="97"/>
      <c r="X131" s="97"/>
      <c r="Y131" s="97"/>
      <c r="Z131" s="97"/>
      <c r="AA131" s="97"/>
      <c r="AB131" s="97"/>
      <c r="AC131" s="97"/>
      <c r="AD131" s="97"/>
      <c r="AE131" s="97"/>
      <c r="AF131" s="97"/>
      <c r="AG131" s="97"/>
      <c r="AH131" s="97"/>
      <c r="AI131" s="97"/>
      <c r="AJ131" s="97"/>
      <c r="AK131" s="97"/>
      <c r="AL131" s="97"/>
      <c r="AM131" s="97"/>
      <c r="AN131" s="97"/>
      <c r="AO131" s="97"/>
      <c r="AP131" s="97"/>
      <c r="AQ131" s="97"/>
      <c r="AR131" s="97"/>
      <c r="AS131" s="97"/>
      <c r="AT131" s="97"/>
      <c r="AU131" s="97"/>
      <c r="AV131" s="107"/>
      <c r="AW131" s="107"/>
      <c r="AX131" s="107"/>
      <c r="AY131" s="107"/>
      <c r="AZ131" s="107"/>
    </row>
    <row r="132" spans="2:52">
      <c r="B132" s="98"/>
      <c r="C132" s="98"/>
      <c r="D132" s="97"/>
      <c r="E132" s="97"/>
      <c r="F132" s="97"/>
      <c r="G132" s="97"/>
      <c r="H132" s="97"/>
      <c r="I132" s="97"/>
      <c r="J132" s="97"/>
      <c r="K132" s="97"/>
      <c r="L132" s="97"/>
      <c r="M132" s="97"/>
      <c r="N132" s="99"/>
      <c r="O132" s="97"/>
      <c r="P132" s="99"/>
      <c r="Q132" s="97"/>
      <c r="R132" s="97"/>
      <c r="S132" s="97"/>
      <c r="T132" s="97"/>
      <c r="U132" s="97"/>
      <c r="V132" s="97"/>
      <c r="W132" s="97"/>
      <c r="X132" s="97"/>
      <c r="Y132" s="97"/>
      <c r="Z132" s="97"/>
      <c r="AA132" s="97"/>
      <c r="AB132" s="97"/>
      <c r="AC132" s="97"/>
      <c r="AD132" s="97"/>
      <c r="AE132" s="97"/>
      <c r="AF132" s="97"/>
      <c r="AG132" s="97"/>
      <c r="AH132" s="97"/>
      <c r="AI132" s="97"/>
      <c r="AJ132" s="97"/>
      <c r="AK132" s="97"/>
      <c r="AL132" s="97"/>
      <c r="AM132" s="97"/>
      <c r="AN132" s="97"/>
      <c r="AO132" s="97"/>
      <c r="AP132" s="97"/>
      <c r="AQ132" s="97"/>
      <c r="AR132" s="97"/>
      <c r="AS132" s="97"/>
      <c r="AT132" s="97"/>
      <c r="AU132" s="97"/>
      <c r="AV132" s="107"/>
      <c r="AW132" s="107"/>
      <c r="AX132" s="107"/>
      <c r="AY132" s="107"/>
      <c r="AZ132" s="107"/>
    </row>
    <row r="133" spans="2:52">
      <c r="B133" s="98"/>
      <c r="C133" s="98"/>
      <c r="D133" s="97"/>
      <c r="E133" s="97"/>
      <c r="F133" s="97"/>
      <c r="G133" s="97"/>
      <c r="H133" s="97"/>
      <c r="I133" s="97"/>
      <c r="J133" s="97"/>
      <c r="K133" s="97"/>
      <c r="L133" s="97"/>
      <c r="M133" s="97"/>
      <c r="N133" s="99"/>
      <c r="O133" s="97"/>
      <c r="P133" s="99"/>
      <c r="Q133" s="97"/>
      <c r="R133" s="97"/>
      <c r="S133" s="97"/>
      <c r="T133" s="97"/>
      <c r="U133" s="97"/>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107"/>
      <c r="AW133" s="107"/>
      <c r="AX133" s="107"/>
      <c r="AY133" s="107"/>
      <c r="AZ133" s="107"/>
    </row>
    <row r="134" spans="2:52">
      <c r="B134" s="98"/>
      <c r="C134" s="98"/>
      <c r="D134" s="97"/>
      <c r="E134" s="97"/>
      <c r="F134" s="97"/>
      <c r="G134" s="97"/>
      <c r="H134" s="97"/>
      <c r="I134" s="97"/>
      <c r="J134" s="97"/>
      <c r="K134" s="97"/>
      <c r="L134" s="97"/>
      <c r="M134" s="97"/>
      <c r="N134" s="99"/>
      <c r="O134" s="97"/>
      <c r="P134" s="99"/>
      <c r="Q134" s="97"/>
      <c r="R134" s="97"/>
      <c r="S134" s="97"/>
      <c r="T134" s="97"/>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107"/>
      <c r="AW134" s="107"/>
      <c r="AX134" s="107"/>
      <c r="AY134" s="107"/>
      <c r="AZ134" s="107"/>
    </row>
    <row r="135" spans="2:52">
      <c r="B135" s="98"/>
      <c r="C135" s="98"/>
      <c r="D135" s="97"/>
      <c r="E135" s="97"/>
      <c r="F135" s="97"/>
      <c r="G135" s="97"/>
      <c r="H135" s="97"/>
      <c r="I135" s="97"/>
      <c r="J135" s="97"/>
      <c r="K135" s="97"/>
      <c r="L135" s="97"/>
      <c r="M135" s="97"/>
      <c r="N135" s="99"/>
      <c r="O135" s="97"/>
      <c r="P135" s="99"/>
      <c r="Q135" s="97"/>
      <c r="R135" s="97"/>
      <c r="S135" s="97"/>
      <c r="T135" s="97"/>
      <c r="U135" s="97"/>
      <c r="V135" s="97"/>
      <c r="W135" s="97"/>
      <c r="X135" s="97"/>
      <c r="Y135" s="97"/>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107"/>
      <c r="AW135" s="107"/>
      <c r="AX135" s="107"/>
      <c r="AY135" s="107"/>
      <c r="AZ135" s="107"/>
    </row>
    <row r="136" spans="2:52">
      <c r="B136" s="98"/>
      <c r="C136" s="98"/>
      <c r="D136" s="97"/>
      <c r="E136" s="97"/>
      <c r="F136" s="97"/>
      <c r="G136" s="97"/>
      <c r="H136" s="97"/>
      <c r="I136" s="97"/>
      <c r="J136" s="97"/>
      <c r="K136" s="97"/>
      <c r="L136" s="97"/>
      <c r="M136" s="97"/>
      <c r="N136" s="99"/>
      <c r="O136" s="97"/>
      <c r="P136" s="99"/>
      <c r="Q136" s="97"/>
      <c r="R136" s="97"/>
      <c r="S136" s="97"/>
      <c r="T136" s="97"/>
      <c r="U136" s="97"/>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107"/>
      <c r="AW136" s="107"/>
      <c r="AX136" s="107"/>
      <c r="AY136" s="107"/>
      <c r="AZ136" s="107"/>
    </row>
    <row r="137" spans="2:52">
      <c r="B137" s="98"/>
      <c r="C137" s="98"/>
      <c r="D137" s="97"/>
      <c r="E137" s="97"/>
      <c r="F137" s="97"/>
      <c r="G137" s="97"/>
      <c r="H137" s="97"/>
      <c r="I137" s="97"/>
      <c r="J137" s="97"/>
      <c r="K137" s="97"/>
      <c r="L137" s="97"/>
      <c r="M137" s="97"/>
      <c r="N137" s="99"/>
      <c r="O137" s="97"/>
      <c r="P137" s="99"/>
      <c r="Q137" s="97"/>
      <c r="R137" s="97"/>
      <c r="S137" s="97"/>
      <c r="T137" s="97"/>
      <c r="U137" s="97"/>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107"/>
      <c r="AW137" s="107"/>
      <c r="AX137" s="107"/>
      <c r="AY137" s="107"/>
      <c r="AZ137" s="107"/>
    </row>
    <row r="138" spans="2:52">
      <c r="B138" s="98"/>
      <c r="C138" s="98"/>
      <c r="D138" s="97"/>
      <c r="E138" s="97"/>
      <c r="F138" s="97"/>
      <c r="G138" s="97"/>
      <c r="H138" s="97"/>
      <c r="I138" s="97"/>
      <c r="J138" s="97"/>
      <c r="K138" s="97"/>
      <c r="L138" s="97"/>
      <c r="M138" s="97"/>
      <c r="N138" s="99"/>
      <c r="O138" s="97"/>
      <c r="P138" s="99"/>
      <c r="Q138" s="97"/>
      <c r="R138" s="97"/>
      <c r="S138" s="97"/>
      <c r="T138" s="97"/>
      <c r="U138" s="97"/>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107"/>
      <c r="AW138" s="107"/>
      <c r="AX138" s="107"/>
      <c r="AY138" s="107"/>
      <c r="AZ138" s="107"/>
    </row>
    <row r="139" spans="2:52">
      <c r="B139" s="98"/>
      <c r="C139" s="98"/>
      <c r="D139" s="97"/>
      <c r="E139" s="97"/>
      <c r="F139" s="97"/>
      <c r="G139" s="97"/>
      <c r="H139" s="97"/>
      <c r="I139" s="97"/>
      <c r="J139" s="97"/>
      <c r="K139" s="97"/>
      <c r="L139" s="97"/>
      <c r="M139" s="97"/>
      <c r="N139" s="99"/>
      <c r="O139" s="97"/>
      <c r="P139" s="99"/>
      <c r="Q139" s="97"/>
      <c r="R139" s="97"/>
      <c r="S139" s="97"/>
      <c r="T139" s="97"/>
      <c r="U139" s="97"/>
      <c r="V139" s="97"/>
      <c r="W139" s="97"/>
      <c r="X139" s="97"/>
      <c r="Y139" s="97"/>
      <c r="Z139" s="97"/>
      <c r="AA139" s="97"/>
      <c r="AB139" s="97"/>
      <c r="AC139" s="97"/>
      <c r="AD139" s="97"/>
      <c r="AE139" s="97"/>
      <c r="AF139" s="97"/>
      <c r="AG139" s="97"/>
      <c r="AH139" s="97"/>
      <c r="AI139" s="97"/>
      <c r="AJ139" s="97"/>
      <c r="AK139" s="97"/>
      <c r="AL139" s="97"/>
      <c r="AM139" s="97"/>
      <c r="AN139" s="97"/>
      <c r="AO139" s="97"/>
      <c r="AP139" s="97"/>
      <c r="AQ139" s="97"/>
      <c r="AR139" s="97"/>
      <c r="AS139" s="97"/>
      <c r="AT139" s="97"/>
      <c r="AU139" s="97"/>
      <c r="AV139" s="107"/>
      <c r="AW139" s="107"/>
      <c r="AX139" s="107"/>
      <c r="AY139" s="107"/>
      <c r="AZ139" s="107"/>
    </row>
    <row r="140" spans="2:52">
      <c r="B140" s="98"/>
      <c r="C140" s="98"/>
      <c r="D140" s="97"/>
      <c r="E140" s="97"/>
      <c r="F140" s="97"/>
      <c r="G140" s="97"/>
      <c r="H140" s="97"/>
      <c r="I140" s="97"/>
      <c r="J140" s="97"/>
      <c r="K140" s="97"/>
      <c r="L140" s="97"/>
      <c r="M140" s="97"/>
      <c r="N140" s="99"/>
      <c r="O140" s="97"/>
      <c r="P140" s="99"/>
      <c r="Q140" s="97"/>
      <c r="R140" s="97"/>
      <c r="S140" s="97"/>
      <c r="T140" s="97"/>
      <c r="U140" s="97"/>
      <c r="V140" s="97"/>
      <c r="W140" s="97"/>
      <c r="X140" s="97"/>
      <c r="Y140" s="97"/>
      <c r="Z140" s="97"/>
      <c r="AA140" s="97"/>
      <c r="AB140" s="97"/>
      <c r="AC140" s="97"/>
      <c r="AD140" s="97"/>
      <c r="AE140" s="97"/>
      <c r="AF140" s="97"/>
      <c r="AG140" s="97"/>
      <c r="AH140" s="97"/>
      <c r="AI140" s="97"/>
      <c r="AJ140" s="97"/>
      <c r="AK140" s="97"/>
      <c r="AL140" s="97"/>
      <c r="AM140" s="97"/>
      <c r="AN140" s="97"/>
      <c r="AO140" s="97"/>
      <c r="AP140" s="97"/>
      <c r="AQ140" s="97"/>
      <c r="AR140" s="97"/>
      <c r="AS140" s="97"/>
      <c r="AT140" s="97"/>
      <c r="AU140" s="97"/>
      <c r="AV140" s="107"/>
      <c r="AW140" s="107"/>
      <c r="AX140" s="107"/>
      <c r="AY140" s="107"/>
      <c r="AZ140" s="107"/>
    </row>
    <row r="141" spans="2:52">
      <c r="B141" s="98"/>
      <c r="C141" s="98"/>
      <c r="D141" s="97"/>
      <c r="E141" s="97"/>
      <c r="F141" s="97"/>
      <c r="G141" s="97"/>
      <c r="H141" s="97"/>
      <c r="I141" s="97"/>
      <c r="J141" s="97"/>
      <c r="K141" s="97"/>
      <c r="L141" s="97"/>
      <c r="M141" s="97"/>
      <c r="N141" s="99"/>
      <c r="O141" s="97"/>
      <c r="P141" s="99"/>
      <c r="Q141" s="97"/>
      <c r="R141" s="97"/>
      <c r="S141" s="97"/>
      <c r="T141" s="97"/>
      <c r="U141" s="97"/>
      <c r="V141" s="97"/>
      <c r="W141" s="97"/>
      <c r="X141" s="97"/>
      <c r="Y141" s="97"/>
      <c r="Z141" s="97"/>
      <c r="AA141" s="97"/>
      <c r="AB141" s="97"/>
      <c r="AC141" s="97"/>
      <c r="AD141" s="97"/>
      <c r="AE141" s="97"/>
      <c r="AF141" s="97"/>
      <c r="AG141" s="97"/>
      <c r="AH141" s="97"/>
      <c r="AI141" s="97"/>
      <c r="AJ141" s="97"/>
      <c r="AK141" s="97"/>
      <c r="AL141" s="97"/>
      <c r="AM141" s="97"/>
      <c r="AN141" s="97"/>
      <c r="AO141" s="97"/>
      <c r="AP141" s="97"/>
      <c r="AQ141" s="97"/>
      <c r="AR141" s="97"/>
      <c r="AS141" s="97"/>
      <c r="AT141" s="97"/>
      <c r="AU141" s="97"/>
      <c r="AV141" s="107"/>
      <c r="AW141" s="107"/>
      <c r="AX141" s="107"/>
      <c r="AY141" s="107"/>
      <c r="AZ141" s="107"/>
    </row>
    <row r="142" spans="2:52">
      <c r="B142" s="98"/>
      <c r="C142" s="98"/>
      <c r="D142" s="97"/>
      <c r="E142" s="97"/>
      <c r="F142" s="97"/>
      <c r="G142" s="97"/>
      <c r="H142" s="97"/>
      <c r="I142" s="97"/>
      <c r="J142" s="97"/>
      <c r="K142" s="97"/>
      <c r="L142" s="97"/>
      <c r="M142" s="97"/>
      <c r="N142" s="99"/>
      <c r="O142" s="97"/>
      <c r="P142" s="99"/>
      <c r="Q142" s="97"/>
      <c r="R142" s="97"/>
      <c r="S142" s="97"/>
      <c r="T142" s="97"/>
      <c r="U142" s="97"/>
      <c r="V142" s="97"/>
      <c r="W142" s="97"/>
      <c r="X142" s="97"/>
      <c r="Y142" s="97"/>
      <c r="Z142" s="97"/>
      <c r="AA142" s="97"/>
      <c r="AB142" s="97"/>
      <c r="AC142" s="97"/>
      <c r="AD142" s="97"/>
      <c r="AE142" s="97"/>
      <c r="AF142" s="97"/>
      <c r="AG142" s="97"/>
      <c r="AH142" s="97"/>
      <c r="AI142" s="97"/>
      <c r="AJ142" s="97"/>
      <c r="AK142" s="97"/>
      <c r="AL142" s="97"/>
      <c r="AM142" s="97"/>
      <c r="AN142" s="97"/>
      <c r="AO142" s="97"/>
      <c r="AP142" s="97"/>
      <c r="AQ142" s="97"/>
      <c r="AR142" s="97"/>
      <c r="AS142" s="97"/>
      <c r="AT142" s="97"/>
      <c r="AU142" s="97"/>
      <c r="AV142" s="107"/>
      <c r="AW142" s="107"/>
      <c r="AX142" s="107"/>
      <c r="AY142" s="107"/>
      <c r="AZ142" s="107"/>
    </row>
    <row r="143" spans="2:52">
      <c r="B143" s="98"/>
      <c r="C143" s="98"/>
      <c r="D143" s="97"/>
      <c r="E143" s="97"/>
      <c r="F143" s="97"/>
      <c r="G143" s="97"/>
      <c r="H143" s="97"/>
      <c r="I143" s="97"/>
      <c r="J143" s="97"/>
      <c r="K143" s="97"/>
      <c r="L143" s="97"/>
      <c r="M143" s="97"/>
      <c r="N143" s="99"/>
      <c r="O143" s="97"/>
      <c r="P143" s="99"/>
      <c r="Q143" s="97"/>
      <c r="R143" s="97"/>
      <c r="S143" s="97"/>
      <c r="T143" s="97"/>
      <c r="U143" s="97"/>
      <c r="V143" s="97"/>
      <c r="W143" s="97"/>
      <c r="X143" s="97"/>
      <c r="Y143" s="97"/>
      <c r="Z143" s="97"/>
      <c r="AA143" s="97"/>
      <c r="AB143" s="97"/>
      <c r="AC143" s="97"/>
      <c r="AD143" s="97"/>
      <c r="AE143" s="97"/>
      <c r="AF143" s="97"/>
      <c r="AG143" s="97"/>
      <c r="AH143" s="97"/>
      <c r="AI143" s="97"/>
      <c r="AJ143" s="97"/>
      <c r="AK143" s="97"/>
      <c r="AL143" s="97"/>
      <c r="AM143" s="97"/>
      <c r="AN143" s="97"/>
      <c r="AO143" s="97"/>
      <c r="AP143" s="97"/>
      <c r="AQ143" s="97"/>
      <c r="AR143" s="97"/>
      <c r="AS143" s="97"/>
      <c r="AT143" s="97"/>
      <c r="AU143" s="97"/>
      <c r="AV143" s="107"/>
      <c r="AW143" s="107"/>
      <c r="AX143" s="107"/>
      <c r="AY143" s="107"/>
      <c r="AZ143" s="107"/>
    </row>
    <row r="144" spans="2:52">
      <c r="B144" s="98"/>
      <c r="C144" s="98"/>
      <c r="D144" s="97"/>
      <c r="E144" s="97"/>
      <c r="F144" s="97"/>
      <c r="G144" s="97"/>
      <c r="H144" s="97"/>
      <c r="I144" s="97"/>
      <c r="J144" s="97"/>
      <c r="K144" s="97"/>
      <c r="L144" s="97"/>
      <c r="M144" s="97"/>
      <c r="N144" s="99"/>
      <c r="O144" s="97"/>
      <c r="P144" s="99"/>
      <c r="Q144" s="97"/>
      <c r="R144" s="97"/>
      <c r="S144" s="97"/>
      <c r="T144" s="97"/>
      <c r="U144" s="97"/>
      <c r="V144" s="97"/>
      <c r="W144" s="97"/>
      <c r="X144" s="97"/>
      <c r="Y144" s="97"/>
      <c r="Z144" s="97"/>
      <c r="AA144" s="97"/>
      <c r="AB144" s="97"/>
      <c r="AC144" s="97"/>
      <c r="AD144" s="97"/>
      <c r="AE144" s="97"/>
      <c r="AF144" s="97"/>
      <c r="AG144" s="97"/>
      <c r="AH144" s="97"/>
      <c r="AI144" s="97"/>
      <c r="AJ144" s="97"/>
      <c r="AK144" s="97"/>
      <c r="AL144" s="97"/>
      <c r="AM144" s="97"/>
      <c r="AN144" s="97"/>
      <c r="AO144" s="97"/>
      <c r="AP144" s="97"/>
      <c r="AQ144" s="97"/>
      <c r="AR144" s="97"/>
      <c r="AS144" s="97"/>
      <c r="AT144" s="97"/>
      <c r="AU144" s="97"/>
      <c r="AV144" s="107"/>
      <c r="AW144" s="107"/>
      <c r="AX144" s="107"/>
      <c r="AY144" s="107"/>
      <c r="AZ144" s="107"/>
    </row>
    <row r="145" spans="2:52">
      <c r="B145" s="98"/>
      <c r="C145" s="98"/>
      <c r="D145" s="97"/>
      <c r="E145" s="97"/>
      <c r="F145" s="97"/>
      <c r="G145" s="97"/>
      <c r="H145" s="97"/>
      <c r="I145" s="97"/>
      <c r="J145" s="97"/>
      <c r="K145" s="97"/>
      <c r="L145" s="97"/>
      <c r="M145" s="97"/>
      <c r="N145" s="99"/>
      <c r="O145" s="97"/>
      <c r="P145" s="99"/>
      <c r="Q145" s="97"/>
      <c r="R145" s="97"/>
      <c r="S145" s="97"/>
      <c r="T145" s="97"/>
      <c r="U145" s="97"/>
      <c r="V145" s="97"/>
      <c r="W145" s="97"/>
      <c r="X145" s="97"/>
      <c r="Y145" s="97"/>
      <c r="Z145" s="97"/>
      <c r="AA145" s="97"/>
      <c r="AB145" s="97"/>
      <c r="AC145" s="97"/>
      <c r="AD145" s="97"/>
      <c r="AE145" s="97"/>
      <c r="AF145" s="97"/>
      <c r="AG145" s="97"/>
      <c r="AH145" s="97"/>
      <c r="AI145" s="97"/>
      <c r="AJ145" s="97"/>
      <c r="AK145" s="97"/>
      <c r="AL145" s="97"/>
      <c r="AM145" s="97"/>
      <c r="AN145" s="97"/>
      <c r="AO145" s="97"/>
      <c r="AP145" s="97"/>
      <c r="AQ145" s="97"/>
      <c r="AR145" s="97"/>
      <c r="AS145" s="97"/>
      <c r="AT145" s="97"/>
      <c r="AU145" s="97"/>
      <c r="AV145" s="107"/>
      <c r="AW145" s="107"/>
      <c r="AX145" s="107"/>
      <c r="AY145" s="107"/>
      <c r="AZ145" s="107"/>
    </row>
    <row r="146" spans="2:52">
      <c r="B146" s="98"/>
      <c r="C146" s="98"/>
      <c r="D146" s="97"/>
      <c r="E146" s="97"/>
      <c r="F146" s="97"/>
      <c r="G146" s="97"/>
      <c r="H146" s="97"/>
      <c r="I146" s="97"/>
      <c r="J146" s="97"/>
      <c r="K146" s="97"/>
      <c r="L146" s="97"/>
      <c r="M146" s="97"/>
      <c r="N146" s="99"/>
      <c r="O146" s="97"/>
      <c r="P146" s="99"/>
      <c r="Q146" s="97"/>
      <c r="R146" s="97"/>
      <c r="S146" s="97"/>
      <c r="T146" s="97"/>
      <c r="U146" s="97"/>
      <c r="V146" s="97"/>
      <c r="W146" s="97"/>
      <c r="X146" s="97"/>
      <c r="Y146" s="97"/>
      <c r="Z146" s="97"/>
      <c r="AA146" s="97"/>
      <c r="AB146" s="97"/>
      <c r="AC146" s="97"/>
      <c r="AD146" s="97"/>
      <c r="AE146" s="97"/>
      <c r="AF146" s="97"/>
      <c r="AG146" s="97"/>
      <c r="AH146" s="97"/>
      <c r="AI146" s="97"/>
      <c r="AJ146" s="97"/>
      <c r="AK146" s="97"/>
      <c r="AL146" s="97"/>
      <c r="AM146" s="97"/>
      <c r="AN146" s="97"/>
      <c r="AO146" s="97"/>
      <c r="AP146" s="97"/>
      <c r="AQ146" s="97"/>
      <c r="AR146" s="97"/>
      <c r="AS146" s="97"/>
      <c r="AT146" s="97"/>
      <c r="AU146" s="97"/>
      <c r="AV146" s="107"/>
      <c r="AW146" s="107"/>
      <c r="AX146" s="107"/>
      <c r="AY146" s="107"/>
      <c r="AZ146" s="107"/>
    </row>
    <row r="147" spans="2:52">
      <c r="B147" s="98"/>
      <c r="C147" s="98"/>
      <c r="D147" s="97"/>
      <c r="E147" s="97"/>
      <c r="F147" s="97"/>
      <c r="G147" s="97"/>
      <c r="H147" s="97"/>
      <c r="I147" s="97"/>
      <c r="J147" s="97"/>
      <c r="K147" s="97"/>
      <c r="L147" s="97"/>
      <c r="M147" s="97"/>
      <c r="N147" s="99"/>
      <c r="O147" s="97"/>
      <c r="P147" s="99"/>
      <c r="Q147" s="97"/>
      <c r="R147" s="97"/>
      <c r="S147" s="97"/>
      <c r="T147" s="97"/>
      <c r="U147" s="97"/>
      <c r="V147" s="97"/>
      <c r="W147" s="97"/>
      <c r="X147" s="97"/>
      <c r="Y147" s="97"/>
      <c r="Z147" s="97"/>
      <c r="AA147" s="97"/>
      <c r="AB147" s="97"/>
      <c r="AC147" s="97"/>
      <c r="AD147" s="97"/>
      <c r="AE147" s="97"/>
      <c r="AF147" s="97"/>
      <c r="AG147" s="97"/>
      <c r="AH147" s="97"/>
      <c r="AI147" s="97"/>
      <c r="AJ147" s="97"/>
      <c r="AK147" s="97"/>
      <c r="AL147" s="97"/>
      <c r="AM147" s="97"/>
      <c r="AN147" s="97"/>
      <c r="AO147" s="97"/>
      <c r="AP147" s="97"/>
      <c r="AQ147" s="97"/>
      <c r="AR147" s="97"/>
      <c r="AS147" s="97"/>
      <c r="AT147" s="97"/>
      <c r="AU147" s="97"/>
      <c r="AV147" s="107"/>
      <c r="AW147" s="107"/>
      <c r="AX147" s="107"/>
      <c r="AY147" s="107"/>
      <c r="AZ147" s="107"/>
    </row>
    <row r="148" spans="2:52">
      <c r="B148" s="98"/>
      <c r="C148" s="98"/>
      <c r="D148" s="97"/>
      <c r="E148" s="97"/>
      <c r="F148" s="97"/>
      <c r="G148" s="97"/>
      <c r="H148" s="97"/>
      <c r="I148" s="97"/>
      <c r="J148" s="97"/>
      <c r="K148" s="97"/>
      <c r="L148" s="97"/>
      <c r="M148" s="97"/>
      <c r="N148" s="99"/>
      <c r="O148" s="97"/>
      <c r="P148" s="99"/>
      <c r="Q148" s="97"/>
      <c r="R148" s="97"/>
      <c r="S148" s="97"/>
      <c r="T148" s="97"/>
      <c r="U148" s="97"/>
      <c r="V148" s="97"/>
      <c r="W148" s="97"/>
      <c r="X148" s="97"/>
      <c r="Y148" s="97"/>
      <c r="Z148" s="97"/>
      <c r="AA148" s="97"/>
      <c r="AB148" s="97"/>
      <c r="AC148" s="97"/>
      <c r="AD148" s="97"/>
      <c r="AE148" s="97"/>
      <c r="AF148" s="97"/>
      <c r="AG148" s="97"/>
      <c r="AH148" s="97"/>
      <c r="AI148" s="97"/>
      <c r="AJ148" s="97"/>
      <c r="AK148" s="97"/>
      <c r="AL148" s="97"/>
      <c r="AM148" s="97"/>
      <c r="AN148" s="97"/>
      <c r="AO148" s="97"/>
      <c r="AP148" s="97"/>
      <c r="AQ148" s="97"/>
      <c r="AR148" s="97"/>
      <c r="AS148" s="97"/>
      <c r="AT148" s="97"/>
      <c r="AU148" s="97"/>
      <c r="AV148" s="107"/>
      <c r="AW148" s="107"/>
      <c r="AX148" s="107"/>
      <c r="AY148" s="107"/>
      <c r="AZ148" s="107"/>
    </row>
    <row r="149" spans="2:52">
      <c r="B149" s="98"/>
      <c r="C149" s="98"/>
      <c r="D149" s="97"/>
      <c r="E149" s="97"/>
      <c r="F149" s="97"/>
      <c r="G149" s="97"/>
      <c r="H149" s="97"/>
      <c r="I149" s="97"/>
      <c r="J149" s="97"/>
      <c r="K149" s="97"/>
      <c r="L149" s="97"/>
      <c r="M149" s="97"/>
      <c r="N149" s="99"/>
      <c r="O149" s="97"/>
      <c r="P149" s="99"/>
      <c r="Q149" s="97"/>
      <c r="R149" s="97"/>
      <c r="S149" s="97"/>
      <c r="T149" s="97"/>
      <c r="U149" s="97"/>
      <c r="V149" s="97"/>
      <c r="W149" s="97"/>
      <c r="X149" s="97"/>
      <c r="Y149" s="97"/>
      <c r="Z149" s="97"/>
      <c r="AA149" s="97"/>
      <c r="AB149" s="97"/>
      <c r="AC149" s="97"/>
      <c r="AD149" s="97"/>
      <c r="AE149" s="97"/>
      <c r="AF149" s="97"/>
      <c r="AG149" s="97"/>
      <c r="AH149" s="97"/>
      <c r="AI149" s="97"/>
      <c r="AJ149" s="97"/>
      <c r="AK149" s="97"/>
      <c r="AL149" s="97"/>
      <c r="AM149" s="97"/>
      <c r="AN149" s="97"/>
      <c r="AO149" s="97"/>
      <c r="AP149" s="97"/>
      <c r="AQ149" s="97"/>
      <c r="AR149" s="97"/>
      <c r="AS149" s="97"/>
      <c r="AT149" s="97"/>
      <c r="AU149" s="97"/>
      <c r="AV149" s="107"/>
      <c r="AW149" s="107"/>
      <c r="AX149" s="107"/>
      <c r="AY149" s="107"/>
      <c r="AZ149" s="107"/>
    </row>
    <row r="150" spans="2:52">
      <c r="B150" s="98"/>
      <c r="C150" s="98"/>
      <c r="D150" s="97"/>
      <c r="E150" s="97"/>
      <c r="F150" s="97"/>
      <c r="G150" s="97"/>
      <c r="H150" s="97"/>
      <c r="I150" s="97"/>
      <c r="J150" s="97"/>
      <c r="K150" s="97"/>
      <c r="L150" s="97"/>
      <c r="M150" s="97"/>
      <c r="N150" s="99"/>
      <c r="O150" s="97"/>
      <c r="P150" s="99"/>
      <c r="Q150" s="97"/>
      <c r="R150" s="97"/>
      <c r="S150" s="97"/>
      <c r="T150" s="97"/>
      <c r="U150" s="97"/>
      <c r="V150" s="97"/>
      <c r="W150" s="97"/>
      <c r="X150" s="97"/>
      <c r="Y150" s="97"/>
      <c r="Z150" s="97"/>
      <c r="AA150" s="97"/>
      <c r="AB150" s="97"/>
      <c r="AC150" s="97"/>
      <c r="AD150" s="97"/>
      <c r="AE150" s="97"/>
      <c r="AF150" s="97"/>
      <c r="AG150" s="97"/>
      <c r="AH150" s="97"/>
      <c r="AI150" s="97"/>
      <c r="AJ150" s="97"/>
      <c r="AK150" s="97"/>
      <c r="AL150" s="97"/>
      <c r="AM150" s="97"/>
      <c r="AN150" s="97"/>
      <c r="AO150" s="97"/>
      <c r="AP150" s="97"/>
      <c r="AQ150" s="97"/>
      <c r="AR150" s="97"/>
      <c r="AS150" s="97"/>
      <c r="AT150" s="97"/>
      <c r="AU150" s="97"/>
      <c r="AV150" s="107"/>
      <c r="AW150" s="107"/>
      <c r="AX150" s="107"/>
      <c r="AY150" s="107"/>
      <c r="AZ150" s="107"/>
    </row>
    <row r="151" spans="2:52">
      <c r="B151" s="98"/>
      <c r="C151" s="98"/>
      <c r="D151" s="97"/>
      <c r="E151" s="97"/>
      <c r="F151" s="97"/>
      <c r="G151" s="97"/>
      <c r="H151" s="97"/>
      <c r="I151" s="97"/>
      <c r="J151" s="97"/>
      <c r="K151" s="97"/>
      <c r="L151" s="97"/>
      <c r="M151" s="97"/>
      <c r="N151" s="99"/>
      <c r="O151" s="97"/>
      <c r="P151" s="99"/>
      <c r="Q151" s="97"/>
      <c r="R151" s="97"/>
      <c r="S151" s="97"/>
      <c r="T151" s="97"/>
      <c r="U151" s="97"/>
      <c r="V151" s="97"/>
      <c r="W151" s="97"/>
      <c r="X151" s="97"/>
      <c r="Y151" s="97"/>
      <c r="Z151" s="97"/>
      <c r="AA151" s="97"/>
      <c r="AB151" s="97"/>
      <c r="AC151" s="97"/>
      <c r="AD151" s="97"/>
      <c r="AE151" s="97"/>
      <c r="AF151" s="97"/>
      <c r="AG151" s="97"/>
      <c r="AH151" s="97"/>
      <c r="AI151" s="97"/>
      <c r="AJ151" s="97"/>
      <c r="AK151" s="97"/>
      <c r="AL151" s="97"/>
      <c r="AM151" s="97"/>
      <c r="AN151" s="97"/>
      <c r="AO151" s="97"/>
      <c r="AP151" s="97"/>
      <c r="AQ151" s="97"/>
      <c r="AR151" s="97"/>
      <c r="AS151" s="97"/>
      <c r="AT151" s="97"/>
      <c r="AU151" s="97"/>
      <c r="AV151" s="107"/>
      <c r="AW151" s="107"/>
      <c r="AX151" s="107"/>
      <c r="AY151" s="107"/>
      <c r="AZ151" s="107"/>
    </row>
    <row r="152" spans="2:52">
      <c r="B152" s="98"/>
      <c r="C152" s="98"/>
      <c r="D152" s="97"/>
      <c r="E152" s="97"/>
      <c r="F152" s="97"/>
      <c r="G152" s="97"/>
      <c r="H152" s="97"/>
      <c r="I152" s="97"/>
      <c r="J152" s="97"/>
      <c r="K152" s="97"/>
      <c r="L152" s="97"/>
      <c r="M152" s="97"/>
      <c r="N152" s="99"/>
      <c r="O152" s="97"/>
      <c r="P152" s="99"/>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107"/>
      <c r="AW152" s="107"/>
      <c r="AX152" s="107"/>
      <c r="AY152" s="107"/>
      <c r="AZ152" s="107"/>
    </row>
    <row r="153" spans="2:52">
      <c r="B153" s="98"/>
      <c r="C153" s="98"/>
      <c r="D153" s="97"/>
      <c r="E153" s="97"/>
      <c r="F153" s="97"/>
      <c r="G153" s="97"/>
      <c r="H153" s="97"/>
      <c r="I153" s="97"/>
      <c r="J153" s="97"/>
      <c r="K153" s="97"/>
      <c r="L153" s="97"/>
      <c r="M153" s="97"/>
      <c r="N153" s="99"/>
      <c r="O153" s="97"/>
      <c r="P153" s="99"/>
      <c r="Q153" s="97"/>
      <c r="R153" s="97"/>
      <c r="S153" s="97"/>
      <c r="T153" s="97"/>
      <c r="U153" s="97"/>
      <c r="V153" s="97"/>
      <c r="W153" s="97"/>
      <c r="X153" s="97"/>
      <c r="Y153" s="97"/>
      <c r="Z153" s="97"/>
      <c r="AA153" s="97"/>
      <c r="AB153" s="97"/>
      <c r="AC153" s="97"/>
      <c r="AD153" s="97"/>
      <c r="AE153" s="97"/>
      <c r="AF153" s="97"/>
      <c r="AG153" s="97"/>
      <c r="AH153" s="97"/>
      <c r="AI153" s="97"/>
      <c r="AJ153" s="97"/>
      <c r="AK153" s="97"/>
      <c r="AL153" s="97"/>
      <c r="AM153" s="97"/>
      <c r="AN153" s="97"/>
      <c r="AO153" s="97"/>
      <c r="AP153" s="97"/>
      <c r="AQ153" s="97"/>
      <c r="AR153" s="97"/>
      <c r="AS153" s="97"/>
      <c r="AT153" s="97"/>
      <c r="AU153" s="97"/>
      <c r="AV153" s="107"/>
      <c r="AW153" s="107"/>
      <c r="AX153" s="107"/>
      <c r="AY153" s="107"/>
      <c r="AZ153" s="107"/>
    </row>
    <row r="154" spans="2:52">
      <c r="B154" s="98"/>
      <c r="C154" s="98"/>
      <c r="D154" s="97"/>
      <c r="E154" s="97"/>
      <c r="F154" s="97"/>
      <c r="G154" s="97"/>
      <c r="H154" s="97"/>
      <c r="I154" s="97"/>
      <c r="J154" s="97"/>
      <c r="K154" s="97"/>
      <c r="L154" s="97"/>
      <c r="M154" s="97"/>
      <c r="N154" s="99"/>
      <c r="O154" s="97"/>
      <c r="P154" s="99"/>
      <c r="Q154" s="97"/>
      <c r="R154" s="97"/>
      <c r="S154" s="97"/>
      <c r="T154" s="97"/>
      <c r="U154" s="97"/>
      <c r="V154" s="97"/>
      <c r="W154" s="97"/>
      <c r="X154" s="97"/>
      <c r="Y154" s="97"/>
      <c r="Z154" s="97"/>
      <c r="AA154" s="97"/>
      <c r="AB154" s="97"/>
      <c r="AC154" s="97"/>
      <c r="AD154" s="97"/>
      <c r="AE154" s="97"/>
      <c r="AF154" s="97"/>
      <c r="AG154" s="97"/>
      <c r="AH154" s="97"/>
      <c r="AI154" s="97"/>
      <c r="AJ154" s="97"/>
      <c r="AK154" s="97"/>
      <c r="AL154" s="97"/>
      <c r="AM154" s="97"/>
      <c r="AN154" s="97"/>
      <c r="AO154" s="97"/>
      <c r="AP154" s="97"/>
      <c r="AQ154" s="97"/>
      <c r="AR154" s="97"/>
      <c r="AS154" s="97"/>
      <c r="AT154" s="97"/>
      <c r="AU154" s="97"/>
      <c r="AV154" s="107"/>
      <c r="AW154" s="107"/>
      <c r="AX154" s="107"/>
      <c r="AY154" s="107"/>
      <c r="AZ154" s="107"/>
    </row>
    <row r="155" spans="2:52">
      <c r="B155" s="98"/>
      <c r="C155" s="98"/>
      <c r="D155" s="97"/>
      <c r="E155" s="97"/>
      <c r="F155" s="97"/>
      <c r="G155" s="97"/>
      <c r="H155" s="97"/>
      <c r="I155" s="97"/>
      <c r="J155" s="97"/>
      <c r="K155" s="97"/>
      <c r="L155" s="97"/>
      <c r="M155" s="97"/>
      <c r="N155" s="99"/>
      <c r="O155" s="97"/>
      <c r="P155" s="99"/>
      <c r="Q155" s="97"/>
      <c r="R155" s="97"/>
      <c r="S155" s="97"/>
      <c r="T155" s="97"/>
      <c r="U155" s="97"/>
      <c r="V155" s="97"/>
      <c r="W155" s="97"/>
      <c r="X155" s="97"/>
      <c r="Y155" s="97"/>
      <c r="Z155" s="97"/>
      <c r="AA155" s="97"/>
      <c r="AB155" s="97"/>
      <c r="AC155" s="97"/>
      <c r="AD155" s="97"/>
      <c r="AE155" s="97"/>
      <c r="AF155" s="97"/>
      <c r="AG155" s="97"/>
      <c r="AH155" s="97"/>
      <c r="AI155" s="97"/>
      <c r="AJ155" s="97"/>
      <c r="AK155" s="97"/>
      <c r="AL155" s="97"/>
      <c r="AM155" s="97"/>
      <c r="AN155" s="97"/>
      <c r="AO155" s="97"/>
      <c r="AP155" s="97"/>
      <c r="AQ155" s="97"/>
      <c r="AR155" s="97"/>
      <c r="AS155" s="97"/>
      <c r="AT155" s="97"/>
      <c r="AU155" s="97"/>
      <c r="AV155" s="107"/>
      <c r="AW155" s="107"/>
      <c r="AX155" s="107"/>
      <c r="AY155" s="107"/>
      <c r="AZ155" s="107"/>
    </row>
    <row r="156" spans="2:52">
      <c r="B156" s="98"/>
      <c r="C156" s="98"/>
      <c r="D156" s="97"/>
      <c r="E156" s="97"/>
      <c r="F156" s="97"/>
      <c r="G156" s="97"/>
      <c r="H156" s="97"/>
      <c r="I156" s="97"/>
      <c r="J156" s="97"/>
      <c r="K156" s="97"/>
      <c r="L156" s="97"/>
      <c r="M156" s="97"/>
      <c r="N156" s="99"/>
      <c r="O156" s="97"/>
      <c r="P156" s="99"/>
      <c r="Q156" s="97"/>
      <c r="R156" s="97"/>
      <c r="S156" s="97"/>
      <c r="T156" s="97"/>
      <c r="U156" s="97"/>
      <c r="V156" s="97"/>
      <c r="W156" s="97"/>
      <c r="X156" s="97"/>
      <c r="Y156" s="97"/>
      <c r="Z156" s="97"/>
      <c r="AA156" s="97"/>
      <c r="AB156" s="97"/>
      <c r="AC156" s="97"/>
      <c r="AD156" s="97"/>
      <c r="AE156" s="97"/>
      <c r="AF156" s="97"/>
      <c r="AG156" s="97"/>
      <c r="AH156" s="97"/>
      <c r="AI156" s="97"/>
      <c r="AJ156" s="97"/>
      <c r="AK156" s="97"/>
      <c r="AL156" s="97"/>
      <c r="AM156" s="97"/>
      <c r="AN156" s="97"/>
      <c r="AO156" s="97"/>
      <c r="AP156" s="97"/>
      <c r="AQ156" s="97"/>
      <c r="AR156" s="97"/>
      <c r="AS156" s="97"/>
      <c r="AT156" s="97"/>
      <c r="AU156" s="97"/>
      <c r="AV156" s="107"/>
      <c r="AW156" s="107"/>
      <c r="AX156" s="107"/>
      <c r="AY156" s="107"/>
      <c r="AZ156" s="107"/>
    </row>
    <row r="157" spans="2:52">
      <c r="B157" s="98"/>
      <c r="C157" s="98"/>
      <c r="D157" s="97"/>
      <c r="E157" s="97"/>
      <c r="F157" s="97"/>
      <c r="G157" s="97"/>
      <c r="H157" s="97"/>
      <c r="I157" s="97"/>
      <c r="J157" s="97"/>
      <c r="K157" s="97"/>
      <c r="L157" s="97"/>
      <c r="M157" s="97"/>
      <c r="N157" s="99"/>
      <c r="O157" s="97"/>
      <c r="P157" s="99"/>
      <c r="Q157" s="97"/>
      <c r="R157" s="97"/>
      <c r="S157" s="97"/>
      <c r="T157" s="97"/>
      <c r="U157" s="97"/>
      <c r="V157" s="97"/>
      <c r="W157" s="97"/>
      <c r="X157" s="97"/>
      <c r="Y157" s="97"/>
      <c r="Z157" s="97"/>
      <c r="AA157" s="97"/>
      <c r="AB157" s="97"/>
      <c r="AC157" s="97"/>
      <c r="AD157" s="97"/>
      <c r="AE157" s="97"/>
      <c r="AF157" s="97"/>
      <c r="AG157" s="97"/>
      <c r="AH157" s="97"/>
      <c r="AI157" s="97"/>
      <c r="AJ157" s="97"/>
      <c r="AK157" s="97"/>
      <c r="AL157" s="97"/>
      <c r="AM157" s="97"/>
      <c r="AN157" s="97"/>
      <c r="AO157" s="97"/>
      <c r="AP157" s="97"/>
      <c r="AQ157" s="97"/>
      <c r="AR157" s="97"/>
      <c r="AS157" s="97"/>
      <c r="AT157" s="97"/>
      <c r="AU157" s="97"/>
      <c r="AV157" s="107"/>
      <c r="AW157" s="107"/>
      <c r="AX157" s="107"/>
      <c r="AY157" s="107"/>
      <c r="AZ157" s="107"/>
    </row>
    <row r="158" spans="2:52">
      <c r="B158" s="98"/>
      <c r="C158" s="98"/>
      <c r="D158" s="97"/>
      <c r="E158" s="97"/>
      <c r="F158" s="97"/>
      <c r="G158" s="97"/>
      <c r="H158" s="97"/>
      <c r="I158" s="97"/>
      <c r="J158" s="97"/>
      <c r="K158" s="97"/>
      <c r="L158" s="97"/>
      <c r="M158" s="97"/>
      <c r="N158" s="99"/>
      <c r="O158" s="97"/>
      <c r="P158" s="99"/>
      <c r="Q158" s="97"/>
      <c r="R158" s="97"/>
      <c r="S158" s="97"/>
      <c r="T158" s="97"/>
      <c r="U158" s="97"/>
      <c r="V158" s="97"/>
      <c r="W158" s="97"/>
      <c r="X158" s="97"/>
      <c r="Y158" s="97"/>
      <c r="Z158" s="97"/>
      <c r="AA158" s="97"/>
      <c r="AB158" s="97"/>
      <c r="AC158" s="97"/>
      <c r="AD158" s="97"/>
      <c r="AE158" s="97"/>
      <c r="AF158" s="97"/>
      <c r="AG158" s="97"/>
      <c r="AH158" s="97"/>
      <c r="AI158" s="97"/>
      <c r="AJ158" s="97"/>
      <c r="AK158" s="97"/>
      <c r="AL158" s="97"/>
      <c r="AM158" s="97"/>
      <c r="AN158" s="97"/>
      <c r="AO158" s="97"/>
      <c r="AP158" s="97"/>
      <c r="AQ158" s="97"/>
      <c r="AR158" s="97"/>
      <c r="AS158" s="97"/>
      <c r="AT158" s="97"/>
      <c r="AU158" s="97"/>
      <c r="AV158" s="107"/>
      <c r="AW158" s="107"/>
      <c r="AX158" s="107"/>
      <c r="AY158" s="107"/>
      <c r="AZ158" s="107"/>
    </row>
    <row r="159" spans="2:52">
      <c r="B159" s="98"/>
      <c r="C159" s="98"/>
      <c r="D159" s="97"/>
      <c r="E159" s="97"/>
      <c r="F159" s="97"/>
      <c r="G159" s="97"/>
      <c r="H159" s="97"/>
      <c r="I159" s="97"/>
      <c r="J159" s="97"/>
      <c r="K159" s="97"/>
      <c r="L159" s="97"/>
      <c r="M159" s="97"/>
      <c r="N159" s="99"/>
      <c r="O159" s="97"/>
      <c r="P159" s="99"/>
      <c r="Q159" s="97"/>
      <c r="R159" s="97"/>
      <c r="S159" s="97"/>
      <c r="T159" s="97"/>
      <c r="U159" s="97"/>
      <c r="V159" s="97"/>
      <c r="W159" s="97"/>
      <c r="X159" s="97"/>
      <c r="Y159" s="97"/>
      <c r="Z159" s="97"/>
      <c r="AA159" s="97"/>
      <c r="AB159" s="97"/>
      <c r="AC159" s="97"/>
      <c r="AD159" s="97"/>
      <c r="AE159" s="97"/>
      <c r="AF159" s="97"/>
      <c r="AG159" s="97"/>
      <c r="AH159" s="97"/>
      <c r="AI159" s="97"/>
      <c r="AJ159" s="97"/>
      <c r="AK159" s="97"/>
      <c r="AL159" s="97"/>
      <c r="AM159" s="97"/>
      <c r="AN159" s="97"/>
      <c r="AO159" s="97"/>
      <c r="AP159" s="97"/>
      <c r="AQ159" s="97"/>
      <c r="AR159" s="97"/>
      <c r="AS159" s="97"/>
      <c r="AT159" s="97"/>
      <c r="AU159" s="97"/>
      <c r="AV159" s="107"/>
      <c r="AW159" s="107"/>
      <c r="AX159" s="107"/>
      <c r="AY159" s="107"/>
      <c r="AZ159" s="107"/>
    </row>
    <row r="160" spans="2:52">
      <c r="B160" s="98"/>
      <c r="C160" s="98"/>
      <c r="D160" s="97"/>
      <c r="E160" s="97"/>
      <c r="F160" s="97"/>
      <c r="G160" s="97"/>
      <c r="H160" s="97"/>
      <c r="I160" s="97"/>
      <c r="J160" s="97"/>
      <c r="K160" s="97"/>
      <c r="L160" s="97"/>
      <c r="M160" s="97"/>
      <c r="N160" s="99"/>
      <c r="O160" s="97"/>
      <c r="P160" s="99"/>
      <c r="Q160" s="97"/>
      <c r="R160" s="97"/>
      <c r="S160" s="97"/>
      <c r="T160" s="97"/>
      <c r="U160" s="97"/>
      <c r="V160" s="97"/>
      <c r="W160" s="97"/>
      <c r="X160" s="97"/>
      <c r="Y160" s="97"/>
      <c r="Z160" s="97"/>
      <c r="AA160" s="97"/>
      <c r="AB160" s="97"/>
      <c r="AC160" s="97"/>
      <c r="AD160" s="97"/>
      <c r="AE160" s="97"/>
      <c r="AF160" s="97"/>
      <c r="AG160" s="97"/>
      <c r="AH160" s="97"/>
      <c r="AI160" s="97"/>
      <c r="AJ160" s="97"/>
      <c r="AK160" s="97"/>
      <c r="AL160" s="97"/>
      <c r="AM160" s="97"/>
      <c r="AN160" s="97"/>
      <c r="AO160" s="97"/>
      <c r="AP160" s="97"/>
      <c r="AQ160" s="97"/>
      <c r="AR160" s="97"/>
      <c r="AS160" s="97"/>
      <c r="AT160" s="97"/>
      <c r="AU160" s="97"/>
      <c r="AV160" s="107"/>
      <c r="AW160" s="107"/>
      <c r="AX160" s="107"/>
      <c r="AY160" s="107"/>
      <c r="AZ160" s="107"/>
    </row>
    <row r="161" spans="2:52">
      <c r="B161" s="98"/>
      <c r="C161" s="98"/>
      <c r="D161" s="97"/>
      <c r="E161" s="97"/>
      <c r="F161" s="97"/>
      <c r="G161" s="97"/>
      <c r="H161" s="97"/>
      <c r="I161" s="97"/>
      <c r="J161" s="97"/>
      <c r="K161" s="97"/>
      <c r="L161" s="97"/>
      <c r="M161" s="97"/>
      <c r="N161" s="99"/>
      <c r="O161" s="97"/>
      <c r="P161" s="99"/>
      <c r="Q161" s="97"/>
      <c r="R161" s="97"/>
      <c r="S161" s="97"/>
      <c r="T161" s="97"/>
      <c r="U161" s="97"/>
      <c r="V161" s="97"/>
      <c r="W161" s="97"/>
      <c r="X161" s="97"/>
      <c r="Y161" s="97"/>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107"/>
      <c r="AW161" s="107"/>
      <c r="AX161" s="107"/>
      <c r="AY161" s="107"/>
      <c r="AZ161" s="107"/>
    </row>
    <row r="162" spans="2:52">
      <c r="B162" s="98"/>
      <c r="C162" s="98"/>
      <c r="D162" s="97"/>
      <c r="E162" s="97"/>
      <c r="F162" s="97"/>
      <c r="G162" s="97"/>
      <c r="H162" s="97"/>
      <c r="I162" s="97"/>
      <c r="J162" s="97"/>
      <c r="K162" s="97"/>
      <c r="L162" s="97"/>
      <c r="M162" s="97"/>
      <c r="N162" s="99"/>
      <c r="O162" s="97"/>
      <c r="P162" s="99"/>
      <c r="Q162" s="97"/>
      <c r="R162" s="97"/>
      <c r="S162" s="97"/>
      <c r="T162" s="97"/>
      <c r="U162" s="97"/>
      <c r="V162" s="97"/>
      <c r="W162" s="97"/>
      <c r="X162" s="97"/>
      <c r="Y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107"/>
      <c r="AW162" s="107"/>
      <c r="AX162" s="107"/>
      <c r="AY162" s="107"/>
      <c r="AZ162" s="107"/>
    </row>
    <row r="163" spans="2:52">
      <c r="B163" s="98"/>
      <c r="C163" s="98"/>
      <c r="D163" s="97"/>
      <c r="E163" s="97"/>
      <c r="F163" s="97"/>
      <c r="G163" s="97"/>
      <c r="H163" s="97"/>
      <c r="I163" s="97"/>
      <c r="J163" s="97"/>
      <c r="K163" s="97"/>
      <c r="L163" s="97"/>
      <c r="M163" s="97"/>
      <c r="N163" s="99"/>
      <c r="O163" s="97"/>
      <c r="P163" s="99"/>
      <c r="Q163" s="97"/>
      <c r="R163" s="97"/>
      <c r="S163" s="97"/>
      <c r="T163" s="97"/>
      <c r="U163" s="97"/>
      <c r="V163" s="97"/>
      <c r="W163" s="97"/>
      <c r="X163" s="97"/>
      <c r="Y163" s="97"/>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107"/>
      <c r="AW163" s="107"/>
      <c r="AX163" s="107"/>
      <c r="AY163" s="107"/>
      <c r="AZ163" s="107"/>
    </row>
    <row r="164" spans="2:52">
      <c r="B164" s="98"/>
      <c r="C164" s="98"/>
      <c r="D164" s="97"/>
      <c r="E164" s="97"/>
      <c r="F164" s="97"/>
      <c r="G164" s="97"/>
      <c r="H164" s="97"/>
      <c r="I164" s="97"/>
      <c r="J164" s="97"/>
      <c r="K164" s="97"/>
      <c r="L164" s="97"/>
      <c r="M164" s="97"/>
      <c r="N164" s="99"/>
      <c r="O164" s="97"/>
      <c r="P164" s="99"/>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107"/>
      <c r="AW164" s="107"/>
      <c r="AX164" s="107"/>
      <c r="AY164" s="107"/>
      <c r="AZ164" s="107"/>
    </row>
    <row r="165" spans="2:52">
      <c r="B165" s="98"/>
      <c r="C165" s="98"/>
      <c r="D165" s="97"/>
      <c r="E165" s="97"/>
      <c r="F165" s="97"/>
      <c r="G165" s="97"/>
      <c r="H165" s="97"/>
      <c r="I165" s="97"/>
      <c r="J165" s="97"/>
      <c r="K165" s="97"/>
      <c r="L165" s="97"/>
      <c r="M165" s="97"/>
      <c r="N165" s="99"/>
      <c r="O165" s="97"/>
      <c r="P165" s="99"/>
      <c r="Q165" s="97"/>
      <c r="R165" s="97"/>
      <c r="S165" s="97"/>
      <c r="T165" s="97"/>
      <c r="U165" s="97"/>
      <c r="V165" s="97"/>
      <c r="W165" s="97"/>
      <c r="X165" s="97"/>
      <c r="Y165" s="97"/>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107"/>
      <c r="AW165" s="107"/>
      <c r="AX165" s="107"/>
      <c r="AY165" s="107"/>
      <c r="AZ165" s="107"/>
    </row>
    <row r="166" spans="2:52">
      <c r="B166" s="98"/>
      <c r="C166" s="98"/>
      <c r="D166" s="97"/>
      <c r="E166" s="97"/>
      <c r="F166" s="97"/>
      <c r="G166" s="97"/>
      <c r="H166" s="97"/>
      <c r="I166" s="97"/>
      <c r="J166" s="97"/>
      <c r="K166" s="97"/>
      <c r="L166" s="97"/>
      <c r="M166" s="97"/>
      <c r="N166" s="99"/>
      <c r="O166" s="97"/>
      <c r="P166" s="99"/>
      <c r="Q166" s="97"/>
      <c r="R166" s="97"/>
      <c r="S166" s="97"/>
      <c r="T166" s="97"/>
      <c r="U166" s="97"/>
      <c r="V166" s="97"/>
      <c r="W166" s="97"/>
      <c r="X166" s="97"/>
      <c r="Y166" s="97"/>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107"/>
      <c r="AW166" s="107"/>
      <c r="AX166" s="107"/>
      <c r="AY166" s="107"/>
      <c r="AZ166" s="107"/>
    </row>
    <row r="167" spans="2:52">
      <c r="B167" s="98"/>
      <c r="C167" s="98"/>
      <c r="D167" s="97"/>
      <c r="E167" s="97"/>
      <c r="F167" s="97"/>
      <c r="G167" s="97"/>
      <c r="H167" s="97"/>
      <c r="I167" s="97"/>
      <c r="J167" s="97"/>
      <c r="K167" s="97"/>
      <c r="L167" s="97"/>
      <c r="M167" s="97"/>
      <c r="N167" s="99"/>
      <c r="O167" s="97"/>
      <c r="P167" s="99"/>
      <c r="Q167" s="97"/>
      <c r="R167" s="97"/>
      <c r="S167" s="97"/>
      <c r="T167" s="97"/>
      <c r="U167" s="97"/>
      <c r="V167" s="97"/>
      <c r="W167" s="97"/>
      <c r="X167" s="97"/>
      <c r="Y167" s="97"/>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107"/>
      <c r="AW167" s="107"/>
      <c r="AX167" s="107"/>
      <c r="AY167" s="107"/>
      <c r="AZ167" s="107"/>
    </row>
    <row r="168" spans="2:52">
      <c r="B168" s="98"/>
      <c r="C168" s="98"/>
      <c r="D168" s="97"/>
      <c r="E168" s="97"/>
      <c r="F168" s="97"/>
      <c r="G168" s="97"/>
      <c r="H168" s="97"/>
      <c r="I168" s="97"/>
      <c r="J168" s="97"/>
      <c r="K168" s="97"/>
      <c r="L168" s="97"/>
      <c r="M168" s="97"/>
      <c r="N168" s="99"/>
      <c r="O168" s="97"/>
      <c r="P168" s="99"/>
      <c r="Q168" s="97"/>
      <c r="R168" s="97"/>
      <c r="S168" s="97"/>
      <c r="T168" s="97"/>
      <c r="U168" s="97"/>
      <c r="V168" s="97"/>
      <c r="W168" s="97"/>
      <c r="X168" s="97"/>
      <c r="Y168" s="97"/>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107"/>
      <c r="AW168" s="107"/>
      <c r="AX168" s="107"/>
      <c r="AY168" s="107"/>
      <c r="AZ168" s="107"/>
    </row>
    <row r="169" spans="2:52">
      <c r="B169" s="98"/>
      <c r="C169" s="98"/>
      <c r="D169" s="97"/>
      <c r="E169" s="97"/>
      <c r="F169" s="97"/>
      <c r="G169" s="97"/>
      <c r="H169" s="97"/>
      <c r="I169" s="97"/>
      <c r="J169" s="97"/>
      <c r="K169" s="97"/>
      <c r="L169" s="97"/>
      <c r="M169" s="97"/>
      <c r="N169" s="99"/>
      <c r="O169" s="97"/>
      <c r="P169" s="99"/>
      <c r="Q169" s="97"/>
      <c r="R169" s="97"/>
      <c r="S169" s="97"/>
      <c r="T169" s="97"/>
      <c r="U169" s="97"/>
      <c r="V169" s="97"/>
      <c r="W169" s="97"/>
      <c r="X169" s="97"/>
      <c r="Y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107"/>
      <c r="AW169" s="107"/>
      <c r="AX169" s="107"/>
      <c r="AY169" s="107"/>
      <c r="AZ169" s="107"/>
    </row>
    <row r="170" spans="2:52">
      <c r="B170" s="98"/>
      <c r="C170" s="98"/>
      <c r="D170" s="97"/>
      <c r="E170" s="97"/>
      <c r="F170" s="97"/>
      <c r="G170" s="97"/>
      <c r="H170" s="97"/>
      <c r="I170" s="97"/>
      <c r="J170" s="97"/>
      <c r="K170" s="97"/>
      <c r="L170" s="97"/>
      <c r="M170" s="97"/>
      <c r="N170" s="99"/>
      <c r="O170" s="97"/>
      <c r="P170" s="99"/>
      <c r="Q170" s="97"/>
      <c r="R170" s="97"/>
      <c r="S170" s="97"/>
      <c r="T170" s="97"/>
      <c r="U170" s="97"/>
      <c r="V170" s="97"/>
      <c r="W170" s="97"/>
      <c r="X170" s="97"/>
      <c r="Y170" s="97"/>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107"/>
      <c r="AW170" s="107"/>
      <c r="AX170" s="107"/>
      <c r="AY170" s="107"/>
      <c r="AZ170" s="107"/>
    </row>
    <row r="171" spans="2:52">
      <c r="B171" s="98"/>
      <c r="C171" s="98"/>
      <c r="D171" s="97"/>
      <c r="E171" s="97"/>
      <c r="F171" s="97"/>
      <c r="G171" s="97"/>
      <c r="H171" s="97"/>
      <c r="I171" s="97"/>
      <c r="J171" s="97"/>
      <c r="K171" s="97"/>
      <c r="L171" s="97"/>
      <c r="M171" s="97"/>
      <c r="N171" s="99"/>
      <c r="O171" s="97"/>
      <c r="P171" s="99"/>
      <c r="Q171" s="97"/>
      <c r="R171" s="97"/>
      <c r="S171" s="97"/>
      <c r="T171" s="97"/>
      <c r="U171" s="97"/>
      <c r="V171" s="97"/>
      <c r="W171" s="97"/>
      <c r="X171" s="97"/>
      <c r="Y171" s="97"/>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107"/>
      <c r="AW171" s="107"/>
      <c r="AX171" s="107"/>
      <c r="AY171" s="107"/>
      <c r="AZ171" s="107"/>
    </row>
    <row r="172" spans="2:52">
      <c r="B172" s="98"/>
      <c r="C172" s="98"/>
      <c r="D172" s="97"/>
      <c r="E172" s="97"/>
      <c r="F172" s="97"/>
      <c r="G172" s="97"/>
      <c r="H172" s="97"/>
      <c r="I172" s="97"/>
      <c r="J172" s="97"/>
      <c r="K172" s="97"/>
      <c r="L172" s="97"/>
      <c r="M172" s="97"/>
      <c r="N172" s="99"/>
      <c r="O172" s="97"/>
      <c r="P172" s="99"/>
      <c r="Q172" s="97"/>
      <c r="R172" s="97"/>
      <c r="S172" s="97"/>
      <c r="T172" s="97"/>
      <c r="U172" s="97"/>
      <c r="V172" s="97"/>
      <c r="W172" s="97"/>
      <c r="X172" s="97"/>
      <c r="Y172" s="97"/>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107"/>
      <c r="AW172" s="107"/>
      <c r="AX172" s="107"/>
      <c r="AY172" s="107"/>
      <c r="AZ172" s="107"/>
    </row>
    <row r="173" spans="2:52">
      <c r="B173" s="98"/>
      <c r="C173" s="98"/>
      <c r="D173" s="97"/>
      <c r="E173" s="97"/>
      <c r="F173" s="97"/>
      <c r="G173" s="97"/>
      <c r="H173" s="97"/>
      <c r="I173" s="97"/>
      <c r="J173" s="97"/>
      <c r="K173" s="97"/>
      <c r="L173" s="97"/>
      <c r="M173" s="97"/>
      <c r="N173" s="99"/>
      <c r="O173" s="97"/>
      <c r="P173" s="99"/>
      <c r="Q173" s="97"/>
      <c r="R173" s="97"/>
      <c r="S173" s="97"/>
      <c r="T173" s="97"/>
      <c r="U173" s="97"/>
      <c r="V173" s="97"/>
      <c r="W173" s="97"/>
      <c r="X173" s="97"/>
      <c r="Y173" s="97"/>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107"/>
      <c r="AW173" s="107"/>
      <c r="AX173" s="107"/>
      <c r="AY173" s="107"/>
      <c r="AZ173" s="107"/>
    </row>
    <row r="174" spans="2:52">
      <c r="B174" s="98"/>
      <c r="C174" s="98"/>
      <c r="D174" s="97"/>
      <c r="E174" s="97"/>
      <c r="F174" s="97"/>
      <c r="G174" s="97"/>
      <c r="H174" s="97"/>
      <c r="I174" s="97"/>
      <c r="J174" s="97"/>
      <c r="K174" s="97"/>
      <c r="L174" s="97"/>
      <c r="M174" s="97"/>
      <c r="N174" s="99"/>
      <c r="O174" s="97"/>
      <c r="P174" s="99"/>
      <c r="Q174" s="97"/>
      <c r="R174" s="97"/>
      <c r="S174" s="97"/>
      <c r="T174" s="97"/>
      <c r="U174" s="97"/>
      <c r="V174" s="97"/>
      <c r="W174" s="97"/>
      <c r="X174" s="97"/>
      <c r="Y174" s="97"/>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107"/>
      <c r="AW174" s="107"/>
      <c r="AX174" s="107"/>
      <c r="AY174" s="107"/>
      <c r="AZ174" s="107"/>
    </row>
    <row r="175" spans="2:52">
      <c r="B175" s="98"/>
      <c r="C175" s="98"/>
      <c r="D175" s="97"/>
      <c r="E175" s="97"/>
      <c r="F175" s="97"/>
      <c r="G175" s="97"/>
      <c r="H175" s="97"/>
      <c r="I175" s="97"/>
      <c r="J175" s="97"/>
      <c r="K175" s="97"/>
      <c r="L175" s="97"/>
      <c r="M175" s="97"/>
      <c r="N175" s="99"/>
      <c r="O175" s="97"/>
      <c r="P175" s="99"/>
      <c r="Q175" s="97"/>
      <c r="R175" s="97"/>
      <c r="S175" s="97"/>
      <c r="T175" s="97"/>
      <c r="U175" s="97"/>
      <c r="V175" s="97"/>
      <c r="W175" s="97"/>
      <c r="X175" s="97"/>
      <c r="Y175" s="97"/>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107"/>
      <c r="AW175" s="107"/>
      <c r="AX175" s="107"/>
      <c r="AY175" s="107"/>
      <c r="AZ175" s="107"/>
    </row>
    <row r="176" spans="2:52">
      <c r="B176" s="98"/>
      <c r="C176" s="98"/>
      <c r="D176" s="97"/>
      <c r="E176" s="97"/>
      <c r="F176" s="97"/>
      <c r="G176" s="97"/>
      <c r="H176" s="97"/>
      <c r="I176" s="97"/>
      <c r="J176" s="97"/>
      <c r="K176" s="97"/>
      <c r="L176" s="97"/>
      <c r="M176" s="97"/>
      <c r="N176" s="99"/>
      <c r="O176" s="97"/>
      <c r="P176" s="99"/>
      <c r="Q176" s="97"/>
      <c r="R176" s="97"/>
      <c r="S176" s="97"/>
      <c r="T176" s="97"/>
      <c r="U176" s="97"/>
      <c r="V176" s="97"/>
      <c r="W176" s="97"/>
      <c r="X176" s="97"/>
      <c r="Y176" s="97"/>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107"/>
      <c r="AW176" s="107"/>
      <c r="AX176" s="107"/>
      <c r="AY176" s="107"/>
      <c r="AZ176" s="107"/>
    </row>
    <row r="177" spans="2:52">
      <c r="B177" s="98"/>
      <c r="C177" s="98"/>
      <c r="D177" s="97"/>
      <c r="E177" s="97"/>
      <c r="F177" s="97"/>
      <c r="G177" s="97"/>
      <c r="H177" s="97"/>
      <c r="I177" s="97"/>
      <c r="J177" s="97"/>
      <c r="K177" s="97"/>
      <c r="L177" s="97"/>
      <c r="M177" s="97"/>
      <c r="N177" s="99"/>
      <c r="O177" s="97"/>
      <c r="P177" s="99"/>
      <c r="Q177" s="97"/>
      <c r="R177" s="97"/>
      <c r="S177" s="97"/>
      <c r="T177" s="97"/>
      <c r="U177" s="97"/>
      <c r="V177" s="97"/>
      <c r="W177" s="97"/>
      <c r="X177" s="97"/>
      <c r="Y177" s="97"/>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107"/>
      <c r="AW177" s="107"/>
      <c r="AX177" s="107"/>
      <c r="AY177" s="107"/>
      <c r="AZ177" s="107"/>
    </row>
    <row r="178" spans="2:52">
      <c r="B178" s="98"/>
      <c r="C178" s="98"/>
      <c r="D178" s="97"/>
      <c r="E178" s="97"/>
      <c r="F178" s="97"/>
      <c r="G178" s="97"/>
      <c r="H178" s="97"/>
      <c r="I178" s="97"/>
      <c r="J178" s="97"/>
      <c r="K178" s="97"/>
      <c r="L178" s="97"/>
      <c r="M178" s="97"/>
      <c r="N178" s="99"/>
      <c r="O178" s="97"/>
      <c r="P178" s="99"/>
      <c r="Q178" s="97"/>
      <c r="R178" s="97"/>
      <c r="S178" s="97"/>
      <c r="T178" s="97"/>
      <c r="U178" s="97"/>
      <c r="V178" s="97"/>
      <c r="W178" s="97"/>
      <c r="X178" s="97"/>
      <c r="Y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107"/>
      <c r="AW178" s="107"/>
      <c r="AX178" s="107"/>
      <c r="AY178" s="107"/>
      <c r="AZ178" s="107"/>
    </row>
    <row r="179" spans="2:52">
      <c r="B179" s="98"/>
      <c r="C179" s="98"/>
      <c r="D179" s="97"/>
      <c r="E179" s="97"/>
      <c r="F179" s="97"/>
      <c r="G179" s="97"/>
      <c r="H179" s="97"/>
      <c r="I179" s="97"/>
      <c r="J179" s="97"/>
      <c r="K179" s="97"/>
      <c r="L179" s="97"/>
      <c r="M179" s="97"/>
      <c r="N179" s="99"/>
      <c r="O179" s="97"/>
      <c r="P179" s="99"/>
      <c r="Q179" s="97"/>
      <c r="R179" s="97"/>
      <c r="S179" s="97"/>
      <c r="T179" s="97"/>
      <c r="U179" s="97"/>
      <c r="V179" s="97"/>
      <c r="W179" s="97"/>
      <c r="X179" s="97"/>
      <c r="Y179" s="97"/>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107"/>
      <c r="AW179" s="107"/>
      <c r="AX179" s="107"/>
      <c r="AY179" s="107"/>
      <c r="AZ179" s="107"/>
    </row>
    <row r="180" spans="2:52">
      <c r="B180" s="98"/>
      <c r="C180" s="98"/>
      <c r="D180" s="97"/>
      <c r="E180" s="97"/>
      <c r="F180" s="97"/>
      <c r="G180" s="97"/>
      <c r="H180" s="97"/>
      <c r="I180" s="97"/>
      <c r="J180" s="97"/>
      <c r="K180" s="97"/>
      <c r="L180" s="97"/>
      <c r="M180" s="97"/>
      <c r="N180" s="99"/>
      <c r="O180" s="97"/>
      <c r="P180" s="99"/>
      <c r="Q180" s="97"/>
      <c r="R180" s="97"/>
      <c r="S180" s="97"/>
      <c r="T180" s="97"/>
      <c r="U180" s="97"/>
      <c r="V180" s="97"/>
      <c r="W180" s="97"/>
      <c r="X180" s="97"/>
      <c r="Y180" s="97"/>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107"/>
      <c r="AW180" s="107"/>
      <c r="AX180" s="107"/>
      <c r="AY180" s="107"/>
      <c r="AZ180" s="107"/>
    </row>
    <row r="181" spans="2:52">
      <c r="B181" s="98"/>
      <c r="C181" s="98"/>
      <c r="D181" s="97"/>
      <c r="E181" s="97"/>
      <c r="F181" s="97"/>
      <c r="G181" s="97"/>
      <c r="H181" s="97"/>
      <c r="I181" s="97"/>
      <c r="J181" s="97"/>
      <c r="K181" s="97"/>
      <c r="L181" s="97"/>
      <c r="M181" s="97"/>
      <c r="N181" s="99"/>
      <c r="O181" s="97"/>
      <c r="P181" s="99"/>
      <c r="Q181" s="97"/>
      <c r="R181" s="97"/>
      <c r="S181" s="97"/>
      <c r="T181" s="97"/>
      <c r="U181" s="97"/>
      <c r="V181" s="97"/>
      <c r="W181" s="97"/>
      <c r="X181" s="97"/>
      <c r="Y181" s="97"/>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107"/>
      <c r="AW181" s="107"/>
      <c r="AX181" s="107"/>
      <c r="AY181" s="107"/>
      <c r="AZ181" s="107"/>
    </row>
    <row r="182" spans="2:52">
      <c r="B182" s="98"/>
      <c r="C182" s="98"/>
      <c r="D182" s="97"/>
      <c r="E182" s="97"/>
      <c r="F182" s="97"/>
      <c r="G182" s="97"/>
      <c r="H182" s="97"/>
      <c r="I182" s="97"/>
      <c r="J182" s="97"/>
      <c r="K182" s="97"/>
      <c r="L182" s="97"/>
      <c r="M182" s="97"/>
      <c r="N182" s="99"/>
      <c r="O182" s="97"/>
      <c r="P182" s="99"/>
      <c r="Q182" s="97"/>
      <c r="R182" s="97"/>
      <c r="S182" s="97"/>
      <c r="T182" s="97"/>
      <c r="U182" s="97"/>
      <c r="V182" s="97"/>
      <c r="W182" s="97"/>
      <c r="X182" s="97"/>
      <c r="Y182" s="97"/>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107"/>
      <c r="AW182" s="107"/>
      <c r="AX182" s="107"/>
      <c r="AY182" s="107"/>
      <c r="AZ182" s="107"/>
    </row>
    <row r="183" spans="2:52">
      <c r="B183" s="98"/>
      <c r="C183" s="98"/>
      <c r="D183" s="97"/>
      <c r="E183" s="97"/>
      <c r="F183" s="97"/>
      <c r="G183" s="97"/>
      <c r="H183" s="97"/>
      <c r="I183" s="97"/>
      <c r="J183" s="97"/>
      <c r="K183" s="97"/>
      <c r="L183" s="97"/>
      <c r="M183" s="97"/>
      <c r="N183" s="99"/>
      <c r="O183" s="97"/>
      <c r="P183" s="99"/>
      <c r="Q183" s="97"/>
      <c r="R183" s="97"/>
      <c r="S183" s="97"/>
      <c r="T183" s="97"/>
      <c r="U183" s="97"/>
      <c r="V183" s="97"/>
      <c r="W183" s="97"/>
      <c r="X183" s="97"/>
      <c r="Y183" s="97"/>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107"/>
      <c r="AW183" s="107"/>
      <c r="AX183" s="107"/>
      <c r="AY183" s="107"/>
      <c r="AZ183" s="107"/>
    </row>
    <row r="184" spans="2:52">
      <c r="B184" s="98"/>
      <c r="C184" s="98"/>
      <c r="D184" s="97"/>
      <c r="E184" s="97"/>
      <c r="F184" s="97"/>
      <c r="G184" s="97"/>
      <c r="H184" s="97"/>
      <c r="I184" s="97"/>
      <c r="J184" s="97"/>
      <c r="K184" s="97"/>
      <c r="L184" s="97"/>
      <c r="M184" s="97"/>
      <c r="N184" s="99"/>
      <c r="O184" s="97"/>
      <c r="P184" s="99"/>
      <c r="Q184" s="97"/>
      <c r="R184" s="97"/>
      <c r="S184" s="97"/>
      <c r="T184" s="97"/>
      <c r="U184" s="97"/>
      <c r="V184" s="97"/>
      <c r="W184" s="97"/>
      <c r="X184" s="97"/>
      <c r="Y184" s="97"/>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107"/>
      <c r="AW184" s="107"/>
      <c r="AX184" s="107"/>
      <c r="AY184" s="107"/>
      <c r="AZ184" s="107"/>
    </row>
    <row r="185" spans="2:52">
      <c r="B185" s="98"/>
      <c r="C185" s="98"/>
      <c r="D185" s="97"/>
      <c r="E185" s="97"/>
      <c r="F185" s="97"/>
      <c r="G185" s="97"/>
      <c r="H185" s="97"/>
      <c r="I185" s="97"/>
      <c r="J185" s="97"/>
      <c r="K185" s="97"/>
      <c r="L185" s="97"/>
      <c r="M185" s="97"/>
      <c r="N185" s="99"/>
      <c r="O185" s="97"/>
      <c r="P185" s="99"/>
      <c r="Q185" s="97"/>
      <c r="R185" s="97"/>
      <c r="S185" s="97"/>
      <c r="T185" s="97"/>
      <c r="U185" s="97"/>
      <c r="V185" s="97"/>
      <c r="W185" s="97"/>
      <c r="X185" s="97"/>
      <c r="Y185" s="97"/>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107"/>
      <c r="AW185" s="107"/>
      <c r="AX185" s="107"/>
      <c r="AY185" s="107"/>
      <c r="AZ185" s="107"/>
    </row>
    <row r="186" spans="2:52">
      <c r="B186" s="98"/>
      <c r="C186" s="98"/>
      <c r="D186" s="97"/>
      <c r="E186" s="97"/>
      <c r="F186" s="97"/>
      <c r="G186" s="97"/>
      <c r="H186" s="97"/>
      <c r="I186" s="97"/>
      <c r="J186" s="97"/>
      <c r="K186" s="97"/>
      <c r="L186" s="97"/>
      <c r="M186" s="97"/>
      <c r="N186" s="99"/>
      <c r="O186" s="97"/>
      <c r="P186" s="99"/>
      <c r="Q186" s="97"/>
      <c r="R186" s="97"/>
      <c r="S186" s="97"/>
      <c r="T186" s="97"/>
      <c r="U186" s="97"/>
      <c r="V186" s="97"/>
      <c r="W186" s="97"/>
      <c r="X186" s="97"/>
      <c r="Y186" s="97"/>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107"/>
      <c r="AW186" s="107"/>
      <c r="AX186" s="107"/>
      <c r="AY186" s="107"/>
      <c r="AZ186" s="107"/>
    </row>
    <row r="187" spans="2:52">
      <c r="B187" s="98"/>
      <c r="C187" s="98"/>
      <c r="D187" s="97"/>
      <c r="E187" s="97"/>
      <c r="F187" s="97"/>
      <c r="G187" s="97"/>
      <c r="H187" s="97"/>
      <c r="I187" s="97"/>
      <c r="J187" s="97"/>
      <c r="K187" s="97"/>
      <c r="L187" s="97"/>
      <c r="M187" s="97"/>
      <c r="N187" s="99"/>
      <c r="O187" s="97"/>
      <c r="P187" s="99"/>
      <c r="Q187" s="97"/>
      <c r="R187" s="97"/>
      <c r="S187" s="97"/>
      <c r="T187" s="97"/>
      <c r="U187" s="97"/>
      <c r="V187" s="97"/>
      <c r="W187" s="97"/>
      <c r="X187" s="97"/>
      <c r="Y187" s="97"/>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107"/>
      <c r="AW187" s="107"/>
      <c r="AX187" s="107"/>
      <c r="AY187" s="107"/>
      <c r="AZ187" s="107"/>
    </row>
    <row r="188" spans="2:52">
      <c r="B188" s="98"/>
      <c r="C188" s="98"/>
      <c r="D188" s="97"/>
      <c r="E188" s="97"/>
      <c r="F188" s="97"/>
      <c r="G188" s="97"/>
      <c r="H188" s="97"/>
      <c r="I188" s="97"/>
      <c r="J188" s="97"/>
      <c r="K188" s="97"/>
      <c r="L188" s="97"/>
      <c r="M188" s="97"/>
      <c r="N188" s="99"/>
      <c r="O188" s="97"/>
      <c r="P188" s="99"/>
      <c r="Q188" s="97"/>
      <c r="R188" s="97"/>
      <c r="S188" s="97"/>
      <c r="T188" s="97"/>
      <c r="U188" s="97"/>
      <c r="V188" s="97"/>
      <c r="W188" s="97"/>
      <c r="X188" s="97"/>
      <c r="Y188" s="97"/>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107"/>
      <c r="AW188" s="107"/>
      <c r="AX188" s="107"/>
      <c r="AY188" s="107"/>
      <c r="AZ188" s="107"/>
    </row>
    <row r="189" spans="2:52">
      <c r="B189" s="98"/>
      <c r="C189" s="98"/>
      <c r="D189" s="97"/>
      <c r="E189" s="97"/>
      <c r="F189" s="97"/>
      <c r="G189" s="97"/>
      <c r="H189" s="97"/>
      <c r="I189" s="97"/>
      <c r="J189" s="97"/>
      <c r="K189" s="97"/>
      <c r="L189" s="97"/>
      <c r="M189" s="97"/>
      <c r="N189" s="99"/>
      <c r="O189" s="97"/>
      <c r="P189" s="99"/>
      <c r="Q189" s="97"/>
      <c r="R189" s="97"/>
      <c r="S189" s="97"/>
      <c r="T189" s="97"/>
      <c r="U189" s="97"/>
      <c r="V189" s="97"/>
      <c r="W189" s="97"/>
      <c r="X189" s="97"/>
      <c r="Y189" s="97"/>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107"/>
      <c r="AW189" s="107"/>
      <c r="AX189" s="107"/>
      <c r="AY189" s="107"/>
      <c r="AZ189" s="107"/>
    </row>
    <row r="190" spans="2:52">
      <c r="B190" s="98"/>
      <c r="C190" s="98"/>
      <c r="D190" s="97"/>
      <c r="E190" s="97"/>
      <c r="F190" s="97"/>
      <c r="G190" s="97"/>
      <c r="H190" s="97"/>
      <c r="I190" s="97"/>
      <c r="J190" s="97"/>
      <c r="K190" s="97"/>
      <c r="L190" s="97"/>
      <c r="M190" s="97"/>
      <c r="N190" s="99"/>
      <c r="O190" s="97"/>
      <c r="P190" s="99"/>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107"/>
      <c r="AW190" s="107"/>
      <c r="AX190" s="107"/>
      <c r="AY190" s="107"/>
      <c r="AZ190" s="107"/>
    </row>
    <row r="191" spans="2:52">
      <c r="B191" s="98"/>
      <c r="C191" s="98"/>
      <c r="D191" s="97"/>
      <c r="E191" s="97"/>
      <c r="F191" s="97"/>
      <c r="G191" s="97"/>
      <c r="H191" s="97"/>
      <c r="I191" s="97"/>
      <c r="J191" s="97"/>
      <c r="K191" s="97"/>
      <c r="L191" s="97"/>
      <c r="M191" s="97"/>
      <c r="N191" s="99"/>
      <c r="O191" s="97"/>
      <c r="P191" s="99"/>
      <c r="Q191" s="97"/>
      <c r="R191" s="97"/>
      <c r="S191" s="97"/>
      <c r="T191" s="97"/>
      <c r="U191" s="97"/>
      <c r="V191" s="97"/>
      <c r="W191" s="97"/>
      <c r="X191" s="97"/>
      <c r="Y191" s="97"/>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107"/>
      <c r="AW191" s="107"/>
      <c r="AX191" s="107"/>
      <c r="AY191" s="107"/>
      <c r="AZ191" s="107"/>
    </row>
    <row r="192" spans="2:52">
      <c r="B192" s="98"/>
      <c r="C192" s="98"/>
      <c r="D192" s="97"/>
      <c r="E192" s="97"/>
      <c r="F192" s="97"/>
      <c r="G192" s="97"/>
      <c r="H192" s="97"/>
      <c r="I192" s="97"/>
      <c r="J192" s="97"/>
      <c r="K192" s="97"/>
      <c r="L192" s="97"/>
      <c r="M192" s="97"/>
      <c r="N192" s="99"/>
      <c r="O192" s="97"/>
      <c r="P192" s="99"/>
      <c r="Q192" s="97"/>
      <c r="R192" s="97"/>
      <c r="S192" s="97"/>
      <c r="T192" s="97"/>
      <c r="U192" s="97"/>
      <c r="V192" s="97"/>
      <c r="W192" s="97"/>
      <c r="X192" s="97"/>
      <c r="Y192" s="97"/>
      <c r="Z192" s="97"/>
      <c r="AA192" s="97"/>
      <c r="AB192" s="97"/>
      <c r="AC192" s="97"/>
      <c r="AD192" s="97"/>
      <c r="AE192" s="97"/>
      <c r="AF192" s="97"/>
      <c r="AG192" s="97"/>
      <c r="AH192" s="97"/>
      <c r="AI192" s="97"/>
      <c r="AJ192" s="97"/>
      <c r="AK192" s="97"/>
      <c r="AL192" s="97"/>
      <c r="AM192" s="97"/>
      <c r="AN192" s="97"/>
      <c r="AO192" s="97"/>
      <c r="AP192" s="97"/>
      <c r="AQ192" s="97"/>
      <c r="AR192" s="97"/>
      <c r="AS192" s="97"/>
      <c r="AT192" s="97"/>
      <c r="AU192" s="97"/>
      <c r="AV192" s="107"/>
      <c r="AW192" s="107"/>
      <c r="AX192" s="107"/>
      <c r="AY192" s="107"/>
      <c r="AZ192" s="107"/>
    </row>
    <row r="193" spans="2:52">
      <c r="B193" s="98"/>
      <c r="C193" s="98"/>
      <c r="D193" s="97"/>
      <c r="E193" s="97"/>
      <c r="F193" s="97"/>
      <c r="G193" s="97"/>
      <c r="H193" s="97"/>
      <c r="I193" s="97"/>
      <c r="J193" s="97"/>
      <c r="K193" s="97"/>
      <c r="L193" s="97"/>
      <c r="M193" s="97"/>
      <c r="N193" s="99"/>
      <c r="O193" s="97"/>
      <c r="P193" s="99"/>
      <c r="Q193" s="97"/>
      <c r="R193" s="97"/>
      <c r="S193" s="97"/>
      <c r="T193" s="97"/>
      <c r="U193" s="97"/>
      <c r="V193" s="97"/>
      <c r="W193" s="97"/>
      <c r="X193" s="97"/>
      <c r="Y193" s="97"/>
      <c r="Z193" s="97"/>
      <c r="AA193" s="97"/>
      <c r="AB193" s="97"/>
      <c r="AC193" s="97"/>
      <c r="AD193" s="97"/>
      <c r="AE193" s="97"/>
      <c r="AF193" s="97"/>
      <c r="AG193" s="97"/>
      <c r="AH193" s="97"/>
      <c r="AI193" s="97"/>
      <c r="AJ193" s="97"/>
      <c r="AK193" s="97"/>
      <c r="AL193" s="97"/>
      <c r="AM193" s="97"/>
      <c r="AN193" s="97"/>
      <c r="AO193" s="97"/>
      <c r="AP193" s="97"/>
      <c r="AQ193" s="97"/>
      <c r="AR193" s="97"/>
      <c r="AS193" s="97"/>
      <c r="AT193" s="97"/>
      <c r="AU193" s="97"/>
      <c r="AV193" s="107"/>
      <c r="AW193" s="107"/>
      <c r="AX193" s="107"/>
      <c r="AY193" s="107"/>
      <c r="AZ193" s="107"/>
    </row>
    <row r="194" spans="2:52">
      <c r="B194" s="98"/>
      <c r="C194" s="98"/>
      <c r="D194" s="97"/>
      <c r="E194" s="97"/>
      <c r="F194" s="97"/>
      <c r="G194" s="97"/>
      <c r="H194" s="97"/>
      <c r="I194" s="97"/>
      <c r="J194" s="97"/>
      <c r="K194" s="97"/>
      <c r="L194" s="97"/>
      <c r="M194" s="97"/>
      <c r="N194" s="99"/>
      <c r="O194" s="97"/>
      <c r="P194" s="99"/>
      <c r="Q194" s="97"/>
      <c r="R194" s="97"/>
      <c r="S194" s="97"/>
      <c r="T194" s="97"/>
      <c r="U194" s="97"/>
      <c r="V194" s="97"/>
      <c r="W194" s="97"/>
      <c r="X194" s="97"/>
      <c r="Y194" s="97"/>
      <c r="Z194" s="97"/>
      <c r="AA194" s="97"/>
      <c r="AB194" s="97"/>
      <c r="AC194" s="97"/>
      <c r="AD194" s="97"/>
      <c r="AE194" s="97"/>
      <c r="AF194" s="97"/>
      <c r="AG194" s="97"/>
      <c r="AH194" s="97"/>
      <c r="AI194" s="97"/>
      <c r="AJ194" s="97"/>
      <c r="AK194" s="97"/>
      <c r="AL194" s="97"/>
      <c r="AM194" s="97"/>
      <c r="AN194" s="97"/>
      <c r="AO194" s="97"/>
      <c r="AP194" s="97"/>
      <c r="AQ194" s="97"/>
      <c r="AR194" s="97"/>
      <c r="AS194" s="97"/>
      <c r="AT194" s="97"/>
      <c r="AU194" s="97"/>
      <c r="AV194" s="107"/>
      <c r="AW194" s="107"/>
      <c r="AX194" s="107"/>
      <c r="AY194" s="107"/>
      <c r="AZ194" s="107"/>
    </row>
    <row r="195" spans="2:52">
      <c r="B195" s="98"/>
      <c r="C195" s="98"/>
      <c r="D195" s="97"/>
      <c r="E195" s="97"/>
      <c r="F195" s="97"/>
      <c r="G195" s="97"/>
      <c r="H195" s="97"/>
      <c r="I195" s="97"/>
      <c r="J195" s="97"/>
      <c r="K195" s="97"/>
      <c r="L195" s="97"/>
      <c r="M195" s="97"/>
      <c r="N195" s="99"/>
      <c r="O195" s="97"/>
      <c r="P195" s="99"/>
      <c r="Q195" s="97"/>
      <c r="R195" s="97"/>
      <c r="S195" s="97"/>
      <c r="T195" s="97"/>
      <c r="U195" s="97"/>
      <c r="V195" s="97"/>
      <c r="W195" s="97"/>
      <c r="X195" s="97"/>
      <c r="Y195" s="97"/>
      <c r="Z195" s="97"/>
      <c r="AA195" s="97"/>
      <c r="AB195" s="97"/>
      <c r="AC195" s="97"/>
      <c r="AD195" s="97"/>
      <c r="AE195" s="97"/>
      <c r="AF195" s="97"/>
      <c r="AG195" s="97"/>
      <c r="AH195" s="97"/>
      <c r="AI195" s="97"/>
      <c r="AJ195" s="97"/>
      <c r="AK195" s="97"/>
      <c r="AL195" s="97"/>
      <c r="AM195" s="97"/>
      <c r="AN195" s="97"/>
      <c r="AO195" s="97"/>
      <c r="AP195" s="97"/>
      <c r="AQ195" s="97"/>
      <c r="AR195" s="97"/>
      <c r="AS195" s="97"/>
      <c r="AT195" s="97"/>
      <c r="AU195" s="97"/>
      <c r="AV195" s="107"/>
      <c r="AW195" s="107"/>
      <c r="AX195" s="107"/>
      <c r="AY195" s="107"/>
      <c r="AZ195" s="107"/>
    </row>
    <row r="196" spans="2:52">
      <c r="B196" s="98"/>
      <c r="C196" s="98"/>
      <c r="D196" s="97"/>
      <c r="E196" s="97"/>
      <c r="F196" s="97"/>
      <c r="G196" s="97"/>
      <c r="H196" s="97"/>
      <c r="I196" s="97"/>
      <c r="J196" s="97"/>
      <c r="K196" s="97"/>
      <c r="L196" s="97"/>
      <c r="M196" s="97"/>
      <c r="N196" s="99"/>
      <c r="O196" s="97"/>
      <c r="P196" s="99"/>
      <c r="Q196" s="97"/>
      <c r="R196" s="97"/>
      <c r="S196" s="97"/>
      <c r="T196" s="97"/>
      <c r="U196" s="97"/>
      <c r="V196" s="97"/>
      <c r="W196" s="97"/>
      <c r="X196" s="97"/>
      <c r="Y196" s="97"/>
      <c r="Z196" s="97"/>
      <c r="AA196" s="97"/>
      <c r="AB196" s="97"/>
      <c r="AC196" s="97"/>
      <c r="AD196" s="97"/>
      <c r="AE196" s="97"/>
      <c r="AF196" s="97"/>
      <c r="AG196" s="97"/>
      <c r="AH196" s="97"/>
      <c r="AI196" s="97"/>
      <c r="AJ196" s="97"/>
      <c r="AK196" s="97"/>
      <c r="AL196" s="97"/>
      <c r="AM196" s="97"/>
      <c r="AN196" s="97"/>
      <c r="AO196" s="97"/>
      <c r="AP196" s="97"/>
      <c r="AQ196" s="97"/>
      <c r="AR196" s="97"/>
      <c r="AS196" s="97"/>
      <c r="AT196" s="97"/>
      <c r="AU196" s="97"/>
      <c r="AV196" s="107"/>
      <c r="AW196" s="107"/>
      <c r="AX196" s="107"/>
      <c r="AY196" s="107"/>
      <c r="AZ196" s="107"/>
    </row>
    <row r="197" spans="2:52">
      <c r="B197" s="98"/>
      <c r="C197" s="98"/>
      <c r="D197" s="97"/>
      <c r="E197" s="97"/>
      <c r="F197" s="97"/>
      <c r="G197" s="97"/>
      <c r="H197" s="97"/>
      <c r="I197" s="97"/>
      <c r="J197" s="97"/>
      <c r="K197" s="97"/>
      <c r="L197" s="97"/>
      <c r="M197" s="97"/>
      <c r="N197" s="99"/>
      <c r="O197" s="97"/>
      <c r="P197" s="99"/>
      <c r="Q197" s="97"/>
      <c r="R197" s="97"/>
      <c r="S197" s="97"/>
      <c r="T197" s="97"/>
      <c r="U197" s="97"/>
      <c r="V197" s="97"/>
      <c r="W197" s="97"/>
      <c r="X197" s="97"/>
      <c r="Y197" s="97"/>
      <c r="Z197" s="97"/>
      <c r="AA197" s="97"/>
      <c r="AB197" s="97"/>
      <c r="AC197" s="97"/>
      <c r="AD197" s="97"/>
      <c r="AE197" s="97"/>
      <c r="AF197" s="97"/>
      <c r="AG197" s="97"/>
      <c r="AH197" s="97"/>
      <c r="AI197" s="97"/>
      <c r="AJ197" s="97"/>
      <c r="AK197" s="97"/>
      <c r="AL197" s="97"/>
      <c r="AM197" s="97"/>
      <c r="AN197" s="97"/>
      <c r="AO197" s="97"/>
      <c r="AP197" s="97"/>
      <c r="AQ197" s="97"/>
      <c r="AR197" s="97"/>
      <c r="AS197" s="97"/>
      <c r="AT197" s="97"/>
      <c r="AU197" s="97"/>
      <c r="AV197" s="107"/>
      <c r="AW197" s="107"/>
      <c r="AX197" s="107"/>
      <c r="AY197" s="107"/>
      <c r="AZ197" s="107"/>
    </row>
    <row r="198" spans="2:52">
      <c r="B198" s="98"/>
      <c r="C198" s="98"/>
      <c r="D198" s="97"/>
      <c r="E198" s="97"/>
      <c r="F198" s="97"/>
      <c r="G198" s="97"/>
      <c r="H198" s="97"/>
      <c r="I198" s="97"/>
      <c r="J198" s="97"/>
      <c r="K198" s="97"/>
      <c r="L198" s="97"/>
      <c r="M198" s="97"/>
      <c r="N198" s="99"/>
      <c r="O198" s="97"/>
      <c r="P198" s="99"/>
      <c r="Q198" s="97"/>
      <c r="R198" s="97"/>
      <c r="S198" s="97"/>
      <c r="T198" s="97"/>
      <c r="U198" s="97"/>
      <c r="V198" s="97"/>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107"/>
      <c r="AW198" s="107"/>
      <c r="AX198" s="107"/>
      <c r="AY198" s="107"/>
      <c r="AZ198" s="107"/>
    </row>
    <row r="199" spans="2:52">
      <c r="B199" s="98"/>
      <c r="C199" s="98"/>
      <c r="D199" s="97"/>
      <c r="E199" s="97"/>
      <c r="F199" s="97"/>
      <c r="G199" s="97"/>
      <c r="H199" s="97"/>
      <c r="I199" s="97"/>
      <c r="J199" s="97"/>
      <c r="K199" s="97"/>
      <c r="L199" s="97"/>
      <c r="M199" s="97"/>
      <c r="N199" s="99"/>
      <c r="O199" s="97"/>
      <c r="P199" s="99"/>
      <c r="Q199" s="97"/>
      <c r="R199" s="97"/>
      <c r="S199" s="97"/>
      <c r="T199" s="97"/>
      <c r="U199" s="97"/>
      <c r="V199" s="97"/>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107"/>
      <c r="AW199" s="107"/>
      <c r="AX199" s="107"/>
      <c r="AY199" s="107"/>
      <c r="AZ199" s="107"/>
    </row>
    <row r="200" spans="2:52">
      <c r="B200" s="98"/>
      <c r="C200" s="98"/>
      <c r="D200" s="97"/>
      <c r="E200" s="97"/>
      <c r="F200" s="97"/>
      <c r="G200" s="97"/>
      <c r="H200" s="97"/>
      <c r="I200" s="97"/>
      <c r="J200" s="97"/>
      <c r="K200" s="97"/>
      <c r="L200" s="97"/>
      <c r="M200" s="97"/>
      <c r="N200" s="99"/>
      <c r="O200" s="97"/>
      <c r="P200" s="99"/>
      <c r="Q200" s="97"/>
      <c r="R200" s="97"/>
      <c r="S200" s="97"/>
      <c r="T200" s="97"/>
      <c r="U200" s="97"/>
      <c r="V200" s="97"/>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107"/>
      <c r="AW200" s="107"/>
      <c r="AX200" s="107"/>
      <c r="AY200" s="107"/>
      <c r="AZ200" s="107"/>
    </row>
    <row r="201" spans="2:52">
      <c r="B201" s="98"/>
      <c r="C201" s="98"/>
      <c r="D201" s="97"/>
      <c r="E201" s="97"/>
      <c r="F201" s="97"/>
      <c r="G201" s="97"/>
      <c r="H201" s="97"/>
      <c r="I201" s="97"/>
      <c r="J201" s="97"/>
      <c r="K201" s="97"/>
      <c r="L201" s="97"/>
      <c r="M201" s="97"/>
      <c r="N201" s="99"/>
      <c r="O201" s="97"/>
      <c r="P201" s="99"/>
      <c r="Q201" s="97"/>
      <c r="R201" s="97"/>
      <c r="S201" s="97"/>
      <c r="T201" s="97"/>
      <c r="U201" s="97"/>
      <c r="V201" s="97"/>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107"/>
      <c r="AW201" s="107"/>
      <c r="AX201" s="107"/>
      <c r="AY201" s="107"/>
      <c r="AZ201" s="107"/>
    </row>
    <row r="202" spans="2:52">
      <c r="B202" s="98"/>
      <c r="C202" s="98"/>
      <c r="D202" s="97"/>
      <c r="E202" s="97"/>
      <c r="F202" s="97"/>
      <c r="G202" s="97"/>
      <c r="H202" s="97"/>
      <c r="I202" s="97"/>
      <c r="J202" s="97"/>
      <c r="K202" s="97"/>
      <c r="L202" s="97"/>
      <c r="M202" s="97"/>
      <c r="N202" s="99"/>
      <c r="O202" s="97"/>
      <c r="P202" s="99"/>
      <c r="Q202" s="97"/>
      <c r="R202" s="97"/>
      <c r="S202" s="97"/>
      <c r="T202" s="97"/>
      <c r="U202" s="97"/>
      <c r="V202" s="97"/>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107"/>
      <c r="AW202" s="107"/>
      <c r="AX202" s="107"/>
      <c r="AY202" s="107"/>
      <c r="AZ202" s="107"/>
    </row>
    <row r="203" spans="2:52">
      <c r="B203" s="98"/>
      <c r="C203" s="98"/>
      <c r="D203" s="97"/>
      <c r="E203" s="97"/>
      <c r="F203" s="97"/>
      <c r="G203" s="97"/>
      <c r="H203" s="97"/>
      <c r="I203" s="97"/>
      <c r="J203" s="97"/>
      <c r="K203" s="97"/>
      <c r="L203" s="97"/>
      <c r="M203" s="97"/>
      <c r="N203" s="99"/>
      <c r="O203" s="97"/>
      <c r="P203" s="99"/>
      <c r="Q203" s="97"/>
      <c r="R203" s="97"/>
      <c r="S203" s="97"/>
      <c r="T203" s="97"/>
      <c r="U203" s="97"/>
      <c r="V203" s="97"/>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107"/>
      <c r="AW203" s="107"/>
      <c r="AX203" s="107"/>
      <c r="AY203" s="107"/>
      <c r="AZ203" s="107"/>
    </row>
    <row r="204" spans="2:52">
      <c r="B204" s="98"/>
      <c r="C204" s="98"/>
      <c r="D204" s="97"/>
      <c r="E204" s="97"/>
      <c r="F204" s="97"/>
      <c r="G204" s="97"/>
      <c r="H204" s="97"/>
      <c r="I204" s="97"/>
      <c r="J204" s="97"/>
      <c r="K204" s="97"/>
      <c r="L204" s="97"/>
      <c r="M204" s="97"/>
      <c r="N204" s="99"/>
      <c r="O204" s="97"/>
      <c r="P204" s="99"/>
      <c r="Q204" s="97"/>
      <c r="R204" s="97"/>
      <c r="S204" s="97"/>
      <c r="T204" s="97"/>
      <c r="U204" s="97"/>
      <c r="V204" s="97"/>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107"/>
      <c r="AW204" s="107"/>
      <c r="AX204" s="107"/>
      <c r="AY204" s="107"/>
      <c r="AZ204" s="107"/>
    </row>
    <row r="205" spans="2:52">
      <c r="B205" s="98"/>
      <c r="C205" s="98"/>
      <c r="D205" s="97"/>
      <c r="E205" s="97"/>
      <c r="F205" s="97"/>
      <c r="G205" s="97"/>
      <c r="H205" s="97"/>
      <c r="I205" s="97"/>
      <c r="J205" s="97"/>
      <c r="K205" s="97"/>
      <c r="L205" s="97"/>
      <c r="M205" s="97"/>
      <c r="N205" s="99"/>
      <c r="O205" s="97"/>
      <c r="P205" s="99"/>
      <c r="Q205" s="97"/>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107"/>
      <c r="AW205" s="107"/>
      <c r="AX205" s="107"/>
      <c r="AY205" s="107"/>
      <c r="AZ205" s="107"/>
    </row>
    <row r="206" spans="2:52">
      <c r="B206" s="98"/>
      <c r="C206" s="98"/>
      <c r="D206" s="97"/>
      <c r="E206" s="97"/>
      <c r="F206" s="97"/>
      <c r="G206" s="97"/>
      <c r="H206" s="97"/>
      <c r="I206" s="97"/>
      <c r="J206" s="97"/>
      <c r="K206" s="97"/>
      <c r="L206" s="97"/>
      <c r="M206" s="97"/>
      <c r="N206" s="99"/>
      <c r="O206" s="97"/>
      <c r="P206" s="99"/>
      <c r="Q206" s="97"/>
      <c r="R206" s="97"/>
      <c r="S206" s="97"/>
      <c r="T206" s="97"/>
      <c r="U206" s="97"/>
      <c r="V206" s="97"/>
      <c r="W206" s="97"/>
      <c r="X206" s="97"/>
      <c r="Y206" s="97"/>
      <c r="Z206" s="97"/>
      <c r="AA206" s="97"/>
      <c r="AB206" s="97"/>
      <c r="AC206" s="97"/>
      <c r="AD206" s="97"/>
      <c r="AE206" s="97"/>
      <c r="AF206" s="97"/>
      <c r="AG206" s="97"/>
      <c r="AH206" s="97"/>
      <c r="AI206" s="97"/>
      <c r="AJ206" s="97"/>
      <c r="AK206" s="97"/>
      <c r="AL206" s="97"/>
      <c r="AM206" s="97"/>
      <c r="AN206" s="97"/>
      <c r="AO206" s="97"/>
      <c r="AP206" s="97"/>
      <c r="AQ206" s="97"/>
      <c r="AR206" s="97"/>
      <c r="AS206" s="97"/>
      <c r="AT206" s="97"/>
      <c r="AU206" s="97"/>
      <c r="AV206" s="107"/>
      <c r="AW206" s="107"/>
      <c r="AX206" s="107"/>
      <c r="AY206" s="107"/>
      <c r="AZ206" s="107"/>
    </row>
    <row r="207" spans="2:52">
      <c r="B207" s="98"/>
      <c r="C207" s="98"/>
      <c r="D207" s="97"/>
      <c r="E207" s="97"/>
      <c r="F207" s="97"/>
      <c r="G207" s="97"/>
      <c r="H207" s="97"/>
      <c r="I207" s="97"/>
      <c r="J207" s="97"/>
      <c r="K207" s="97"/>
      <c r="L207" s="97"/>
      <c r="M207" s="97"/>
      <c r="N207" s="99"/>
      <c r="O207" s="97"/>
      <c r="P207" s="99"/>
      <c r="Q207" s="97"/>
      <c r="R207" s="97"/>
      <c r="S207" s="97"/>
      <c r="T207" s="97"/>
      <c r="U207" s="97"/>
      <c r="V207" s="97"/>
      <c r="W207" s="97"/>
      <c r="X207" s="97"/>
      <c r="Y207" s="97"/>
      <c r="Z207" s="97"/>
      <c r="AA207" s="97"/>
      <c r="AB207" s="97"/>
      <c r="AC207" s="97"/>
      <c r="AD207" s="97"/>
      <c r="AE207" s="97"/>
      <c r="AF207" s="97"/>
      <c r="AG207" s="97"/>
      <c r="AH207" s="97"/>
      <c r="AI207" s="97"/>
      <c r="AJ207" s="97"/>
      <c r="AK207" s="97"/>
      <c r="AL207" s="97"/>
      <c r="AM207" s="97"/>
      <c r="AN207" s="97"/>
      <c r="AO207" s="97"/>
      <c r="AP207" s="97"/>
      <c r="AQ207" s="97"/>
      <c r="AR207" s="97"/>
      <c r="AS207" s="97"/>
      <c r="AT207" s="97"/>
      <c r="AU207" s="97"/>
      <c r="AV207" s="107"/>
      <c r="AW207" s="107"/>
      <c r="AX207" s="107"/>
      <c r="AY207" s="107"/>
      <c r="AZ207" s="107"/>
    </row>
    <row r="208" spans="2:52">
      <c r="B208" s="98"/>
      <c r="C208" s="98"/>
      <c r="D208" s="97"/>
      <c r="E208" s="97"/>
      <c r="F208" s="97"/>
      <c r="G208" s="97"/>
      <c r="H208" s="97"/>
      <c r="I208" s="97"/>
      <c r="J208" s="97"/>
      <c r="K208" s="97"/>
      <c r="L208" s="97"/>
      <c r="M208" s="97"/>
      <c r="N208" s="99"/>
      <c r="O208" s="97"/>
      <c r="P208" s="99"/>
      <c r="Q208" s="97"/>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107"/>
      <c r="AW208" s="107"/>
      <c r="AX208" s="107"/>
      <c r="AY208" s="107"/>
      <c r="AZ208" s="107"/>
    </row>
    <row r="209" spans="2:52">
      <c r="B209" s="98"/>
      <c r="C209" s="98"/>
      <c r="D209" s="97"/>
      <c r="E209" s="97"/>
      <c r="F209" s="97"/>
      <c r="G209" s="97"/>
      <c r="H209" s="97"/>
      <c r="I209" s="97"/>
      <c r="J209" s="97"/>
      <c r="K209" s="97"/>
      <c r="L209" s="97"/>
      <c r="M209" s="97"/>
      <c r="N209" s="99"/>
      <c r="O209" s="97"/>
      <c r="P209" s="99"/>
      <c r="Q209" s="97"/>
      <c r="R209" s="97"/>
      <c r="S209" s="97"/>
      <c r="T209" s="97"/>
      <c r="U209" s="97"/>
      <c r="V209" s="97"/>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107"/>
      <c r="AW209" s="107"/>
      <c r="AX209" s="107"/>
      <c r="AY209" s="107"/>
      <c r="AZ209" s="107"/>
    </row>
    <row r="210" spans="2:52">
      <c r="B210" s="98"/>
      <c r="C210" s="98"/>
      <c r="D210" s="97"/>
      <c r="E210" s="97"/>
      <c r="F210" s="97"/>
      <c r="G210" s="97"/>
      <c r="H210" s="97"/>
      <c r="I210" s="97"/>
      <c r="J210" s="97"/>
      <c r="K210" s="97"/>
      <c r="L210" s="97"/>
      <c r="M210" s="97"/>
      <c r="N210" s="99"/>
      <c r="O210" s="97"/>
      <c r="P210" s="99"/>
      <c r="Q210" s="97"/>
      <c r="R210" s="97"/>
      <c r="S210" s="97"/>
      <c r="T210" s="97"/>
      <c r="U210" s="97"/>
      <c r="V210" s="97"/>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107"/>
      <c r="AW210" s="107"/>
      <c r="AX210" s="107"/>
      <c r="AY210" s="107"/>
      <c r="AZ210" s="107"/>
    </row>
    <row r="211" spans="2:52">
      <c r="B211" s="98"/>
      <c r="C211" s="98"/>
      <c r="D211" s="97"/>
      <c r="E211" s="97"/>
      <c r="F211" s="97"/>
      <c r="G211" s="97"/>
      <c r="H211" s="97"/>
      <c r="I211" s="97"/>
      <c r="J211" s="97"/>
      <c r="K211" s="97"/>
      <c r="L211" s="97"/>
      <c r="M211" s="97"/>
      <c r="N211" s="99"/>
      <c r="O211" s="97"/>
      <c r="P211" s="99"/>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107"/>
      <c r="AW211" s="107"/>
      <c r="AX211" s="107"/>
      <c r="AY211" s="107"/>
      <c r="AZ211" s="107"/>
    </row>
    <row r="212" spans="2:52">
      <c r="B212" s="98"/>
      <c r="C212" s="98"/>
      <c r="D212" s="97"/>
      <c r="E212" s="97"/>
      <c r="F212" s="97"/>
      <c r="G212" s="97"/>
      <c r="H212" s="97"/>
      <c r="I212" s="97"/>
      <c r="J212" s="97"/>
      <c r="K212" s="97"/>
      <c r="L212" s="97"/>
      <c r="M212" s="97"/>
      <c r="N212" s="99"/>
      <c r="O212" s="97"/>
      <c r="P212" s="99"/>
      <c r="Q212" s="97"/>
      <c r="R212" s="97"/>
      <c r="S212" s="97"/>
      <c r="T212" s="97"/>
      <c r="U212" s="97"/>
      <c r="V212" s="97"/>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107"/>
      <c r="AW212" s="107"/>
      <c r="AX212" s="107"/>
      <c r="AY212" s="107"/>
      <c r="AZ212" s="107"/>
    </row>
    <row r="213" spans="2:52">
      <c r="B213" s="98"/>
      <c r="C213" s="98"/>
      <c r="D213" s="97"/>
      <c r="E213" s="97"/>
      <c r="F213" s="97"/>
      <c r="G213" s="97"/>
      <c r="H213" s="97"/>
      <c r="I213" s="97"/>
      <c r="J213" s="97"/>
      <c r="K213" s="97"/>
      <c r="L213" s="97"/>
      <c r="M213" s="97"/>
      <c r="N213" s="99"/>
      <c r="O213" s="97"/>
      <c r="P213" s="99"/>
      <c r="Q213" s="97"/>
      <c r="R213" s="97"/>
      <c r="S213" s="97"/>
      <c r="T213" s="97"/>
      <c r="U213" s="97"/>
      <c r="V213" s="97"/>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107"/>
      <c r="AW213" s="107"/>
      <c r="AX213" s="107"/>
      <c r="AY213" s="107"/>
      <c r="AZ213" s="107"/>
    </row>
    <row r="214" spans="2:52">
      <c r="B214" s="98"/>
      <c r="C214" s="98"/>
      <c r="D214" s="97"/>
      <c r="E214" s="97"/>
      <c r="F214" s="97"/>
      <c r="G214" s="97"/>
      <c r="H214" s="97"/>
      <c r="I214" s="97"/>
      <c r="J214" s="97"/>
      <c r="K214" s="97"/>
      <c r="L214" s="97"/>
      <c r="M214" s="97"/>
      <c r="N214" s="99"/>
      <c r="O214" s="97"/>
      <c r="P214" s="99"/>
      <c r="Q214" s="97"/>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107"/>
      <c r="AW214" s="107"/>
      <c r="AX214" s="107"/>
      <c r="AY214" s="107"/>
      <c r="AZ214" s="107"/>
    </row>
    <row r="215" spans="2:52">
      <c r="B215" s="98"/>
      <c r="C215" s="98"/>
      <c r="D215" s="97"/>
      <c r="E215" s="97"/>
      <c r="F215" s="97"/>
      <c r="G215" s="97"/>
      <c r="H215" s="97"/>
      <c r="I215" s="97"/>
      <c r="J215" s="97"/>
      <c r="K215" s="97"/>
      <c r="L215" s="97"/>
      <c r="M215" s="97"/>
      <c r="N215" s="99"/>
      <c r="O215" s="97"/>
      <c r="P215" s="99"/>
      <c r="Q215" s="97"/>
      <c r="R215" s="97"/>
      <c r="S215" s="97"/>
      <c r="T215" s="97"/>
      <c r="U215" s="97"/>
      <c r="V215" s="97"/>
      <c r="W215" s="97"/>
      <c r="X215" s="97"/>
      <c r="Y215" s="97"/>
      <c r="Z215" s="97"/>
      <c r="AA215" s="97"/>
      <c r="AB215" s="97"/>
      <c r="AC215" s="97"/>
      <c r="AD215" s="97"/>
      <c r="AE215" s="97"/>
      <c r="AF215" s="97"/>
      <c r="AG215" s="97"/>
      <c r="AH215" s="97"/>
      <c r="AI215" s="97"/>
      <c r="AJ215" s="97"/>
      <c r="AK215" s="97"/>
      <c r="AL215" s="97"/>
      <c r="AM215" s="97"/>
      <c r="AN215" s="97"/>
      <c r="AO215" s="97"/>
      <c r="AP215" s="97"/>
      <c r="AQ215" s="97"/>
      <c r="AR215" s="97"/>
      <c r="AS215" s="97"/>
      <c r="AT215" s="97"/>
      <c r="AU215" s="97"/>
      <c r="AV215" s="107"/>
      <c r="AW215" s="107"/>
      <c r="AX215" s="107"/>
      <c r="AY215" s="107"/>
      <c r="AZ215" s="107"/>
    </row>
    <row r="216" spans="2:52">
      <c r="B216" s="98"/>
      <c r="C216" s="98"/>
      <c r="D216" s="97"/>
      <c r="E216" s="97"/>
      <c r="F216" s="97"/>
      <c r="G216" s="97"/>
      <c r="H216" s="97"/>
      <c r="I216" s="97"/>
      <c r="J216" s="97"/>
      <c r="K216" s="97"/>
      <c r="L216" s="97"/>
      <c r="M216" s="97"/>
      <c r="N216" s="99"/>
      <c r="O216" s="97"/>
      <c r="P216" s="99"/>
      <c r="Q216" s="97"/>
      <c r="R216" s="97"/>
      <c r="S216" s="97"/>
      <c r="T216" s="97"/>
      <c r="U216" s="97"/>
      <c r="V216" s="97"/>
      <c r="W216" s="97"/>
      <c r="X216" s="97"/>
      <c r="Y216" s="97"/>
      <c r="Z216" s="97"/>
      <c r="AA216" s="97"/>
      <c r="AB216" s="97"/>
      <c r="AC216" s="97"/>
      <c r="AD216" s="97"/>
      <c r="AE216" s="97"/>
      <c r="AF216" s="97"/>
      <c r="AG216" s="97"/>
      <c r="AH216" s="97"/>
      <c r="AI216" s="97"/>
      <c r="AJ216" s="97"/>
      <c r="AK216" s="97"/>
      <c r="AL216" s="97"/>
      <c r="AM216" s="97"/>
      <c r="AN216" s="97"/>
      <c r="AO216" s="97"/>
      <c r="AP216" s="97"/>
      <c r="AQ216" s="97"/>
      <c r="AR216" s="97"/>
      <c r="AS216" s="97"/>
      <c r="AT216" s="97"/>
      <c r="AU216" s="97"/>
      <c r="AV216" s="107"/>
      <c r="AW216" s="107"/>
      <c r="AX216" s="107"/>
      <c r="AY216" s="107"/>
      <c r="AZ216" s="107"/>
    </row>
    <row r="217" spans="2:52">
      <c r="B217" s="98"/>
      <c r="C217" s="98"/>
      <c r="D217" s="97"/>
      <c r="E217" s="97"/>
      <c r="F217" s="97"/>
      <c r="G217" s="97"/>
      <c r="H217" s="97"/>
      <c r="I217" s="97"/>
      <c r="J217" s="97"/>
      <c r="K217" s="97"/>
      <c r="L217" s="97"/>
      <c r="M217" s="97"/>
      <c r="N217" s="99"/>
      <c r="O217" s="97"/>
      <c r="P217" s="99"/>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97"/>
      <c r="AP217" s="97"/>
      <c r="AQ217" s="97"/>
      <c r="AR217" s="97"/>
      <c r="AS217" s="97"/>
      <c r="AT217" s="97"/>
      <c r="AU217" s="97"/>
      <c r="AV217" s="107"/>
      <c r="AW217" s="107"/>
      <c r="AX217" s="107"/>
      <c r="AY217" s="107"/>
      <c r="AZ217" s="107"/>
    </row>
    <row r="218" spans="2:52">
      <c r="B218" s="98"/>
      <c r="C218" s="98"/>
      <c r="D218" s="97"/>
      <c r="E218" s="97"/>
      <c r="F218" s="97"/>
      <c r="G218" s="97"/>
      <c r="H218" s="97"/>
      <c r="I218" s="97"/>
      <c r="J218" s="97"/>
      <c r="K218" s="97"/>
      <c r="L218" s="97"/>
      <c r="M218" s="97"/>
      <c r="N218" s="99"/>
      <c r="O218" s="97"/>
      <c r="P218" s="99"/>
      <c r="Q218" s="97"/>
      <c r="R218" s="97"/>
      <c r="S218" s="97"/>
      <c r="T218" s="97"/>
      <c r="U218" s="97"/>
      <c r="V218" s="97"/>
      <c r="W218" s="97"/>
      <c r="X218" s="97"/>
      <c r="Y218" s="97"/>
      <c r="Z218" s="97"/>
      <c r="AA218" s="97"/>
      <c r="AB218" s="97"/>
      <c r="AC218" s="97"/>
      <c r="AD218" s="97"/>
      <c r="AE218" s="97"/>
      <c r="AF218" s="97"/>
      <c r="AG218" s="97"/>
      <c r="AH218" s="97"/>
      <c r="AI218" s="97"/>
      <c r="AJ218" s="97"/>
      <c r="AK218" s="97"/>
      <c r="AL218" s="97"/>
      <c r="AM218" s="97"/>
      <c r="AN218" s="97"/>
      <c r="AO218" s="97"/>
      <c r="AP218" s="97"/>
      <c r="AQ218" s="97"/>
      <c r="AR218" s="97"/>
      <c r="AS218" s="97"/>
      <c r="AT218" s="97"/>
      <c r="AU218" s="97"/>
      <c r="AV218" s="107"/>
      <c r="AW218" s="107"/>
      <c r="AX218" s="107"/>
      <c r="AY218" s="107"/>
      <c r="AZ218" s="107"/>
    </row>
    <row r="219" spans="2:52">
      <c r="B219" s="98"/>
      <c r="C219" s="98"/>
      <c r="D219" s="97"/>
      <c r="E219" s="97"/>
      <c r="F219" s="97"/>
      <c r="G219" s="97"/>
      <c r="H219" s="97"/>
      <c r="I219" s="97"/>
      <c r="J219" s="97"/>
      <c r="K219" s="97"/>
      <c r="L219" s="97"/>
      <c r="M219" s="97"/>
      <c r="N219" s="99"/>
      <c r="O219" s="97"/>
      <c r="P219" s="99"/>
      <c r="Q219" s="97"/>
      <c r="R219" s="97"/>
      <c r="S219" s="97"/>
      <c r="T219" s="97"/>
      <c r="U219" s="97"/>
      <c r="V219" s="97"/>
      <c r="W219" s="97"/>
      <c r="X219" s="97"/>
      <c r="Y219" s="97"/>
      <c r="Z219" s="97"/>
      <c r="AA219" s="97"/>
      <c r="AB219" s="97"/>
      <c r="AC219" s="97"/>
      <c r="AD219" s="97"/>
      <c r="AE219" s="97"/>
      <c r="AF219" s="97"/>
      <c r="AG219" s="97"/>
      <c r="AH219" s="97"/>
      <c r="AI219" s="97"/>
      <c r="AJ219" s="97"/>
      <c r="AK219" s="97"/>
      <c r="AL219" s="97"/>
      <c r="AM219" s="97"/>
      <c r="AN219" s="97"/>
      <c r="AO219" s="97"/>
      <c r="AP219" s="97"/>
      <c r="AQ219" s="97"/>
      <c r="AR219" s="97"/>
      <c r="AS219" s="97"/>
      <c r="AT219" s="97"/>
      <c r="AU219" s="97"/>
      <c r="AV219" s="107"/>
      <c r="AW219" s="107"/>
      <c r="AX219" s="107"/>
      <c r="AY219" s="107"/>
      <c r="AZ219" s="107"/>
    </row>
    <row r="220" spans="2:52">
      <c r="B220" s="98"/>
      <c r="C220" s="98"/>
      <c r="D220" s="97"/>
      <c r="E220" s="97"/>
      <c r="F220" s="97"/>
      <c r="G220" s="97"/>
      <c r="H220" s="97"/>
      <c r="I220" s="97"/>
      <c r="J220" s="97"/>
      <c r="K220" s="97"/>
      <c r="L220" s="97"/>
      <c r="M220" s="97"/>
      <c r="N220" s="99"/>
      <c r="O220" s="97"/>
      <c r="P220" s="99"/>
      <c r="Q220" s="97"/>
      <c r="R220" s="97"/>
      <c r="S220" s="97"/>
      <c r="T220" s="97"/>
      <c r="U220" s="97"/>
      <c r="V220" s="97"/>
      <c r="W220" s="97"/>
      <c r="X220" s="97"/>
      <c r="Y220" s="97"/>
      <c r="Z220" s="97"/>
      <c r="AA220" s="97"/>
      <c r="AB220" s="97"/>
      <c r="AC220" s="97"/>
      <c r="AD220" s="97"/>
      <c r="AE220" s="97"/>
      <c r="AF220" s="97"/>
      <c r="AG220" s="97"/>
      <c r="AH220" s="97"/>
      <c r="AI220" s="97"/>
      <c r="AJ220" s="97"/>
      <c r="AK220" s="97"/>
      <c r="AL220" s="97"/>
      <c r="AM220" s="97"/>
      <c r="AN220" s="97"/>
      <c r="AO220" s="97"/>
      <c r="AP220" s="97"/>
      <c r="AQ220" s="97"/>
      <c r="AR220" s="97"/>
      <c r="AS220" s="97"/>
      <c r="AT220" s="97"/>
      <c r="AU220" s="97"/>
      <c r="AV220" s="107"/>
      <c r="AW220" s="107"/>
      <c r="AX220" s="107"/>
      <c r="AY220" s="107"/>
      <c r="AZ220" s="107"/>
    </row>
    <row r="221" spans="2:52">
      <c r="B221" s="98"/>
      <c r="C221" s="98"/>
      <c r="D221" s="97"/>
      <c r="E221" s="97"/>
      <c r="F221" s="97"/>
      <c r="G221" s="97"/>
      <c r="H221" s="97"/>
      <c r="I221" s="97"/>
      <c r="J221" s="97"/>
      <c r="K221" s="97"/>
      <c r="L221" s="97"/>
      <c r="M221" s="97"/>
      <c r="N221" s="99"/>
      <c r="O221" s="97"/>
      <c r="P221" s="99"/>
      <c r="Q221" s="97"/>
      <c r="R221" s="97"/>
      <c r="S221" s="97"/>
      <c r="T221" s="97"/>
      <c r="U221" s="97"/>
      <c r="V221" s="97"/>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107"/>
      <c r="AW221" s="107"/>
      <c r="AX221" s="107"/>
      <c r="AY221" s="107"/>
      <c r="AZ221" s="107"/>
    </row>
    <row r="222" spans="2:52">
      <c r="B222" s="98"/>
      <c r="C222" s="98"/>
      <c r="D222" s="97"/>
      <c r="E222" s="97"/>
      <c r="F222" s="97"/>
      <c r="G222" s="97"/>
      <c r="H222" s="97"/>
      <c r="I222" s="97"/>
      <c r="J222" s="97"/>
      <c r="K222" s="97"/>
      <c r="L222" s="97"/>
      <c r="M222" s="97"/>
      <c r="N222" s="99"/>
      <c r="O222" s="97"/>
      <c r="P222" s="99"/>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107"/>
      <c r="AW222" s="107"/>
      <c r="AX222" s="107"/>
      <c r="AY222" s="107"/>
      <c r="AZ222" s="107"/>
    </row>
    <row r="223" spans="2:52">
      <c r="B223" s="98"/>
      <c r="C223" s="98"/>
      <c r="D223" s="97"/>
      <c r="E223" s="97"/>
      <c r="F223" s="97"/>
      <c r="G223" s="97"/>
      <c r="H223" s="97"/>
      <c r="I223" s="97"/>
      <c r="J223" s="97"/>
      <c r="K223" s="97"/>
      <c r="L223" s="97"/>
      <c r="M223" s="97"/>
      <c r="N223" s="99"/>
      <c r="O223" s="97"/>
      <c r="P223" s="99"/>
      <c r="Q223" s="97"/>
      <c r="R223" s="97"/>
      <c r="S223" s="97"/>
      <c r="T223" s="97"/>
      <c r="U223" s="97"/>
      <c r="V223" s="97"/>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107"/>
      <c r="AW223" s="107"/>
      <c r="AX223" s="107"/>
      <c r="AY223" s="107"/>
      <c r="AZ223" s="107"/>
    </row>
    <row r="224" spans="2:52">
      <c r="B224" s="98"/>
      <c r="C224" s="98"/>
      <c r="D224" s="97"/>
      <c r="E224" s="97"/>
      <c r="F224" s="97"/>
      <c r="G224" s="97"/>
      <c r="H224" s="97"/>
      <c r="I224" s="97"/>
      <c r="J224" s="97"/>
      <c r="K224" s="97"/>
      <c r="L224" s="97"/>
      <c r="M224" s="97"/>
      <c r="N224" s="99"/>
      <c r="O224" s="97"/>
      <c r="P224" s="99"/>
      <c r="Q224" s="97"/>
      <c r="R224" s="97"/>
      <c r="S224" s="97"/>
      <c r="T224" s="97"/>
      <c r="U224" s="97"/>
      <c r="V224" s="97"/>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107"/>
      <c r="AW224" s="107"/>
      <c r="AX224" s="107"/>
      <c r="AY224" s="107"/>
      <c r="AZ224" s="107"/>
    </row>
    <row r="225" spans="2:52">
      <c r="B225" s="98"/>
      <c r="C225" s="98"/>
      <c r="D225" s="97"/>
      <c r="E225" s="97"/>
      <c r="F225" s="97"/>
      <c r="G225" s="97"/>
      <c r="H225" s="97"/>
      <c r="I225" s="97"/>
      <c r="J225" s="97"/>
      <c r="K225" s="97"/>
      <c r="L225" s="97"/>
      <c r="M225" s="97"/>
      <c r="N225" s="99"/>
      <c r="O225" s="97"/>
      <c r="P225" s="99"/>
      <c r="Q225" s="97"/>
      <c r="R225" s="97"/>
      <c r="S225" s="97"/>
      <c r="T225" s="97"/>
      <c r="U225" s="97"/>
      <c r="V225" s="97"/>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107"/>
      <c r="AW225" s="107"/>
      <c r="AX225" s="107"/>
      <c r="AY225" s="107"/>
      <c r="AZ225" s="107"/>
    </row>
    <row r="226" spans="2:52">
      <c r="B226" s="98"/>
      <c r="C226" s="98"/>
      <c r="D226" s="97"/>
      <c r="E226" s="97"/>
      <c r="F226" s="97"/>
      <c r="G226" s="97"/>
      <c r="H226" s="97"/>
      <c r="I226" s="97"/>
      <c r="J226" s="97"/>
      <c r="K226" s="97"/>
      <c r="L226" s="97"/>
      <c r="M226" s="97"/>
      <c r="N226" s="99"/>
      <c r="O226" s="97"/>
      <c r="P226" s="99"/>
      <c r="Q226" s="97"/>
      <c r="R226" s="97"/>
      <c r="S226" s="97"/>
      <c r="T226" s="97"/>
      <c r="U226" s="97"/>
      <c r="V226" s="97"/>
      <c r="W226" s="97"/>
      <c r="X226" s="97"/>
      <c r="Y226" s="97"/>
      <c r="Z226" s="97"/>
      <c r="AA226" s="97"/>
      <c r="AB226" s="97"/>
      <c r="AC226" s="97"/>
      <c r="AD226" s="97"/>
      <c r="AE226" s="97"/>
      <c r="AF226" s="97"/>
      <c r="AG226" s="97"/>
      <c r="AH226" s="97"/>
      <c r="AI226" s="97"/>
      <c r="AJ226" s="97"/>
      <c r="AK226" s="97"/>
      <c r="AL226" s="97"/>
      <c r="AM226" s="97"/>
      <c r="AN226" s="97"/>
      <c r="AO226" s="97"/>
      <c r="AP226" s="97"/>
      <c r="AQ226" s="97"/>
      <c r="AR226" s="97"/>
      <c r="AS226" s="97"/>
      <c r="AT226" s="97"/>
      <c r="AU226" s="97"/>
      <c r="AV226" s="107"/>
      <c r="AW226" s="107"/>
      <c r="AX226" s="107"/>
      <c r="AY226" s="107"/>
      <c r="AZ226" s="107"/>
    </row>
    <row r="227" spans="2:52">
      <c r="B227" s="98"/>
      <c r="C227" s="98"/>
      <c r="D227" s="97"/>
      <c r="E227" s="97"/>
      <c r="F227" s="97"/>
      <c r="G227" s="97"/>
      <c r="H227" s="97"/>
      <c r="I227" s="97"/>
      <c r="J227" s="97"/>
      <c r="K227" s="97"/>
      <c r="L227" s="97"/>
      <c r="M227" s="97"/>
      <c r="N227" s="99"/>
      <c r="O227" s="97"/>
      <c r="P227" s="99"/>
      <c r="Q227" s="97"/>
      <c r="R227" s="97"/>
      <c r="S227" s="97"/>
      <c r="T227" s="97"/>
      <c r="U227" s="97"/>
      <c r="V227" s="97"/>
      <c r="W227" s="97"/>
      <c r="X227" s="97"/>
      <c r="Y227" s="97"/>
      <c r="Z227" s="97"/>
      <c r="AA227" s="97"/>
      <c r="AB227" s="97"/>
      <c r="AC227" s="97"/>
      <c r="AD227" s="97"/>
      <c r="AE227" s="97"/>
      <c r="AF227" s="97"/>
      <c r="AG227" s="97"/>
      <c r="AH227" s="97"/>
      <c r="AI227" s="97"/>
      <c r="AJ227" s="97"/>
      <c r="AK227" s="97"/>
      <c r="AL227" s="97"/>
      <c r="AM227" s="97"/>
      <c r="AN227" s="97"/>
      <c r="AO227" s="97"/>
      <c r="AP227" s="97"/>
      <c r="AQ227" s="97"/>
      <c r="AR227" s="97"/>
      <c r="AS227" s="97"/>
      <c r="AT227" s="97"/>
      <c r="AU227" s="97"/>
      <c r="AV227" s="107"/>
      <c r="AW227" s="107"/>
      <c r="AX227" s="107"/>
      <c r="AY227" s="107"/>
      <c r="AZ227" s="107"/>
    </row>
    <row r="228" spans="2:52">
      <c r="B228" s="98"/>
      <c r="C228" s="98"/>
      <c r="D228" s="97"/>
      <c r="E228" s="97"/>
      <c r="F228" s="97"/>
      <c r="G228" s="97"/>
      <c r="H228" s="97"/>
      <c r="I228" s="97"/>
      <c r="J228" s="97"/>
      <c r="K228" s="97"/>
      <c r="L228" s="97"/>
      <c r="M228" s="97"/>
      <c r="N228" s="99"/>
      <c r="O228" s="97"/>
      <c r="P228" s="99"/>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107"/>
      <c r="AW228" s="107"/>
      <c r="AX228" s="107"/>
      <c r="AY228" s="107"/>
      <c r="AZ228" s="107"/>
    </row>
    <row r="229" spans="2:52">
      <c r="B229" s="98"/>
      <c r="C229" s="98"/>
      <c r="D229" s="97"/>
      <c r="E229" s="97"/>
      <c r="F229" s="97"/>
      <c r="G229" s="97"/>
      <c r="H229" s="97"/>
      <c r="I229" s="97"/>
      <c r="J229" s="97"/>
      <c r="K229" s="97"/>
      <c r="L229" s="97"/>
      <c r="M229" s="97"/>
      <c r="N229" s="99"/>
      <c r="O229" s="97"/>
      <c r="P229" s="99"/>
      <c r="Q229" s="97"/>
      <c r="R229" s="97"/>
      <c r="S229" s="97"/>
      <c r="T229" s="97"/>
      <c r="U229" s="97"/>
      <c r="V229" s="97"/>
      <c r="W229" s="97"/>
      <c r="X229" s="97"/>
      <c r="Y229" s="97"/>
      <c r="Z229" s="97"/>
      <c r="AA229" s="97"/>
      <c r="AB229" s="97"/>
      <c r="AC229" s="97"/>
      <c r="AD229" s="97"/>
      <c r="AE229" s="97"/>
      <c r="AF229" s="97"/>
      <c r="AG229" s="97"/>
      <c r="AH229" s="97"/>
      <c r="AI229" s="97"/>
      <c r="AJ229" s="97"/>
      <c r="AK229" s="97"/>
      <c r="AL229" s="97"/>
      <c r="AM229" s="97"/>
      <c r="AN229" s="97"/>
      <c r="AO229" s="97"/>
      <c r="AP229" s="97"/>
      <c r="AQ229" s="97"/>
      <c r="AR229" s="97"/>
      <c r="AS229" s="97"/>
      <c r="AT229" s="97"/>
      <c r="AU229" s="97"/>
      <c r="AV229" s="107"/>
      <c r="AW229" s="107"/>
      <c r="AX229" s="107"/>
      <c r="AY229" s="107"/>
      <c r="AZ229" s="107"/>
    </row>
    <row r="230" spans="2:52">
      <c r="B230" s="98"/>
      <c r="C230" s="98"/>
      <c r="D230" s="97"/>
      <c r="E230" s="97"/>
      <c r="F230" s="97"/>
      <c r="G230" s="97"/>
      <c r="H230" s="97"/>
      <c r="I230" s="97"/>
      <c r="J230" s="97"/>
      <c r="K230" s="97"/>
      <c r="L230" s="97"/>
      <c r="M230" s="97"/>
      <c r="N230" s="99"/>
      <c r="O230" s="97"/>
      <c r="P230" s="99"/>
      <c r="Q230" s="97"/>
      <c r="R230" s="97"/>
      <c r="S230" s="97"/>
      <c r="T230" s="97"/>
      <c r="U230" s="97"/>
      <c r="V230" s="97"/>
      <c r="W230" s="97"/>
      <c r="X230" s="97"/>
      <c r="Y230" s="97"/>
      <c r="Z230" s="97"/>
      <c r="AA230" s="97"/>
      <c r="AB230" s="97"/>
      <c r="AC230" s="97"/>
      <c r="AD230" s="97"/>
      <c r="AE230" s="97"/>
      <c r="AF230" s="97"/>
      <c r="AG230" s="97"/>
      <c r="AH230" s="97"/>
      <c r="AI230" s="97"/>
      <c r="AJ230" s="97"/>
      <c r="AK230" s="97"/>
      <c r="AL230" s="97"/>
      <c r="AM230" s="97"/>
      <c r="AN230" s="97"/>
      <c r="AO230" s="97"/>
      <c r="AP230" s="97"/>
      <c r="AQ230" s="97"/>
      <c r="AR230" s="97"/>
      <c r="AS230" s="97"/>
      <c r="AT230" s="97"/>
      <c r="AU230" s="97"/>
      <c r="AV230" s="107"/>
      <c r="AW230" s="107"/>
      <c r="AX230" s="107"/>
      <c r="AY230" s="107"/>
      <c r="AZ230" s="107"/>
    </row>
    <row r="231" spans="2:52">
      <c r="B231" s="98"/>
      <c r="C231" s="98"/>
      <c r="D231" s="97"/>
      <c r="E231" s="97"/>
      <c r="F231" s="97"/>
      <c r="G231" s="97"/>
      <c r="H231" s="97"/>
      <c r="I231" s="97"/>
      <c r="J231" s="97"/>
      <c r="K231" s="97"/>
      <c r="L231" s="97"/>
      <c r="M231" s="97"/>
      <c r="N231" s="99"/>
      <c r="O231" s="97"/>
      <c r="P231" s="99"/>
      <c r="Q231" s="97"/>
      <c r="R231" s="97"/>
      <c r="S231" s="97"/>
      <c r="T231" s="97"/>
      <c r="U231" s="97"/>
      <c r="V231" s="97"/>
      <c r="W231" s="97"/>
      <c r="X231" s="97"/>
      <c r="Y231" s="97"/>
      <c r="Z231" s="97"/>
      <c r="AA231" s="97"/>
      <c r="AB231" s="97"/>
      <c r="AC231" s="97"/>
      <c r="AD231" s="97"/>
      <c r="AE231" s="97"/>
      <c r="AF231" s="97"/>
      <c r="AG231" s="97"/>
      <c r="AH231" s="97"/>
      <c r="AI231" s="97"/>
      <c r="AJ231" s="97"/>
      <c r="AK231" s="97"/>
      <c r="AL231" s="97"/>
      <c r="AM231" s="97"/>
      <c r="AN231" s="97"/>
      <c r="AO231" s="97"/>
      <c r="AP231" s="97"/>
      <c r="AQ231" s="97"/>
      <c r="AR231" s="97"/>
      <c r="AS231" s="97"/>
      <c r="AT231" s="97"/>
      <c r="AU231" s="97"/>
      <c r="AV231" s="107"/>
      <c r="AW231" s="107"/>
      <c r="AX231" s="107"/>
      <c r="AY231" s="107"/>
      <c r="AZ231" s="107"/>
    </row>
    <row r="232" spans="2:52">
      <c r="B232" s="98"/>
      <c r="C232" s="98"/>
      <c r="D232" s="97"/>
      <c r="E232" s="97"/>
      <c r="F232" s="97"/>
      <c r="G232" s="97"/>
      <c r="H232" s="97"/>
      <c r="I232" s="97"/>
      <c r="J232" s="97"/>
      <c r="K232" s="97"/>
      <c r="L232" s="97"/>
      <c r="M232" s="97"/>
      <c r="N232" s="99"/>
      <c r="O232" s="97"/>
      <c r="P232" s="99"/>
      <c r="Q232" s="97"/>
      <c r="R232" s="97"/>
      <c r="S232" s="97"/>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97"/>
      <c r="AQ232" s="97"/>
      <c r="AR232" s="97"/>
      <c r="AS232" s="97"/>
      <c r="AT232" s="97"/>
      <c r="AU232" s="97"/>
      <c r="AV232" s="107"/>
      <c r="AW232" s="107"/>
      <c r="AX232" s="107"/>
      <c r="AY232" s="107"/>
      <c r="AZ232" s="107"/>
    </row>
    <row r="233" spans="2:52">
      <c r="B233" s="98"/>
      <c r="C233" s="98"/>
      <c r="D233" s="97"/>
      <c r="E233" s="97"/>
      <c r="F233" s="97"/>
      <c r="G233" s="97"/>
      <c r="H233" s="97"/>
      <c r="I233" s="97"/>
      <c r="J233" s="97"/>
      <c r="K233" s="97"/>
      <c r="L233" s="97"/>
      <c r="M233" s="97"/>
      <c r="N233" s="99"/>
      <c r="O233" s="97"/>
      <c r="P233" s="99"/>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97"/>
      <c r="AR233" s="97"/>
      <c r="AS233" s="97"/>
      <c r="AT233" s="97"/>
      <c r="AU233" s="97"/>
      <c r="AV233" s="107"/>
      <c r="AW233" s="107"/>
      <c r="AX233" s="107"/>
      <c r="AY233" s="107"/>
      <c r="AZ233" s="107"/>
    </row>
    <row r="234" spans="2:52">
      <c r="B234" s="98"/>
      <c r="C234" s="98"/>
      <c r="D234" s="97"/>
      <c r="E234" s="97"/>
      <c r="F234" s="97"/>
      <c r="G234" s="97"/>
      <c r="H234" s="97"/>
      <c r="I234" s="97"/>
      <c r="J234" s="97"/>
      <c r="K234" s="97"/>
      <c r="L234" s="97"/>
      <c r="M234" s="97"/>
      <c r="N234" s="99"/>
      <c r="O234" s="97"/>
      <c r="P234" s="99"/>
      <c r="Q234" s="97"/>
      <c r="R234" s="97"/>
      <c r="S234" s="97"/>
      <c r="T234" s="97"/>
      <c r="U234" s="97"/>
      <c r="V234" s="97"/>
      <c r="W234" s="97"/>
      <c r="X234" s="97"/>
      <c r="Y234" s="97"/>
      <c r="Z234" s="97"/>
      <c r="AA234" s="97"/>
      <c r="AB234" s="97"/>
      <c r="AC234" s="97"/>
      <c r="AD234" s="97"/>
      <c r="AE234" s="97"/>
      <c r="AF234" s="97"/>
      <c r="AG234" s="97"/>
      <c r="AH234" s="97"/>
      <c r="AI234" s="97"/>
      <c r="AJ234" s="97"/>
      <c r="AK234" s="97"/>
      <c r="AL234" s="97"/>
      <c r="AM234" s="97"/>
      <c r="AN234" s="97"/>
      <c r="AO234" s="97"/>
      <c r="AP234" s="97"/>
      <c r="AQ234" s="97"/>
      <c r="AR234" s="97"/>
      <c r="AS234" s="97"/>
      <c r="AT234" s="97"/>
      <c r="AU234" s="97"/>
      <c r="AV234" s="107"/>
      <c r="AW234" s="107"/>
      <c r="AX234" s="107"/>
      <c r="AY234" s="107"/>
      <c r="AZ234" s="107"/>
    </row>
    <row r="235" spans="2:52">
      <c r="B235" s="98"/>
      <c r="C235" s="98"/>
      <c r="D235" s="97"/>
      <c r="E235" s="97"/>
      <c r="F235" s="97"/>
      <c r="G235" s="97"/>
      <c r="H235" s="97"/>
      <c r="I235" s="97"/>
      <c r="J235" s="97"/>
      <c r="K235" s="97"/>
      <c r="L235" s="97"/>
      <c r="M235" s="97"/>
      <c r="N235" s="99"/>
      <c r="O235" s="97"/>
      <c r="P235" s="99"/>
      <c r="Q235" s="97"/>
      <c r="R235" s="97"/>
      <c r="S235" s="97"/>
      <c r="T235" s="97"/>
      <c r="U235" s="97"/>
      <c r="V235" s="97"/>
      <c r="W235" s="97"/>
      <c r="X235" s="97"/>
      <c r="Y235" s="97"/>
      <c r="Z235" s="97"/>
      <c r="AA235" s="97"/>
      <c r="AB235" s="97"/>
      <c r="AC235" s="97"/>
      <c r="AD235" s="97"/>
      <c r="AE235" s="97"/>
      <c r="AF235" s="97"/>
      <c r="AG235" s="97"/>
      <c r="AH235" s="97"/>
      <c r="AI235" s="97"/>
      <c r="AJ235" s="97"/>
      <c r="AK235" s="97"/>
      <c r="AL235" s="97"/>
      <c r="AM235" s="97"/>
      <c r="AN235" s="97"/>
      <c r="AO235" s="97"/>
      <c r="AP235" s="97"/>
      <c r="AQ235" s="97"/>
      <c r="AR235" s="97"/>
      <c r="AS235" s="97"/>
      <c r="AT235" s="97"/>
      <c r="AU235" s="97"/>
      <c r="AV235" s="107"/>
      <c r="AW235" s="107"/>
      <c r="AX235" s="107"/>
      <c r="AY235" s="107"/>
      <c r="AZ235" s="107"/>
    </row>
    <row r="236" spans="2:52">
      <c r="B236" s="98"/>
      <c r="C236" s="98"/>
      <c r="D236" s="97"/>
      <c r="E236" s="97"/>
      <c r="F236" s="97"/>
      <c r="G236" s="97"/>
      <c r="H236" s="97"/>
      <c r="I236" s="97"/>
      <c r="J236" s="97"/>
      <c r="K236" s="97"/>
      <c r="L236" s="97"/>
      <c r="M236" s="97"/>
      <c r="N236" s="99"/>
      <c r="O236" s="97"/>
      <c r="P236" s="99"/>
      <c r="Q236" s="97"/>
      <c r="R236" s="97"/>
      <c r="S236" s="97"/>
      <c r="T236" s="97"/>
      <c r="U236" s="97"/>
      <c r="V236" s="97"/>
      <c r="W236" s="97"/>
      <c r="X236" s="97"/>
      <c r="Y236" s="97"/>
      <c r="Z236" s="97"/>
      <c r="AA236" s="97"/>
      <c r="AB236" s="97"/>
      <c r="AC236" s="97"/>
      <c r="AD236" s="97"/>
      <c r="AE236" s="97"/>
      <c r="AF236" s="97"/>
      <c r="AG236" s="97"/>
      <c r="AH236" s="97"/>
      <c r="AI236" s="97"/>
      <c r="AJ236" s="97"/>
      <c r="AK236" s="97"/>
      <c r="AL236" s="97"/>
      <c r="AM236" s="97"/>
      <c r="AN236" s="97"/>
      <c r="AO236" s="97"/>
      <c r="AP236" s="97"/>
      <c r="AQ236" s="97"/>
      <c r="AR236" s="97"/>
      <c r="AS236" s="97"/>
      <c r="AT236" s="97"/>
      <c r="AU236" s="97"/>
      <c r="AV236" s="107"/>
      <c r="AW236" s="107"/>
      <c r="AX236" s="107"/>
      <c r="AY236" s="107"/>
      <c r="AZ236" s="107"/>
    </row>
    <row r="237" spans="2:52">
      <c r="B237" s="98"/>
      <c r="C237" s="98"/>
      <c r="D237" s="97"/>
      <c r="E237" s="97"/>
      <c r="F237" s="97"/>
      <c r="G237" s="97"/>
      <c r="H237" s="97"/>
      <c r="I237" s="97"/>
      <c r="J237" s="97"/>
      <c r="K237" s="97"/>
      <c r="L237" s="97"/>
      <c r="M237" s="97"/>
      <c r="N237" s="99"/>
      <c r="O237" s="97"/>
      <c r="P237" s="99"/>
      <c r="Q237" s="97"/>
      <c r="R237" s="97"/>
      <c r="S237" s="97"/>
      <c r="T237" s="97"/>
      <c r="U237" s="97"/>
      <c r="V237" s="97"/>
      <c r="W237" s="97"/>
      <c r="X237" s="97"/>
      <c r="Y237" s="97"/>
      <c r="Z237" s="97"/>
      <c r="AA237" s="97"/>
      <c r="AB237" s="97"/>
      <c r="AC237" s="97"/>
      <c r="AD237" s="97"/>
      <c r="AE237" s="97"/>
      <c r="AF237" s="97"/>
      <c r="AG237" s="97"/>
      <c r="AH237" s="97"/>
      <c r="AI237" s="97"/>
      <c r="AJ237" s="97"/>
      <c r="AK237" s="97"/>
      <c r="AL237" s="97"/>
      <c r="AM237" s="97"/>
      <c r="AN237" s="97"/>
      <c r="AO237" s="97"/>
      <c r="AP237" s="97"/>
      <c r="AQ237" s="97"/>
      <c r="AR237" s="97"/>
      <c r="AS237" s="97"/>
      <c r="AT237" s="97"/>
      <c r="AU237" s="97"/>
      <c r="AV237" s="107"/>
      <c r="AW237" s="107"/>
      <c r="AX237" s="107"/>
      <c r="AY237" s="107"/>
      <c r="AZ237" s="107"/>
    </row>
    <row r="238" spans="2:52">
      <c r="B238" s="98"/>
      <c r="C238" s="98"/>
      <c r="D238" s="97"/>
      <c r="E238" s="97"/>
      <c r="F238" s="97"/>
      <c r="G238" s="97"/>
      <c r="H238" s="97"/>
      <c r="I238" s="97"/>
      <c r="J238" s="97"/>
      <c r="K238" s="97"/>
      <c r="L238" s="97"/>
      <c r="M238" s="97"/>
      <c r="N238" s="99"/>
      <c r="O238" s="97"/>
      <c r="P238" s="99"/>
      <c r="Q238" s="97"/>
      <c r="R238" s="97"/>
      <c r="S238" s="97"/>
      <c r="T238" s="97"/>
      <c r="U238" s="97"/>
      <c r="V238" s="97"/>
      <c r="W238" s="97"/>
      <c r="X238" s="97"/>
      <c r="Y238" s="97"/>
      <c r="Z238" s="97"/>
      <c r="AA238" s="97"/>
      <c r="AB238" s="97"/>
      <c r="AC238" s="97"/>
      <c r="AD238" s="97"/>
      <c r="AE238" s="97"/>
      <c r="AF238" s="97"/>
      <c r="AG238" s="97"/>
      <c r="AH238" s="97"/>
      <c r="AI238" s="97"/>
      <c r="AJ238" s="97"/>
      <c r="AK238" s="97"/>
      <c r="AL238" s="97"/>
      <c r="AM238" s="97"/>
      <c r="AN238" s="97"/>
      <c r="AO238" s="97"/>
      <c r="AP238" s="97"/>
      <c r="AQ238" s="97"/>
      <c r="AR238" s="97"/>
      <c r="AS238" s="97"/>
      <c r="AT238" s="97"/>
      <c r="AU238" s="97"/>
      <c r="AV238" s="107"/>
      <c r="AW238" s="107"/>
      <c r="AX238" s="107"/>
      <c r="AY238" s="107"/>
      <c r="AZ238" s="107"/>
    </row>
    <row r="239" spans="2:52">
      <c r="B239" s="98"/>
      <c r="C239" s="98"/>
      <c r="D239" s="97"/>
      <c r="E239" s="97"/>
      <c r="F239" s="97"/>
      <c r="G239" s="97"/>
      <c r="H239" s="97"/>
      <c r="I239" s="97"/>
      <c r="J239" s="97"/>
      <c r="K239" s="97"/>
      <c r="L239" s="97"/>
      <c r="M239" s="97"/>
      <c r="N239" s="99"/>
      <c r="O239" s="97"/>
      <c r="P239" s="99"/>
      <c r="Q239" s="97"/>
      <c r="R239" s="97"/>
      <c r="S239" s="97"/>
      <c r="T239" s="97"/>
      <c r="U239" s="97"/>
      <c r="V239" s="97"/>
      <c r="W239" s="97"/>
      <c r="X239" s="97"/>
      <c r="Y239" s="97"/>
      <c r="Z239" s="97"/>
      <c r="AA239" s="97"/>
      <c r="AB239" s="97"/>
      <c r="AC239" s="97"/>
      <c r="AD239" s="97"/>
      <c r="AE239" s="97"/>
      <c r="AF239" s="97"/>
      <c r="AG239" s="97"/>
      <c r="AH239" s="97"/>
      <c r="AI239" s="97"/>
      <c r="AJ239" s="97"/>
      <c r="AK239" s="97"/>
      <c r="AL239" s="97"/>
      <c r="AM239" s="97"/>
      <c r="AN239" s="97"/>
      <c r="AO239" s="97"/>
      <c r="AP239" s="97"/>
      <c r="AQ239" s="97"/>
      <c r="AR239" s="97"/>
      <c r="AS239" s="97"/>
      <c r="AT239" s="97"/>
      <c r="AU239" s="97"/>
      <c r="AV239" s="107"/>
      <c r="AW239" s="107"/>
      <c r="AX239" s="107"/>
      <c r="AY239" s="107"/>
      <c r="AZ239" s="107"/>
    </row>
    <row r="240" spans="2:52">
      <c r="B240" s="98"/>
      <c r="C240" s="98"/>
      <c r="D240" s="97"/>
      <c r="E240" s="97"/>
      <c r="F240" s="97"/>
      <c r="G240" s="97"/>
      <c r="H240" s="97"/>
      <c r="I240" s="97"/>
      <c r="J240" s="97"/>
      <c r="K240" s="97"/>
      <c r="L240" s="97"/>
      <c r="M240" s="97"/>
      <c r="N240" s="99"/>
      <c r="O240" s="97"/>
      <c r="P240" s="99"/>
      <c r="Q240" s="97"/>
      <c r="R240" s="97"/>
      <c r="S240" s="97"/>
      <c r="T240" s="97"/>
      <c r="U240" s="97"/>
      <c r="V240" s="97"/>
      <c r="W240" s="97"/>
      <c r="X240" s="97"/>
      <c r="Y240" s="97"/>
      <c r="Z240" s="97"/>
      <c r="AA240" s="97"/>
      <c r="AB240" s="97"/>
      <c r="AC240" s="97"/>
      <c r="AD240" s="97"/>
      <c r="AE240" s="97"/>
      <c r="AF240" s="97"/>
      <c r="AG240" s="97"/>
      <c r="AH240" s="97"/>
      <c r="AI240" s="97"/>
      <c r="AJ240" s="97"/>
      <c r="AK240" s="97"/>
      <c r="AL240" s="97"/>
      <c r="AM240" s="97"/>
      <c r="AN240" s="97"/>
      <c r="AO240" s="97"/>
      <c r="AP240" s="97"/>
      <c r="AQ240" s="97"/>
      <c r="AR240" s="97"/>
      <c r="AS240" s="97"/>
      <c r="AT240" s="97"/>
      <c r="AU240" s="97"/>
      <c r="AV240" s="107"/>
      <c r="AW240" s="107"/>
      <c r="AX240" s="107"/>
      <c r="AY240" s="107"/>
      <c r="AZ240" s="107"/>
    </row>
    <row r="241" spans="2:52">
      <c r="B241" s="98"/>
      <c r="C241" s="98"/>
      <c r="D241" s="97"/>
      <c r="E241" s="97"/>
      <c r="F241" s="97"/>
      <c r="G241" s="97"/>
      <c r="H241" s="97"/>
      <c r="I241" s="97"/>
      <c r="J241" s="97"/>
      <c r="K241" s="97"/>
      <c r="L241" s="97"/>
      <c r="M241" s="97"/>
      <c r="N241" s="99"/>
      <c r="O241" s="97"/>
      <c r="P241" s="99"/>
      <c r="Q241" s="97"/>
      <c r="R241" s="97"/>
      <c r="S241" s="97"/>
      <c r="T241" s="97"/>
      <c r="U241" s="97"/>
      <c r="V241" s="97"/>
      <c r="W241" s="97"/>
      <c r="X241" s="97"/>
      <c r="Y241" s="97"/>
      <c r="Z241" s="97"/>
      <c r="AA241" s="97"/>
      <c r="AB241" s="97"/>
      <c r="AC241" s="97"/>
      <c r="AD241" s="97"/>
      <c r="AE241" s="97"/>
      <c r="AF241" s="97"/>
      <c r="AG241" s="97"/>
      <c r="AH241" s="97"/>
      <c r="AI241" s="97"/>
      <c r="AJ241" s="97"/>
      <c r="AK241" s="97"/>
      <c r="AL241" s="97"/>
      <c r="AM241" s="97"/>
      <c r="AN241" s="97"/>
      <c r="AO241" s="97"/>
      <c r="AP241" s="97"/>
      <c r="AQ241" s="97"/>
      <c r="AR241" s="97"/>
      <c r="AS241" s="97"/>
      <c r="AT241" s="97"/>
      <c r="AU241" s="97"/>
      <c r="AV241" s="107"/>
      <c r="AW241" s="107"/>
      <c r="AX241" s="107"/>
      <c r="AY241" s="107"/>
      <c r="AZ241" s="107"/>
    </row>
    <row r="242" spans="2:52">
      <c r="B242" s="98"/>
      <c r="C242" s="98"/>
      <c r="D242" s="97"/>
      <c r="E242" s="97"/>
      <c r="F242" s="97"/>
      <c r="G242" s="97"/>
      <c r="H242" s="97"/>
      <c r="I242" s="97"/>
      <c r="J242" s="97"/>
      <c r="K242" s="97"/>
      <c r="L242" s="97"/>
      <c r="M242" s="97"/>
      <c r="N242" s="99"/>
      <c r="O242" s="97"/>
      <c r="P242" s="99"/>
      <c r="Q242" s="97"/>
      <c r="R242" s="97"/>
      <c r="S242" s="97"/>
      <c r="T242" s="97"/>
      <c r="U242" s="97"/>
      <c r="V242" s="97"/>
      <c r="W242" s="97"/>
      <c r="X242" s="97"/>
      <c r="Y242" s="97"/>
      <c r="Z242" s="97"/>
      <c r="AA242" s="97"/>
      <c r="AB242" s="97"/>
      <c r="AC242" s="97"/>
      <c r="AD242" s="97"/>
      <c r="AE242" s="97"/>
      <c r="AF242" s="97"/>
      <c r="AG242" s="97"/>
      <c r="AH242" s="97"/>
      <c r="AI242" s="97"/>
      <c r="AJ242" s="97"/>
      <c r="AK242" s="97"/>
      <c r="AL242" s="97"/>
      <c r="AM242" s="97"/>
      <c r="AN242" s="97"/>
      <c r="AO242" s="97"/>
      <c r="AP242" s="97"/>
      <c r="AQ242" s="97"/>
      <c r="AR242" s="97"/>
      <c r="AS242" s="97"/>
      <c r="AT242" s="97"/>
      <c r="AU242" s="97"/>
      <c r="AV242" s="107"/>
      <c r="AW242" s="107"/>
      <c r="AX242" s="107"/>
      <c r="AY242" s="107"/>
      <c r="AZ242" s="107"/>
    </row>
    <row r="243" spans="2:52">
      <c r="B243" s="98"/>
      <c r="C243" s="98"/>
      <c r="D243" s="97"/>
      <c r="E243" s="97"/>
      <c r="F243" s="97"/>
      <c r="G243" s="97"/>
      <c r="H243" s="97"/>
      <c r="I243" s="97"/>
      <c r="J243" s="97"/>
      <c r="K243" s="97"/>
      <c r="L243" s="97"/>
      <c r="M243" s="97"/>
      <c r="N243" s="99"/>
      <c r="O243" s="97"/>
      <c r="P243" s="99"/>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97"/>
      <c r="AQ243" s="97"/>
      <c r="AR243" s="97"/>
      <c r="AS243" s="97"/>
      <c r="AT243" s="97"/>
      <c r="AU243" s="97"/>
      <c r="AV243" s="107"/>
      <c r="AW243" s="107"/>
      <c r="AX243" s="107"/>
      <c r="AY243" s="107"/>
      <c r="AZ243" s="107"/>
    </row>
    <row r="244" spans="2:52">
      <c r="B244" s="98"/>
      <c r="C244" s="98"/>
      <c r="D244" s="97"/>
      <c r="E244" s="97"/>
      <c r="F244" s="97"/>
      <c r="G244" s="97"/>
      <c r="H244" s="97"/>
      <c r="I244" s="97"/>
      <c r="J244" s="97"/>
      <c r="K244" s="97"/>
      <c r="L244" s="97"/>
      <c r="M244" s="97"/>
      <c r="N244" s="99"/>
      <c r="O244" s="97"/>
      <c r="P244" s="99"/>
      <c r="Q244" s="97"/>
      <c r="R244" s="97"/>
      <c r="S244" s="97"/>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97"/>
      <c r="AQ244" s="97"/>
      <c r="AR244" s="97"/>
      <c r="AS244" s="97"/>
      <c r="AT244" s="97"/>
      <c r="AU244" s="97"/>
      <c r="AV244" s="107"/>
      <c r="AW244" s="107"/>
      <c r="AX244" s="107"/>
      <c r="AY244" s="107"/>
      <c r="AZ244" s="107"/>
    </row>
    <row r="245" spans="2:52">
      <c r="B245" s="98"/>
      <c r="C245" s="98"/>
      <c r="D245" s="97"/>
      <c r="E245" s="97"/>
      <c r="F245" s="97"/>
      <c r="G245" s="97"/>
      <c r="H245" s="97"/>
      <c r="I245" s="97"/>
      <c r="J245" s="97"/>
      <c r="K245" s="97"/>
      <c r="L245" s="97"/>
      <c r="M245" s="97"/>
      <c r="N245" s="99"/>
      <c r="O245" s="97"/>
      <c r="P245" s="99"/>
      <c r="Q245" s="97"/>
      <c r="R245" s="97"/>
      <c r="S245" s="97"/>
      <c r="T245" s="97"/>
      <c r="U245" s="97"/>
      <c r="V245" s="97"/>
      <c r="W245" s="97"/>
      <c r="X245" s="97"/>
      <c r="Y245" s="97"/>
      <c r="Z245" s="97"/>
      <c r="AA245" s="97"/>
      <c r="AB245" s="97"/>
      <c r="AC245" s="97"/>
      <c r="AD245" s="97"/>
      <c r="AE245" s="97"/>
      <c r="AF245" s="97"/>
      <c r="AG245" s="97"/>
      <c r="AH245" s="97"/>
      <c r="AI245" s="97"/>
      <c r="AJ245" s="97"/>
      <c r="AK245" s="97"/>
      <c r="AL245" s="97"/>
      <c r="AM245" s="97"/>
      <c r="AN245" s="97"/>
      <c r="AO245" s="97"/>
      <c r="AP245" s="97"/>
      <c r="AQ245" s="97"/>
      <c r="AR245" s="97"/>
      <c r="AS245" s="97"/>
      <c r="AT245" s="97"/>
      <c r="AU245" s="97"/>
      <c r="AV245" s="107"/>
      <c r="AW245" s="107"/>
      <c r="AX245" s="107"/>
      <c r="AY245" s="107"/>
      <c r="AZ245" s="107"/>
    </row>
    <row r="246" spans="2:52">
      <c r="B246" s="98"/>
      <c r="C246" s="98"/>
      <c r="D246" s="97"/>
      <c r="E246" s="97"/>
      <c r="F246" s="97"/>
      <c r="G246" s="97"/>
      <c r="H246" s="97"/>
      <c r="I246" s="97"/>
      <c r="J246" s="97"/>
      <c r="K246" s="97"/>
      <c r="L246" s="97"/>
      <c r="M246" s="97"/>
      <c r="N246" s="99"/>
      <c r="O246" s="97"/>
      <c r="P246" s="99"/>
      <c r="Q246" s="97"/>
      <c r="R246" s="97"/>
      <c r="S246" s="97"/>
      <c r="T246" s="97"/>
      <c r="U246" s="97"/>
      <c r="V246" s="97"/>
      <c r="W246" s="97"/>
      <c r="X246" s="97"/>
      <c r="Y246" s="97"/>
      <c r="Z246" s="97"/>
      <c r="AA246" s="97"/>
      <c r="AB246" s="97"/>
      <c r="AC246" s="97"/>
      <c r="AD246" s="97"/>
      <c r="AE246" s="97"/>
      <c r="AF246" s="97"/>
      <c r="AG246" s="97"/>
      <c r="AH246" s="97"/>
      <c r="AI246" s="97"/>
      <c r="AJ246" s="97"/>
      <c r="AK246" s="97"/>
      <c r="AL246" s="97"/>
      <c r="AM246" s="97"/>
      <c r="AN246" s="97"/>
      <c r="AO246" s="97"/>
      <c r="AP246" s="97"/>
      <c r="AQ246" s="97"/>
      <c r="AR246" s="97"/>
      <c r="AS246" s="97"/>
      <c r="AT246" s="97"/>
      <c r="AU246" s="97"/>
      <c r="AV246" s="107"/>
      <c r="AW246" s="107"/>
      <c r="AX246" s="107"/>
      <c r="AY246" s="107"/>
      <c r="AZ246" s="107"/>
    </row>
    <row r="247" spans="2:52">
      <c r="B247" s="98"/>
      <c r="C247" s="98"/>
      <c r="D247" s="97"/>
      <c r="E247" s="97"/>
      <c r="F247" s="97"/>
      <c r="G247" s="97"/>
      <c r="H247" s="97"/>
      <c r="I247" s="97"/>
      <c r="J247" s="97"/>
      <c r="K247" s="97"/>
      <c r="L247" s="97"/>
      <c r="M247" s="97"/>
      <c r="N247" s="99"/>
      <c r="O247" s="97"/>
      <c r="P247" s="99"/>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97"/>
      <c r="AQ247" s="97"/>
      <c r="AR247" s="97"/>
      <c r="AS247" s="97"/>
      <c r="AT247" s="97"/>
      <c r="AU247" s="97"/>
      <c r="AV247" s="107"/>
      <c r="AW247" s="107"/>
      <c r="AX247" s="107"/>
      <c r="AY247" s="107"/>
      <c r="AZ247" s="107"/>
    </row>
    <row r="248" spans="2:52">
      <c r="B248" s="98"/>
      <c r="C248" s="98"/>
      <c r="D248" s="97"/>
      <c r="E248" s="97"/>
      <c r="F248" s="97"/>
      <c r="G248" s="97"/>
      <c r="H248" s="97"/>
      <c r="I248" s="97"/>
      <c r="J248" s="97"/>
      <c r="K248" s="97"/>
      <c r="L248" s="97"/>
      <c r="M248" s="97"/>
      <c r="N248" s="99"/>
      <c r="O248" s="97"/>
      <c r="P248" s="99"/>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97"/>
      <c r="AQ248" s="97"/>
      <c r="AR248" s="97"/>
      <c r="AS248" s="97"/>
      <c r="AT248" s="97"/>
      <c r="AU248" s="97"/>
      <c r="AV248" s="107"/>
      <c r="AW248" s="107"/>
      <c r="AX248" s="107"/>
      <c r="AY248" s="107"/>
      <c r="AZ248" s="107"/>
    </row>
    <row r="249" spans="2:52">
      <c r="B249" s="98"/>
      <c r="C249" s="98"/>
      <c r="D249" s="97"/>
      <c r="E249" s="97"/>
      <c r="F249" s="97"/>
      <c r="G249" s="97"/>
      <c r="H249" s="97"/>
      <c r="I249" s="97"/>
      <c r="J249" s="97"/>
      <c r="K249" s="97"/>
      <c r="L249" s="97"/>
      <c r="M249" s="97"/>
      <c r="N249" s="99"/>
      <c r="O249" s="97"/>
      <c r="P249" s="99"/>
      <c r="Q249" s="97"/>
      <c r="R249" s="97"/>
      <c r="S249" s="97"/>
      <c r="T249" s="97"/>
      <c r="U249" s="97"/>
      <c r="V249" s="97"/>
      <c r="W249" s="97"/>
      <c r="X249" s="97"/>
      <c r="Y249" s="97"/>
      <c r="Z249" s="97"/>
      <c r="AA249" s="97"/>
      <c r="AB249" s="97"/>
      <c r="AC249" s="97"/>
      <c r="AD249" s="97"/>
      <c r="AE249" s="97"/>
      <c r="AF249" s="97"/>
      <c r="AG249" s="97"/>
      <c r="AH249" s="97"/>
      <c r="AI249" s="97"/>
      <c r="AJ249" s="97"/>
      <c r="AK249" s="97"/>
      <c r="AL249" s="97"/>
      <c r="AM249" s="97"/>
      <c r="AN249" s="97"/>
      <c r="AO249" s="97"/>
      <c r="AP249" s="97"/>
      <c r="AQ249" s="97"/>
      <c r="AR249" s="97"/>
      <c r="AS249" s="97"/>
      <c r="AT249" s="97"/>
      <c r="AU249" s="97"/>
      <c r="AV249" s="107"/>
      <c r="AW249" s="107"/>
      <c r="AX249" s="107"/>
      <c r="AY249" s="107"/>
      <c r="AZ249" s="107"/>
    </row>
    <row r="250" spans="2:52">
      <c r="B250" s="98"/>
      <c r="C250" s="98"/>
      <c r="D250" s="97"/>
      <c r="E250" s="97"/>
      <c r="F250" s="97"/>
      <c r="G250" s="97"/>
      <c r="H250" s="97"/>
      <c r="I250" s="97"/>
      <c r="J250" s="97"/>
      <c r="K250" s="97"/>
      <c r="L250" s="97"/>
      <c r="M250" s="97"/>
      <c r="N250" s="99"/>
      <c r="O250" s="97"/>
      <c r="P250" s="99"/>
      <c r="Q250" s="97"/>
      <c r="R250" s="97"/>
      <c r="S250" s="97"/>
      <c r="T250" s="97"/>
      <c r="U250" s="97"/>
      <c r="V250" s="97"/>
      <c r="W250" s="97"/>
      <c r="X250" s="97"/>
      <c r="Y250" s="97"/>
      <c r="Z250" s="97"/>
      <c r="AA250" s="97"/>
      <c r="AB250" s="97"/>
      <c r="AC250" s="97"/>
      <c r="AD250" s="97"/>
      <c r="AE250" s="97"/>
      <c r="AF250" s="97"/>
      <c r="AG250" s="97"/>
      <c r="AH250" s="97"/>
      <c r="AI250" s="97"/>
      <c r="AJ250" s="97"/>
      <c r="AK250" s="97"/>
      <c r="AL250" s="97"/>
      <c r="AM250" s="97"/>
      <c r="AN250" s="97"/>
      <c r="AO250" s="97"/>
      <c r="AP250" s="97"/>
      <c r="AQ250" s="97"/>
      <c r="AR250" s="97"/>
      <c r="AS250" s="97"/>
      <c r="AT250" s="97"/>
      <c r="AU250" s="97"/>
      <c r="AV250" s="107"/>
      <c r="AW250" s="107"/>
      <c r="AX250" s="107"/>
      <c r="AY250" s="107"/>
      <c r="AZ250" s="107"/>
    </row>
    <row r="251" spans="2:52">
      <c r="B251" s="98"/>
      <c r="C251" s="98"/>
      <c r="D251" s="97"/>
      <c r="E251" s="97"/>
      <c r="F251" s="97"/>
      <c r="G251" s="97"/>
      <c r="H251" s="97"/>
      <c r="I251" s="97"/>
      <c r="J251" s="97"/>
      <c r="K251" s="97"/>
      <c r="L251" s="97"/>
      <c r="M251" s="97"/>
      <c r="N251" s="99"/>
      <c r="O251" s="97"/>
      <c r="P251" s="99"/>
      <c r="Q251" s="97"/>
      <c r="R251" s="97"/>
      <c r="S251" s="97"/>
      <c r="T251" s="97"/>
      <c r="U251" s="97"/>
      <c r="V251" s="97"/>
      <c r="W251" s="97"/>
      <c r="X251" s="97"/>
      <c r="Y251" s="97"/>
      <c r="Z251" s="97"/>
      <c r="AA251" s="97"/>
      <c r="AB251" s="97"/>
      <c r="AC251" s="97"/>
      <c r="AD251" s="97"/>
      <c r="AE251" s="97"/>
      <c r="AF251" s="97"/>
      <c r="AG251" s="97"/>
      <c r="AH251" s="97"/>
      <c r="AI251" s="97"/>
      <c r="AJ251" s="97"/>
      <c r="AK251" s="97"/>
      <c r="AL251" s="97"/>
      <c r="AM251" s="97"/>
      <c r="AN251" s="97"/>
      <c r="AO251" s="97"/>
      <c r="AP251" s="97"/>
      <c r="AQ251" s="97"/>
      <c r="AR251" s="97"/>
      <c r="AS251" s="97"/>
      <c r="AT251" s="97"/>
      <c r="AU251" s="97"/>
      <c r="AV251" s="107"/>
      <c r="AW251" s="107"/>
      <c r="AX251" s="107"/>
      <c r="AY251" s="107"/>
      <c r="AZ251" s="107"/>
    </row>
    <row r="252" spans="2:52">
      <c r="B252" s="98"/>
      <c r="C252" s="98"/>
      <c r="D252" s="97"/>
      <c r="E252" s="97"/>
      <c r="F252" s="97"/>
      <c r="G252" s="97"/>
      <c r="H252" s="97"/>
      <c r="I252" s="97"/>
      <c r="J252" s="97"/>
      <c r="K252" s="97"/>
      <c r="L252" s="97"/>
      <c r="M252" s="97"/>
      <c r="N252" s="99"/>
      <c r="O252" s="97"/>
      <c r="P252" s="99"/>
      <c r="Q252" s="97"/>
      <c r="R252" s="97"/>
      <c r="S252" s="97"/>
      <c r="T252" s="97"/>
      <c r="U252" s="97"/>
      <c r="V252" s="97"/>
      <c r="W252" s="97"/>
      <c r="X252" s="97"/>
      <c r="Y252" s="97"/>
      <c r="Z252" s="97"/>
      <c r="AA252" s="97"/>
      <c r="AB252" s="97"/>
      <c r="AC252" s="97"/>
      <c r="AD252" s="97"/>
      <c r="AE252" s="97"/>
      <c r="AF252" s="97"/>
      <c r="AG252" s="97"/>
      <c r="AH252" s="97"/>
      <c r="AI252" s="97"/>
      <c r="AJ252" s="97"/>
      <c r="AK252" s="97"/>
      <c r="AL252" s="97"/>
      <c r="AM252" s="97"/>
      <c r="AN252" s="97"/>
      <c r="AO252" s="97"/>
      <c r="AP252" s="97"/>
      <c r="AQ252" s="97"/>
      <c r="AR252" s="97"/>
      <c r="AS252" s="97"/>
      <c r="AT252" s="97"/>
      <c r="AU252" s="97"/>
      <c r="AV252" s="107"/>
      <c r="AW252" s="107"/>
      <c r="AX252" s="107"/>
      <c r="AY252" s="107"/>
      <c r="AZ252" s="107"/>
    </row>
    <row r="253" spans="2:52">
      <c r="B253" s="98"/>
      <c r="C253" s="98"/>
      <c r="D253" s="97"/>
      <c r="E253" s="97"/>
      <c r="F253" s="97"/>
      <c r="G253" s="97"/>
      <c r="H253" s="97"/>
      <c r="I253" s="97"/>
      <c r="J253" s="97"/>
      <c r="K253" s="97"/>
      <c r="L253" s="97"/>
      <c r="M253" s="97"/>
      <c r="N253" s="99"/>
      <c r="O253" s="97"/>
      <c r="P253" s="99"/>
      <c r="Q253" s="97"/>
      <c r="R253" s="97"/>
      <c r="S253" s="97"/>
      <c r="T253" s="97"/>
      <c r="U253" s="97"/>
      <c r="V253" s="97"/>
      <c r="W253" s="97"/>
      <c r="X253" s="97"/>
      <c r="Y253" s="97"/>
      <c r="Z253" s="97"/>
      <c r="AA253" s="97"/>
      <c r="AB253" s="97"/>
      <c r="AC253" s="97"/>
      <c r="AD253" s="97"/>
      <c r="AE253" s="97"/>
      <c r="AF253" s="97"/>
      <c r="AG253" s="97"/>
      <c r="AH253" s="97"/>
      <c r="AI253" s="97"/>
      <c r="AJ253" s="97"/>
      <c r="AK253" s="97"/>
      <c r="AL253" s="97"/>
      <c r="AM253" s="97"/>
      <c r="AN253" s="97"/>
      <c r="AO253" s="97"/>
      <c r="AP253" s="97"/>
      <c r="AQ253" s="97"/>
      <c r="AR253" s="97"/>
      <c r="AS253" s="97"/>
      <c r="AT253" s="97"/>
      <c r="AU253" s="97"/>
      <c r="AV253" s="107"/>
      <c r="AW253" s="107"/>
      <c r="AX253" s="107"/>
      <c r="AY253" s="107"/>
      <c r="AZ253" s="107"/>
    </row>
    <row r="254" spans="2:52">
      <c r="B254" s="98"/>
      <c r="C254" s="98"/>
      <c r="D254" s="97"/>
      <c r="E254" s="97"/>
      <c r="F254" s="97"/>
      <c r="G254" s="97"/>
      <c r="H254" s="97"/>
      <c r="I254" s="97"/>
      <c r="J254" s="97"/>
      <c r="K254" s="97"/>
      <c r="L254" s="97"/>
      <c r="M254" s="97"/>
      <c r="N254" s="99"/>
      <c r="O254" s="97"/>
      <c r="P254" s="99"/>
      <c r="Q254" s="97"/>
      <c r="R254" s="97"/>
      <c r="S254" s="97"/>
      <c r="T254" s="97"/>
      <c r="U254" s="97"/>
      <c r="V254" s="97"/>
      <c r="W254" s="97"/>
      <c r="X254" s="97"/>
      <c r="Y254" s="97"/>
      <c r="Z254" s="97"/>
      <c r="AA254" s="97"/>
      <c r="AB254" s="97"/>
      <c r="AC254" s="97"/>
      <c r="AD254" s="97"/>
      <c r="AE254" s="97"/>
      <c r="AF254" s="97"/>
      <c r="AG254" s="97"/>
      <c r="AH254" s="97"/>
      <c r="AI254" s="97"/>
      <c r="AJ254" s="97"/>
      <c r="AK254" s="97"/>
      <c r="AL254" s="97"/>
      <c r="AM254" s="97"/>
      <c r="AN254" s="97"/>
      <c r="AO254" s="97"/>
      <c r="AP254" s="97"/>
      <c r="AQ254" s="97"/>
      <c r="AR254" s="97"/>
      <c r="AS254" s="97"/>
      <c r="AT254" s="97"/>
      <c r="AU254" s="97"/>
      <c r="AV254" s="107"/>
      <c r="AW254" s="107"/>
      <c r="AX254" s="107"/>
      <c r="AY254" s="107"/>
      <c r="AZ254" s="107"/>
    </row>
    <row r="255" spans="2:52">
      <c r="B255" s="98"/>
      <c r="C255" s="98"/>
      <c r="D255" s="97"/>
      <c r="E255" s="97"/>
      <c r="F255" s="97"/>
      <c r="G255" s="97"/>
      <c r="H255" s="97"/>
      <c r="I255" s="97"/>
      <c r="J255" s="97"/>
      <c r="K255" s="97"/>
      <c r="L255" s="97"/>
      <c r="M255" s="97"/>
      <c r="N255" s="99"/>
      <c r="O255" s="97"/>
      <c r="P255" s="99"/>
      <c r="Q255" s="97"/>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97"/>
      <c r="AQ255" s="97"/>
      <c r="AR255" s="97"/>
      <c r="AS255" s="97"/>
      <c r="AT255" s="97"/>
      <c r="AU255" s="97"/>
      <c r="AV255" s="107"/>
      <c r="AW255" s="107"/>
      <c r="AX255" s="107"/>
      <c r="AY255" s="107"/>
      <c r="AZ255" s="107"/>
    </row>
    <row r="256" spans="2:52">
      <c r="B256" s="98"/>
      <c r="C256" s="98"/>
      <c r="D256" s="97"/>
      <c r="E256" s="97"/>
      <c r="F256" s="97"/>
      <c r="G256" s="97"/>
      <c r="H256" s="97"/>
      <c r="I256" s="97"/>
      <c r="J256" s="97"/>
      <c r="K256" s="97"/>
      <c r="L256" s="97"/>
      <c r="M256" s="97"/>
      <c r="N256" s="99"/>
      <c r="O256" s="97"/>
      <c r="P256" s="99"/>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97"/>
      <c r="AQ256" s="97"/>
      <c r="AR256" s="97"/>
      <c r="AS256" s="97"/>
      <c r="AT256" s="97"/>
      <c r="AU256" s="97"/>
      <c r="AV256" s="107"/>
      <c r="AW256" s="107"/>
      <c r="AX256" s="107"/>
      <c r="AY256" s="107"/>
      <c r="AZ256" s="107"/>
    </row>
    <row r="257" spans="2:52">
      <c r="B257" s="98"/>
      <c r="C257" s="98"/>
      <c r="D257" s="97"/>
      <c r="E257" s="97"/>
      <c r="F257" s="97"/>
      <c r="G257" s="97"/>
      <c r="H257" s="97"/>
      <c r="I257" s="97"/>
      <c r="J257" s="97"/>
      <c r="K257" s="97"/>
      <c r="L257" s="97"/>
      <c r="M257" s="97"/>
      <c r="N257" s="99"/>
      <c r="O257" s="97"/>
      <c r="P257" s="99"/>
      <c r="Q257" s="97"/>
      <c r="R257" s="97"/>
      <c r="S257" s="97"/>
      <c r="T257" s="97"/>
      <c r="U257" s="97"/>
      <c r="V257" s="97"/>
      <c r="W257" s="97"/>
      <c r="X257" s="97"/>
      <c r="Y257" s="97"/>
      <c r="Z257" s="97"/>
      <c r="AA257" s="97"/>
      <c r="AB257" s="97"/>
      <c r="AC257" s="97"/>
      <c r="AD257" s="97"/>
      <c r="AE257" s="97"/>
      <c r="AF257" s="97"/>
      <c r="AG257" s="97"/>
      <c r="AH257" s="97"/>
      <c r="AI257" s="97"/>
      <c r="AJ257" s="97"/>
      <c r="AK257" s="97"/>
      <c r="AL257" s="97"/>
      <c r="AM257" s="97"/>
      <c r="AN257" s="97"/>
      <c r="AO257" s="97"/>
      <c r="AP257" s="97"/>
      <c r="AQ257" s="97"/>
      <c r="AR257" s="97"/>
      <c r="AS257" s="97"/>
      <c r="AT257" s="97"/>
      <c r="AU257" s="97"/>
      <c r="AV257" s="107"/>
      <c r="AW257" s="107"/>
      <c r="AX257" s="107"/>
      <c r="AY257" s="107"/>
      <c r="AZ257" s="107"/>
    </row>
    <row r="258" spans="2:52">
      <c r="B258" s="98"/>
      <c r="C258" s="98"/>
      <c r="D258" s="97"/>
      <c r="E258" s="97"/>
      <c r="F258" s="97"/>
      <c r="G258" s="97"/>
      <c r="H258" s="97"/>
      <c r="I258" s="97"/>
      <c r="J258" s="97"/>
      <c r="K258" s="97"/>
      <c r="L258" s="97"/>
      <c r="M258" s="97"/>
      <c r="N258" s="99"/>
      <c r="O258" s="97"/>
      <c r="P258" s="99"/>
      <c r="Q258" s="97"/>
      <c r="R258" s="97"/>
      <c r="S258" s="97"/>
      <c r="T258" s="97"/>
      <c r="U258" s="97"/>
      <c r="V258" s="97"/>
      <c r="W258" s="97"/>
      <c r="X258" s="97"/>
      <c r="Y258" s="97"/>
      <c r="Z258" s="97"/>
      <c r="AA258" s="97"/>
      <c r="AB258" s="97"/>
      <c r="AC258" s="97"/>
      <c r="AD258" s="97"/>
      <c r="AE258" s="97"/>
      <c r="AF258" s="97"/>
      <c r="AG258" s="97"/>
      <c r="AH258" s="97"/>
      <c r="AI258" s="97"/>
      <c r="AJ258" s="97"/>
      <c r="AK258" s="97"/>
      <c r="AL258" s="97"/>
      <c r="AM258" s="97"/>
      <c r="AN258" s="97"/>
      <c r="AO258" s="97"/>
      <c r="AP258" s="97"/>
      <c r="AQ258" s="97"/>
      <c r="AR258" s="97"/>
      <c r="AS258" s="97"/>
      <c r="AT258" s="97"/>
      <c r="AU258" s="97"/>
      <c r="AV258" s="107"/>
      <c r="AW258" s="107"/>
      <c r="AX258" s="107"/>
      <c r="AY258" s="107"/>
      <c r="AZ258" s="107"/>
    </row>
    <row r="259" spans="2:52">
      <c r="B259" s="98"/>
      <c r="C259" s="98"/>
      <c r="D259" s="97"/>
      <c r="E259" s="97"/>
      <c r="F259" s="97"/>
      <c r="G259" s="97"/>
      <c r="H259" s="97"/>
      <c r="I259" s="97"/>
      <c r="J259" s="97"/>
      <c r="K259" s="97"/>
      <c r="L259" s="97"/>
      <c r="M259" s="97"/>
      <c r="N259" s="99"/>
      <c r="O259" s="97"/>
      <c r="P259" s="99"/>
      <c r="Q259" s="97"/>
      <c r="R259" s="97"/>
      <c r="S259" s="97"/>
      <c r="T259" s="97"/>
      <c r="U259" s="97"/>
      <c r="V259" s="97"/>
      <c r="W259" s="97"/>
      <c r="X259" s="97"/>
      <c r="Y259" s="97"/>
      <c r="Z259" s="97"/>
      <c r="AA259" s="97"/>
      <c r="AB259" s="97"/>
      <c r="AC259" s="97"/>
      <c r="AD259" s="97"/>
      <c r="AE259" s="97"/>
      <c r="AF259" s="97"/>
      <c r="AG259" s="97"/>
      <c r="AH259" s="97"/>
      <c r="AI259" s="97"/>
      <c r="AJ259" s="97"/>
      <c r="AK259" s="97"/>
      <c r="AL259" s="97"/>
      <c r="AM259" s="97"/>
      <c r="AN259" s="97"/>
      <c r="AO259" s="97"/>
      <c r="AP259" s="97"/>
      <c r="AQ259" s="97"/>
      <c r="AR259" s="97"/>
      <c r="AS259" s="97"/>
      <c r="AT259" s="97"/>
      <c r="AU259" s="97"/>
      <c r="AV259" s="107"/>
      <c r="AW259" s="107"/>
      <c r="AX259" s="107"/>
      <c r="AY259" s="107"/>
      <c r="AZ259" s="107"/>
    </row>
    <row r="260" spans="2:52">
      <c r="B260" s="98"/>
      <c r="C260" s="98"/>
      <c r="D260" s="97"/>
      <c r="E260" s="97"/>
      <c r="F260" s="97"/>
      <c r="G260" s="97"/>
      <c r="H260" s="97"/>
      <c r="I260" s="97"/>
      <c r="J260" s="97"/>
      <c r="K260" s="97"/>
      <c r="L260" s="97"/>
      <c r="M260" s="97"/>
      <c r="N260" s="99"/>
      <c r="O260" s="97"/>
      <c r="P260" s="99"/>
      <c r="Q260" s="97"/>
      <c r="R260" s="97"/>
      <c r="S260" s="97"/>
      <c r="T260" s="97"/>
      <c r="U260" s="97"/>
      <c r="V260" s="97"/>
      <c r="W260" s="97"/>
      <c r="X260" s="97"/>
      <c r="Y260" s="97"/>
      <c r="Z260" s="97"/>
      <c r="AA260" s="97"/>
      <c r="AB260" s="97"/>
      <c r="AC260" s="97"/>
      <c r="AD260" s="97"/>
      <c r="AE260" s="97"/>
      <c r="AF260" s="97"/>
      <c r="AG260" s="97"/>
      <c r="AH260" s="97"/>
      <c r="AI260" s="97"/>
      <c r="AJ260" s="97"/>
      <c r="AK260" s="97"/>
      <c r="AL260" s="97"/>
      <c r="AM260" s="97"/>
      <c r="AN260" s="97"/>
      <c r="AO260" s="97"/>
      <c r="AP260" s="97"/>
      <c r="AQ260" s="97"/>
      <c r="AR260" s="97"/>
      <c r="AS260" s="97"/>
      <c r="AT260" s="97"/>
      <c r="AU260" s="97"/>
      <c r="AV260" s="107"/>
      <c r="AW260" s="107"/>
      <c r="AX260" s="107"/>
      <c r="AY260" s="107"/>
      <c r="AZ260" s="107"/>
    </row>
    <row r="261" spans="2:52">
      <c r="B261" s="98"/>
      <c r="C261" s="98"/>
      <c r="D261" s="97"/>
      <c r="E261" s="97"/>
      <c r="F261" s="97"/>
      <c r="G261" s="97"/>
      <c r="H261" s="97"/>
      <c r="I261" s="97"/>
      <c r="J261" s="97"/>
      <c r="K261" s="97"/>
      <c r="L261" s="97"/>
      <c r="M261" s="97"/>
      <c r="N261" s="99"/>
      <c r="O261" s="97"/>
      <c r="P261" s="99"/>
      <c r="Q261" s="97"/>
      <c r="R261" s="97"/>
      <c r="S261" s="97"/>
      <c r="T261" s="97"/>
      <c r="U261" s="97"/>
      <c r="V261" s="97"/>
      <c r="W261" s="97"/>
      <c r="X261" s="97"/>
      <c r="Y261" s="97"/>
      <c r="Z261" s="97"/>
      <c r="AA261" s="97"/>
      <c r="AB261" s="97"/>
      <c r="AC261" s="97"/>
      <c r="AD261" s="97"/>
      <c r="AE261" s="97"/>
      <c r="AF261" s="97"/>
      <c r="AG261" s="97"/>
      <c r="AH261" s="97"/>
      <c r="AI261" s="97"/>
      <c r="AJ261" s="97"/>
      <c r="AK261" s="97"/>
      <c r="AL261" s="97"/>
      <c r="AM261" s="97"/>
      <c r="AN261" s="97"/>
      <c r="AO261" s="97"/>
      <c r="AP261" s="97"/>
      <c r="AQ261" s="97"/>
      <c r="AR261" s="97"/>
      <c r="AS261" s="97"/>
      <c r="AT261" s="97"/>
      <c r="AU261" s="97"/>
      <c r="AV261" s="107"/>
      <c r="AW261" s="107"/>
      <c r="AX261" s="107"/>
      <c r="AY261" s="107"/>
      <c r="AZ261" s="107"/>
    </row>
    <row r="262" spans="2:52">
      <c r="B262" s="98"/>
      <c r="C262" s="98"/>
      <c r="D262" s="97"/>
      <c r="E262" s="97"/>
      <c r="F262" s="97"/>
      <c r="G262" s="97"/>
      <c r="H262" s="97"/>
      <c r="I262" s="97"/>
      <c r="J262" s="97"/>
      <c r="K262" s="97"/>
      <c r="L262" s="97"/>
      <c r="M262" s="97"/>
      <c r="N262" s="99"/>
      <c r="O262" s="97"/>
      <c r="P262" s="99"/>
      <c r="Q262" s="97"/>
      <c r="R262" s="97"/>
      <c r="S262" s="97"/>
      <c r="T262" s="97"/>
      <c r="U262" s="97"/>
      <c r="V262" s="97"/>
      <c r="W262" s="97"/>
      <c r="X262" s="97"/>
      <c r="Y262" s="97"/>
      <c r="Z262" s="97"/>
      <c r="AA262" s="97"/>
      <c r="AB262" s="97"/>
      <c r="AC262" s="97"/>
      <c r="AD262" s="97"/>
      <c r="AE262" s="97"/>
      <c r="AF262" s="97"/>
      <c r="AG262" s="97"/>
      <c r="AH262" s="97"/>
      <c r="AI262" s="97"/>
      <c r="AJ262" s="97"/>
      <c r="AK262" s="97"/>
      <c r="AL262" s="97"/>
      <c r="AM262" s="97"/>
      <c r="AN262" s="97"/>
      <c r="AO262" s="97"/>
      <c r="AP262" s="97"/>
      <c r="AQ262" s="97"/>
      <c r="AR262" s="97"/>
      <c r="AS262" s="97"/>
      <c r="AT262" s="97"/>
      <c r="AU262" s="97"/>
      <c r="AV262" s="107"/>
      <c r="AW262" s="107"/>
      <c r="AX262" s="107"/>
      <c r="AY262" s="107"/>
      <c r="AZ262" s="107"/>
    </row>
    <row r="263" spans="2:52">
      <c r="B263" s="98"/>
      <c r="C263" s="98"/>
      <c r="D263" s="97"/>
      <c r="E263" s="97"/>
      <c r="F263" s="97"/>
      <c r="G263" s="97"/>
      <c r="H263" s="97"/>
      <c r="I263" s="97"/>
      <c r="J263" s="97"/>
      <c r="K263" s="97"/>
      <c r="L263" s="97"/>
      <c r="M263" s="97"/>
      <c r="N263" s="99"/>
      <c r="O263" s="97"/>
      <c r="P263" s="99"/>
      <c r="Q263" s="97"/>
      <c r="R263" s="97"/>
      <c r="S263" s="97"/>
      <c r="T263" s="97"/>
      <c r="U263" s="97"/>
      <c r="V263" s="97"/>
      <c r="W263" s="97"/>
      <c r="X263" s="97"/>
      <c r="Y263" s="97"/>
      <c r="Z263" s="97"/>
      <c r="AA263" s="97"/>
      <c r="AB263" s="97"/>
      <c r="AC263" s="97"/>
      <c r="AD263" s="97"/>
      <c r="AE263" s="97"/>
      <c r="AF263" s="97"/>
      <c r="AG263" s="97"/>
      <c r="AH263" s="97"/>
      <c r="AI263" s="97"/>
      <c r="AJ263" s="97"/>
      <c r="AK263" s="97"/>
      <c r="AL263" s="97"/>
      <c r="AM263" s="97"/>
      <c r="AN263" s="97"/>
      <c r="AO263" s="97"/>
      <c r="AP263" s="97"/>
      <c r="AQ263" s="97"/>
      <c r="AR263" s="97"/>
      <c r="AS263" s="97"/>
      <c r="AT263" s="97"/>
      <c r="AU263" s="97"/>
      <c r="AV263" s="107"/>
      <c r="AW263" s="107"/>
      <c r="AX263" s="107"/>
      <c r="AY263" s="107"/>
      <c r="AZ263" s="107"/>
    </row>
    <row r="264" spans="2:52">
      <c r="B264" s="98"/>
      <c r="C264" s="98"/>
      <c r="D264" s="97"/>
      <c r="E264" s="97"/>
      <c r="F264" s="97"/>
      <c r="G264" s="97"/>
      <c r="H264" s="97"/>
      <c r="I264" s="97"/>
      <c r="J264" s="97"/>
      <c r="K264" s="97"/>
      <c r="L264" s="97"/>
      <c r="M264" s="97"/>
      <c r="N264" s="99"/>
      <c r="O264" s="97"/>
      <c r="P264" s="99"/>
      <c r="Q264" s="97"/>
      <c r="R264" s="97"/>
      <c r="S264" s="97"/>
      <c r="T264" s="97"/>
      <c r="U264" s="97"/>
      <c r="V264" s="97"/>
      <c r="W264" s="97"/>
      <c r="X264" s="97"/>
      <c r="Y264" s="97"/>
      <c r="Z264" s="97"/>
      <c r="AA264" s="97"/>
      <c r="AB264" s="97"/>
      <c r="AC264" s="97"/>
      <c r="AD264" s="97"/>
      <c r="AE264" s="97"/>
      <c r="AF264" s="97"/>
      <c r="AG264" s="97"/>
      <c r="AH264" s="97"/>
      <c r="AI264" s="97"/>
      <c r="AJ264" s="97"/>
      <c r="AK264" s="97"/>
      <c r="AL264" s="97"/>
      <c r="AM264" s="97"/>
      <c r="AN264" s="97"/>
      <c r="AO264" s="97"/>
      <c r="AP264" s="97"/>
      <c r="AQ264" s="97"/>
      <c r="AR264" s="97"/>
      <c r="AS264" s="97"/>
      <c r="AT264" s="97"/>
      <c r="AU264" s="97"/>
      <c r="AV264" s="107"/>
      <c r="AW264" s="107"/>
      <c r="AX264" s="107"/>
      <c r="AY264" s="107"/>
      <c r="AZ264" s="107"/>
    </row>
    <row r="265" spans="2:52">
      <c r="B265" s="98"/>
      <c r="C265" s="98"/>
      <c r="D265" s="97"/>
      <c r="E265" s="97"/>
      <c r="F265" s="97"/>
      <c r="G265" s="97"/>
      <c r="H265" s="97"/>
      <c r="I265" s="97"/>
      <c r="J265" s="97"/>
      <c r="K265" s="97"/>
      <c r="L265" s="97"/>
      <c r="M265" s="97"/>
      <c r="N265" s="99"/>
      <c r="O265" s="97"/>
      <c r="P265" s="99"/>
      <c r="Q265" s="97"/>
      <c r="R265" s="97"/>
      <c r="S265" s="97"/>
      <c r="T265" s="97"/>
      <c r="U265" s="97"/>
      <c r="V265" s="97"/>
      <c r="W265" s="97"/>
      <c r="X265" s="97"/>
      <c r="Y265" s="97"/>
      <c r="Z265" s="97"/>
      <c r="AA265" s="97"/>
      <c r="AB265" s="97"/>
      <c r="AC265" s="97"/>
      <c r="AD265" s="97"/>
      <c r="AE265" s="97"/>
      <c r="AF265" s="97"/>
      <c r="AG265" s="97"/>
      <c r="AH265" s="97"/>
      <c r="AI265" s="97"/>
      <c r="AJ265" s="97"/>
      <c r="AK265" s="97"/>
      <c r="AL265" s="97"/>
      <c r="AM265" s="97"/>
      <c r="AN265" s="97"/>
      <c r="AO265" s="97"/>
      <c r="AP265" s="97"/>
      <c r="AQ265" s="97"/>
      <c r="AR265" s="97"/>
      <c r="AS265" s="97"/>
      <c r="AT265" s="97"/>
      <c r="AU265" s="97"/>
      <c r="AV265" s="107"/>
      <c r="AW265" s="107"/>
      <c r="AX265" s="107"/>
      <c r="AY265" s="107"/>
      <c r="AZ265" s="107"/>
    </row>
    <row r="266" spans="2:52">
      <c r="B266" s="98"/>
      <c r="C266" s="98"/>
      <c r="D266" s="97"/>
      <c r="E266" s="97"/>
      <c r="F266" s="97"/>
      <c r="G266" s="97"/>
      <c r="H266" s="97"/>
      <c r="I266" s="97"/>
      <c r="J266" s="97"/>
      <c r="K266" s="97"/>
      <c r="L266" s="97"/>
      <c r="M266" s="97"/>
      <c r="N266" s="99"/>
      <c r="O266" s="97"/>
      <c r="P266" s="99"/>
      <c r="Q266" s="97"/>
      <c r="R266" s="97"/>
      <c r="S266" s="97"/>
      <c r="T266" s="97"/>
      <c r="U266" s="97"/>
      <c r="V266" s="97"/>
      <c r="W266" s="97"/>
      <c r="X266" s="97"/>
      <c r="Y266" s="97"/>
      <c r="Z266" s="97"/>
      <c r="AA266" s="97"/>
      <c r="AB266" s="97"/>
      <c r="AC266" s="97"/>
      <c r="AD266" s="97"/>
      <c r="AE266" s="97"/>
      <c r="AF266" s="97"/>
      <c r="AG266" s="97"/>
      <c r="AH266" s="97"/>
      <c r="AI266" s="97"/>
      <c r="AJ266" s="97"/>
      <c r="AK266" s="97"/>
      <c r="AL266" s="97"/>
      <c r="AM266" s="97"/>
      <c r="AN266" s="97"/>
      <c r="AO266" s="97"/>
      <c r="AP266" s="97"/>
      <c r="AQ266" s="97"/>
      <c r="AR266" s="97"/>
      <c r="AS266" s="97"/>
      <c r="AT266" s="97"/>
      <c r="AU266" s="97"/>
      <c r="AV266" s="107"/>
      <c r="AW266" s="107"/>
      <c r="AX266" s="107"/>
      <c r="AY266" s="107"/>
      <c r="AZ266" s="107"/>
    </row>
    <row r="267" spans="2:52">
      <c r="B267" s="98"/>
      <c r="C267" s="98"/>
      <c r="D267" s="97"/>
      <c r="E267" s="97"/>
      <c r="F267" s="97"/>
      <c r="G267" s="97"/>
      <c r="H267" s="97"/>
      <c r="I267" s="97"/>
      <c r="J267" s="97"/>
      <c r="K267" s="97"/>
      <c r="L267" s="97"/>
      <c r="M267" s="97"/>
      <c r="N267" s="99"/>
      <c r="O267" s="97"/>
      <c r="P267" s="99"/>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107"/>
      <c r="AW267" s="107"/>
      <c r="AX267" s="107"/>
      <c r="AY267" s="107"/>
      <c r="AZ267" s="107"/>
    </row>
    <row r="268" spans="2:52">
      <c r="B268" s="98"/>
      <c r="C268" s="98"/>
      <c r="D268" s="97"/>
      <c r="E268" s="97"/>
      <c r="F268" s="97"/>
      <c r="G268" s="97"/>
      <c r="H268" s="97"/>
      <c r="I268" s="97"/>
      <c r="J268" s="97"/>
      <c r="K268" s="97"/>
      <c r="L268" s="97"/>
      <c r="M268" s="97"/>
      <c r="N268" s="99"/>
      <c r="O268" s="97"/>
      <c r="P268" s="99"/>
      <c r="Q268" s="97"/>
      <c r="R268" s="97"/>
      <c r="S268" s="97"/>
      <c r="T268" s="97"/>
      <c r="U268" s="97"/>
      <c r="V268" s="97"/>
      <c r="W268" s="97"/>
      <c r="X268" s="97"/>
      <c r="Y268" s="97"/>
      <c r="Z268" s="97"/>
      <c r="AA268" s="97"/>
      <c r="AB268" s="97"/>
      <c r="AC268" s="97"/>
      <c r="AD268" s="97"/>
      <c r="AE268" s="97"/>
      <c r="AF268" s="97"/>
      <c r="AG268" s="97"/>
      <c r="AH268" s="97"/>
      <c r="AI268" s="97"/>
      <c r="AJ268" s="97"/>
      <c r="AK268" s="97"/>
      <c r="AL268" s="97"/>
      <c r="AM268" s="97"/>
      <c r="AN268" s="97"/>
      <c r="AO268" s="97"/>
      <c r="AP268" s="97"/>
      <c r="AQ268" s="97"/>
      <c r="AR268" s="97"/>
      <c r="AS268" s="97"/>
      <c r="AT268" s="97"/>
      <c r="AU268" s="97"/>
      <c r="AV268" s="107"/>
      <c r="AW268" s="107"/>
      <c r="AX268" s="107"/>
      <c r="AY268" s="107"/>
      <c r="AZ268" s="107"/>
    </row>
    <row r="269" spans="2:52">
      <c r="B269" s="98"/>
      <c r="C269" s="98"/>
      <c r="D269" s="97"/>
      <c r="E269" s="97"/>
      <c r="F269" s="97"/>
      <c r="G269" s="97"/>
      <c r="H269" s="97"/>
      <c r="I269" s="97"/>
      <c r="J269" s="97"/>
      <c r="K269" s="97"/>
      <c r="L269" s="97"/>
      <c r="M269" s="97"/>
      <c r="N269" s="99"/>
      <c r="O269" s="97"/>
      <c r="P269" s="99"/>
      <c r="Q269" s="97"/>
      <c r="R269" s="97"/>
      <c r="S269" s="97"/>
      <c r="T269" s="97"/>
      <c r="U269" s="97"/>
      <c r="V269" s="97"/>
      <c r="W269" s="97"/>
      <c r="X269" s="97"/>
      <c r="Y269" s="97"/>
      <c r="Z269" s="97"/>
      <c r="AA269" s="97"/>
      <c r="AB269" s="97"/>
      <c r="AC269" s="97"/>
      <c r="AD269" s="97"/>
      <c r="AE269" s="97"/>
      <c r="AF269" s="97"/>
      <c r="AG269" s="97"/>
      <c r="AH269" s="97"/>
      <c r="AI269" s="97"/>
      <c r="AJ269" s="97"/>
      <c r="AK269" s="97"/>
      <c r="AL269" s="97"/>
      <c r="AM269" s="97"/>
      <c r="AN269" s="97"/>
      <c r="AO269" s="97"/>
      <c r="AP269" s="97"/>
      <c r="AQ269" s="97"/>
      <c r="AR269" s="97"/>
      <c r="AS269" s="97"/>
      <c r="AT269" s="97"/>
      <c r="AU269" s="97"/>
      <c r="AV269" s="107"/>
      <c r="AW269" s="107"/>
      <c r="AX269" s="107"/>
      <c r="AY269" s="107"/>
      <c r="AZ269" s="107"/>
    </row>
    <row r="270" spans="2:52">
      <c r="B270" s="98"/>
      <c r="C270" s="98"/>
      <c r="D270" s="97"/>
      <c r="E270" s="97"/>
      <c r="F270" s="97"/>
      <c r="G270" s="97"/>
      <c r="H270" s="97"/>
      <c r="I270" s="97"/>
      <c r="J270" s="97"/>
      <c r="K270" s="97"/>
      <c r="L270" s="97"/>
      <c r="M270" s="97"/>
      <c r="N270" s="99"/>
      <c r="O270" s="97"/>
      <c r="P270" s="99"/>
      <c r="Q270" s="97"/>
      <c r="R270" s="97"/>
      <c r="S270" s="97"/>
      <c r="T270" s="97"/>
      <c r="U270" s="97"/>
      <c r="V270" s="97"/>
      <c r="W270" s="97"/>
      <c r="X270" s="97"/>
      <c r="Y270" s="97"/>
      <c r="Z270" s="97"/>
      <c r="AA270" s="97"/>
      <c r="AB270" s="97"/>
      <c r="AC270" s="97"/>
      <c r="AD270" s="97"/>
      <c r="AE270" s="97"/>
      <c r="AF270" s="97"/>
      <c r="AG270" s="97"/>
      <c r="AH270" s="97"/>
      <c r="AI270" s="97"/>
      <c r="AJ270" s="97"/>
      <c r="AK270" s="97"/>
      <c r="AL270" s="97"/>
      <c r="AM270" s="97"/>
      <c r="AN270" s="97"/>
      <c r="AO270" s="97"/>
      <c r="AP270" s="97"/>
      <c r="AQ270" s="97"/>
      <c r="AR270" s="97"/>
      <c r="AS270" s="97"/>
      <c r="AT270" s="97"/>
      <c r="AU270" s="97"/>
      <c r="AV270" s="107"/>
      <c r="AW270" s="107"/>
      <c r="AX270" s="107"/>
      <c r="AY270" s="107"/>
      <c r="AZ270" s="107"/>
    </row>
    <row r="271" spans="2:52">
      <c r="B271" s="98"/>
      <c r="C271" s="98"/>
      <c r="D271" s="97"/>
      <c r="E271" s="97"/>
      <c r="F271" s="97"/>
      <c r="G271" s="97"/>
      <c r="H271" s="97"/>
      <c r="I271" s="97"/>
      <c r="J271" s="97"/>
      <c r="K271" s="97"/>
      <c r="L271" s="97"/>
      <c r="M271" s="97"/>
      <c r="N271" s="99"/>
      <c r="O271" s="97"/>
      <c r="P271" s="99"/>
      <c r="Q271" s="97"/>
      <c r="R271" s="97"/>
      <c r="S271" s="97"/>
      <c r="T271" s="97"/>
      <c r="U271" s="97"/>
      <c r="V271" s="97"/>
      <c r="W271" s="97"/>
      <c r="X271" s="97"/>
      <c r="Y271" s="97"/>
      <c r="Z271" s="97"/>
      <c r="AA271" s="97"/>
      <c r="AB271" s="97"/>
      <c r="AC271" s="97"/>
      <c r="AD271" s="97"/>
      <c r="AE271" s="97"/>
      <c r="AF271" s="97"/>
      <c r="AG271" s="97"/>
      <c r="AH271" s="97"/>
      <c r="AI271" s="97"/>
      <c r="AJ271" s="97"/>
      <c r="AK271" s="97"/>
      <c r="AL271" s="97"/>
      <c r="AM271" s="97"/>
      <c r="AN271" s="97"/>
      <c r="AO271" s="97"/>
      <c r="AP271" s="97"/>
      <c r="AQ271" s="97"/>
      <c r="AR271" s="97"/>
      <c r="AS271" s="97"/>
      <c r="AT271" s="97"/>
      <c r="AU271" s="97"/>
      <c r="AV271" s="107"/>
      <c r="AW271" s="107"/>
      <c r="AX271" s="107"/>
      <c r="AY271" s="107"/>
      <c r="AZ271" s="107"/>
    </row>
    <row r="272" spans="2:52">
      <c r="B272" s="98"/>
      <c r="C272" s="98"/>
      <c r="D272" s="97"/>
      <c r="E272" s="97"/>
      <c r="F272" s="97"/>
      <c r="G272" s="97"/>
      <c r="H272" s="97"/>
      <c r="I272" s="97"/>
      <c r="J272" s="97"/>
      <c r="K272" s="97"/>
      <c r="L272" s="97"/>
      <c r="M272" s="97"/>
      <c r="N272" s="99"/>
      <c r="O272" s="97"/>
      <c r="P272" s="99"/>
      <c r="Q272" s="97"/>
      <c r="R272" s="97"/>
      <c r="S272" s="97"/>
      <c r="T272" s="97"/>
      <c r="U272" s="97"/>
      <c r="V272" s="97"/>
      <c r="W272" s="97"/>
      <c r="X272" s="97"/>
      <c r="Y272" s="97"/>
      <c r="Z272" s="97"/>
      <c r="AA272" s="97"/>
      <c r="AB272" s="97"/>
      <c r="AC272" s="97"/>
      <c r="AD272" s="97"/>
      <c r="AE272" s="97"/>
      <c r="AF272" s="97"/>
      <c r="AG272" s="97"/>
      <c r="AH272" s="97"/>
      <c r="AI272" s="97"/>
      <c r="AJ272" s="97"/>
      <c r="AK272" s="97"/>
      <c r="AL272" s="97"/>
      <c r="AM272" s="97"/>
      <c r="AN272" s="97"/>
      <c r="AO272" s="97"/>
      <c r="AP272" s="97"/>
      <c r="AQ272" s="97"/>
      <c r="AR272" s="97"/>
      <c r="AS272" s="97"/>
      <c r="AT272" s="97"/>
      <c r="AU272" s="97"/>
      <c r="AV272" s="107"/>
      <c r="AW272" s="107"/>
      <c r="AX272" s="107"/>
      <c r="AY272" s="107"/>
      <c r="AZ272" s="107"/>
    </row>
    <row r="273" spans="2:52">
      <c r="B273" s="98"/>
      <c r="C273" s="98"/>
      <c r="D273" s="97"/>
      <c r="E273" s="97"/>
      <c r="F273" s="97"/>
      <c r="G273" s="97"/>
      <c r="H273" s="97"/>
      <c r="I273" s="97"/>
      <c r="J273" s="97"/>
      <c r="K273" s="97"/>
      <c r="L273" s="97"/>
      <c r="M273" s="97"/>
      <c r="N273" s="99"/>
      <c r="O273" s="97"/>
      <c r="P273" s="99"/>
      <c r="Q273" s="97"/>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107"/>
      <c r="AW273" s="107"/>
      <c r="AX273" s="107"/>
      <c r="AY273" s="107"/>
      <c r="AZ273" s="107"/>
    </row>
    <row r="274" spans="2:52">
      <c r="B274" s="98"/>
      <c r="C274" s="98"/>
      <c r="D274" s="97"/>
      <c r="E274" s="97"/>
      <c r="F274" s="97"/>
      <c r="G274" s="97"/>
      <c r="H274" s="97"/>
      <c r="I274" s="97"/>
      <c r="J274" s="97"/>
      <c r="K274" s="97"/>
      <c r="L274" s="97"/>
      <c r="M274" s="97"/>
      <c r="N274" s="99"/>
      <c r="O274" s="97"/>
      <c r="P274" s="99"/>
      <c r="Q274" s="97"/>
      <c r="R274" s="97"/>
      <c r="S274" s="97"/>
      <c r="T274" s="97"/>
      <c r="U274" s="97"/>
      <c r="V274" s="97"/>
      <c r="W274" s="97"/>
      <c r="X274" s="97"/>
      <c r="Y274" s="97"/>
      <c r="Z274" s="97"/>
      <c r="AA274" s="97"/>
      <c r="AB274" s="97"/>
      <c r="AC274" s="97"/>
      <c r="AD274" s="97"/>
      <c r="AE274" s="97"/>
      <c r="AF274" s="97"/>
      <c r="AG274" s="97"/>
      <c r="AH274" s="97"/>
      <c r="AI274" s="97"/>
      <c r="AJ274" s="97"/>
      <c r="AK274" s="97"/>
      <c r="AL274" s="97"/>
      <c r="AM274" s="97"/>
      <c r="AN274" s="97"/>
      <c r="AO274" s="97"/>
      <c r="AP274" s="97"/>
      <c r="AQ274" s="97"/>
      <c r="AR274" s="97"/>
      <c r="AS274" s="97"/>
      <c r="AT274" s="97"/>
      <c r="AU274" s="97"/>
      <c r="AV274" s="107"/>
      <c r="AW274" s="107"/>
      <c r="AX274" s="107"/>
      <c r="AY274" s="107"/>
      <c r="AZ274" s="107"/>
    </row>
    <row r="275" spans="2:52">
      <c r="B275" s="98"/>
      <c r="C275" s="98"/>
      <c r="D275" s="97"/>
      <c r="E275" s="97"/>
      <c r="F275" s="97"/>
      <c r="G275" s="97"/>
      <c r="H275" s="97"/>
      <c r="I275" s="97"/>
      <c r="J275" s="97"/>
      <c r="K275" s="97"/>
      <c r="L275" s="97"/>
      <c r="M275" s="97"/>
      <c r="N275" s="99"/>
      <c r="O275" s="97"/>
      <c r="P275" s="99"/>
      <c r="Q275" s="97"/>
      <c r="R275" s="97"/>
      <c r="S275" s="97"/>
      <c r="T275" s="97"/>
      <c r="U275" s="97"/>
      <c r="V275" s="97"/>
      <c r="W275" s="97"/>
      <c r="X275" s="97"/>
      <c r="Y275" s="97"/>
      <c r="Z275" s="97"/>
      <c r="AA275" s="97"/>
      <c r="AB275" s="97"/>
      <c r="AC275" s="97"/>
      <c r="AD275" s="97"/>
      <c r="AE275" s="97"/>
      <c r="AF275" s="97"/>
      <c r="AG275" s="97"/>
      <c r="AH275" s="97"/>
      <c r="AI275" s="97"/>
      <c r="AJ275" s="97"/>
      <c r="AK275" s="97"/>
      <c r="AL275" s="97"/>
      <c r="AM275" s="97"/>
      <c r="AN275" s="97"/>
      <c r="AO275" s="97"/>
      <c r="AP275" s="97"/>
      <c r="AQ275" s="97"/>
      <c r="AR275" s="97"/>
      <c r="AS275" s="97"/>
      <c r="AT275" s="97"/>
      <c r="AU275" s="97"/>
      <c r="AV275" s="107"/>
      <c r="AW275" s="107"/>
      <c r="AX275" s="107"/>
      <c r="AY275" s="107"/>
      <c r="AZ275" s="107"/>
    </row>
    <row r="276" spans="2:52">
      <c r="B276" s="98"/>
      <c r="C276" s="98"/>
      <c r="D276" s="97"/>
      <c r="E276" s="97"/>
      <c r="F276" s="97"/>
      <c r="G276" s="97"/>
      <c r="H276" s="97"/>
      <c r="I276" s="97"/>
      <c r="J276" s="97"/>
      <c r="K276" s="97"/>
      <c r="L276" s="97"/>
      <c r="M276" s="97"/>
      <c r="N276" s="99"/>
      <c r="O276" s="97"/>
      <c r="P276" s="99"/>
      <c r="Q276" s="97"/>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107"/>
      <c r="AW276" s="107"/>
      <c r="AX276" s="107"/>
      <c r="AY276" s="107"/>
      <c r="AZ276" s="107"/>
    </row>
    <row r="277" spans="2:52">
      <c r="B277" s="98"/>
      <c r="C277" s="98"/>
      <c r="D277" s="97"/>
      <c r="E277" s="97"/>
      <c r="F277" s="97"/>
      <c r="G277" s="97"/>
      <c r="H277" s="97"/>
      <c r="I277" s="97"/>
      <c r="J277" s="97"/>
      <c r="K277" s="97"/>
      <c r="L277" s="97"/>
      <c r="M277" s="97"/>
      <c r="N277" s="99"/>
      <c r="O277" s="97"/>
      <c r="P277" s="99"/>
      <c r="Q277" s="97"/>
      <c r="R277" s="97"/>
      <c r="S277" s="97"/>
      <c r="T277" s="97"/>
      <c r="U277" s="97"/>
      <c r="V277" s="97"/>
      <c r="W277" s="97"/>
      <c r="X277" s="97"/>
      <c r="Y277" s="97"/>
      <c r="Z277" s="97"/>
      <c r="AA277" s="97"/>
      <c r="AB277" s="97"/>
      <c r="AC277" s="97"/>
      <c r="AD277" s="97"/>
      <c r="AE277" s="97"/>
      <c r="AF277" s="97"/>
      <c r="AG277" s="97"/>
      <c r="AH277" s="97"/>
      <c r="AI277" s="97"/>
      <c r="AJ277" s="97"/>
      <c r="AK277" s="97"/>
      <c r="AL277" s="97"/>
      <c r="AM277" s="97"/>
      <c r="AN277" s="97"/>
      <c r="AO277" s="97"/>
      <c r="AP277" s="97"/>
      <c r="AQ277" s="97"/>
      <c r="AR277" s="97"/>
      <c r="AS277" s="97"/>
      <c r="AT277" s="97"/>
      <c r="AU277" s="97"/>
      <c r="AV277" s="107"/>
      <c r="AW277" s="107"/>
      <c r="AX277" s="107"/>
      <c r="AY277" s="107"/>
      <c r="AZ277" s="107"/>
    </row>
    <row r="278" spans="2:52">
      <c r="B278" s="98"/>
      <c r="C278" s="98"/>
      <c r="D278" s="97"/>
      <c r="E278" s="97"/>
      <c r="F278" s="97"/>
      <c r="G278" s="97"/>
      <c r="H278" s="97"/>
      <c r="I278" s="97"/>
      <c r="J278" s="97"/>
      <c r="K278" s="97"/>
      <c r="L278" s="97"/>
      <c r="M278" s="97"/>
      <c r="N278" s="99"/>
      <c r="O278" s="97"/>
      <c r="P278" s="99"/>
      <c r="Q278" s="97"/>
      <c r="R278" s="97"/>
      <c r="S278" s="97"/>
      <c r="T278" s="97"/>
      <c r="U278" s="97"/>
      <c r="V278" s="97"/>
      <c r="W278" s="97"/>
      <c r="X278" s="97"/>
      <c r="Y278" s="97"/>
      <c r="Z278" s="97"/>
      <c r="AA278" s="97"/>
      <c r="AB278" s="97"/>
      <c r="AC278" s="97"/>
      <c r="AD278" s="97"/>
      <c r="AE278" s="97"/>
      <c r="AF278" s="97"/>
      <c r="AG278" s="97"/>
      <c r="AH278" s="97"/>
      <c r="AI278" s="97"/>
      <c r="AJ278" s="97"/>
      <c r="AK278" s="97"/>
      <c r="AL278" s="97"/>
      <c r="AM278" s="97"/>
      <c r="AN278" s="97"/>
      <c r="AO278" s="97"/>
      <c r="AP278" s="97"/>
      <c r="AQ278" s="97"/>
      <c r="AR278" s="97"/>
      <c r="AS278" s="97"/>
      <c r="AT278" s="97"/>
      <c r="AU278" s="97"/>
      <c r="AV278" s="107"/>
      <c r="AW278" s="107"/>
      <c r="AX278" s="107"/>
      <c r="AY278" s="107"/>
      <c r="AZ278" s="107"/>
    </row>
    <row r="279" spans="2:52">
      <c r="B279" s="98"/>
      <c r="C279" s="98"/>
      <c r="D279" s="97"/>
      <c r="E279" s="97"/>
      <c r="F279" s="97"/>
      <c r="G279" s="97"/>
      <c r="H279" s="97"/>
      <c r="I279" s="97"/>
      <c r="J279" s="97"/>
      <c r="K279" s="97"/>
      <c r="L279" s="97"/>
      <c r="M279" s="97"/>
      <c r="N279" s="99"/>
      <c r="O279" s="97"/>
      <c r="P279" s="99"/>
      <c r="Q279" s="97"/>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107"/>
      <c r="AW279" s="107"/>
      <c r="AX279" s="107"/>
      <c r="AY279" s="107"/>
      <c r="AZ279" s="107"/>
    </row>
    <row r="280" spans="2:52">
      <c r="B280" s="98"/>
      <c r="C280" s="98"/>
      <c r="D280" s="97"/>
      <c r="E280" s="97"/>
      <c r="F280" s="97"/>
      <c r="G280" s="97"/>
      <c r="H280" s="97"/>
      <c r="I280" s="97"/>
      <c r="J280" s="97"/>
      <c r="K280" s="97"/>
      <c r="L280" s="97"/>
      <c r="M280" s="97"/>
      <c r="N280" s="99"/>
      <c r="O280" s="97"/>
      <c r="P280" s="99"/>
      <c r="Q280" s="97"/>
      <c r="R280" s="97"/>
      <c r="S280" s="97"/>
      <c r="T280" s="97"/>
      <c r="U280" s="97"/>
      <c r="V280" s="97"/>
      <c r="W280" s="97"/>
      <c r="X280" s="97"/>
      <c r="Y280" s="97"/>
      <c r="Z280" s="97"/>
      <c r="AA280" s="97"/>
      <c r="AB280" s="97"/>
      <c r="AC280" s="97"/>
      <c r="AD280" s="97"/>
      <c r="AE280" s="97"/>
      <c r="AF280" s="97"/>
      <c r="AG280" s="97"/>
      <c r="AH280" s="97"/>
      <c r="AI280" s="97"/>
      <c r="AJ280" s="97"/>
      <c r="AK280" s="97"/>
      <c r="AL280" s="97"/>
      <c r="AM280" s="97"/>
      <c r="AN280" s="97"/>
      <c r="AO280" s="97"/>
      <c r="AP280" s="97"/>
      <c r="AQ280" s="97"/>
      <c r="AR280" s="97"/>
      <c r="AS280" s="97"/>
      <c r="AT280" s="97"/>
      <c r="AU280" s="97"/>
      <c r="AV280" s="107"/>
      <c r="AW280" s="107"/>
      <c r="AX280" s="107"/>
      <c r="AY280" s="107"/>
      <c r="AZ280" s="107"/>
    </row>
    <row r="281" spans="2:52">
      <c r="B281" s="98"/>
      <c r="C281" s="98"/>
      <c r="D281" s="97"/>
      <c r="E281" s="97"/>
      <c r="F281" s="97"/>
      <c r="G281" s="97"/>
      <c r="H281" s="97"/>
      <c r="I281" s="97"/>
      <c r="J281" s="97"/>
      <c r="K281" s="97"/>
      <c r="L281" s="97"/>
      <c r="M281" s="97"/>
      <c r="N281" s="99"/>
      <c r="O281" s="97"/>
      <c r="P281" s="99"/>
      <c r="Q281" s="97"/>
      <c r="R281" s="97"/>
      <c r="S281" s="97"/>
      <c r="T281" s="97"/>
      <c r="U281" s="97"/>
      <c r="V281" s="97"/>
      <c r="W281" s="97"/>
      <c r="X281" s="97"/>
      <c r="Y281" s="97"/>
      <c r="Z281" s="97"/>
      <c r="AA281" s="97"/>
      <c r="AB281" s="97"/>
      <c r="AC281" s="97"/>
      <c r="AD281" s="97"/>
      <c r="AE281" s="97"/>
      <c r="AF281" s="97"/>
      <c r="AG281" s="97"/>
      <c r="AH281" s="97"/>
      <c r="AI281" s="97"/>
      <c r="AJ281" s="97"/>
      <c r="AK281" s="97"/>
      <c r="AL281" s="97"/>
      <c r="AM281" s="97"/>
      <c r="AN281" s="97"/>
      <c r="AO281" s="97"/>
      <c r="AP281" s="97"/>
      <c r="AQ281" s="97"/>
      <c r="AR281" s="97"/>
      <c r="AS281" s="97"/>
      <c r="AT281" s="97"/>
      <c r="AU281" s="97"/>
      <c r="AV281" s="107"/>
      <c r="AW281" s="107"/>
      <c r="AX281" s="107"/>
      <c r="AY281" s="107"/>
      <c r="AZ281" s="107"/>
    </row>
    <row r="282" spans="2:52">
      <c r="B282" s="98"/>
      <c r="C282" s="98"/>
      <c r="D282" s="97"/>
      <c r="E282" s="97"/>
      <c r="F282" s="97"/>
      <c r="G282" s="97"/>
      <c r="H282" s="97"/>
      <c r="I282" s="97"/>
      <c r="J282" s="97"/>
      <c r="K282" s="97"/>
      <c r="L282" s="97"/>
      <c r="M282" s="97"/>
      <c r="N282" s="99"/>
      <c r="O282" s="97"/>
      <c r="P282" s="99"/>
      <c r="Q282" s="97"/>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107"/>
      <c r="AW282" s="107"/>
      <c r="AX282" s="107"/>
      <c r="AY282" s="107"/>
      <c r="AZ282" s="107"/>
    </row>
    <row r="283" spans="2:52">
      <c r="B283" s="98"/>
      <c r="C283" s="98"/>
      <c r="D283" s="97"/>
      <c r="E283" s="97"/>
      <c r="F283" s="97"/>
      <c r="G283" s="97"/>
      <c r="H283" s="97"/>
      <c r="I283" s="97"/>
      <c r="J283" s="97"/>
      <c r="K283" s="97"/>
      <c r="L283" s="97"/>
      <c r="M283" s="97"/>
      <c r="N283" s="99"/>
      <c r="O283" s="97"/>
      <c r="P283" s="99"/>
      <c r="Q283" s="97"/>
      <c r="R283" s="97"/>
      <c r="S283" s="97"/>
      <c r="T283" s="97"/>
      <c r="U283" s="97"/>
      <c r="V283" s="97"/>
      <c r="W283" s="97"/>
      <c r="X283" s="97"/>
      <c r="Y283" s="97"/>
      <c r="Z283" s="97"/>
      <c r="AA283" s="97"/>
      <c r="AB283" s="97"/>
      <c r="AC283" s="97"/>
      <c r="AD283" s="97"/>
      <c r="AE283" s="97"/>
      <c r="AF283" s="97"/>
      <c r="AG283" s="97"/>
      <c r="AH283" s="97"/>
      <c r="AI283" s="97"/>
      <c r="AJ283" s="97"/>
      <c r="AK283" s="97"/>
      <c r="AL283" s="97"/>
      <c r="AM283" s="97"/>
      <c r="AN283" s="97"/>
      <c r="AO283" s="97"/>
      <c r="AP283" s="97"/>
      <c r="AQ283" s="97"/>
      <c r="AR283" s="97"/>
      <c r="AS283" s="97"/>
      <c r="AT283" s="97"/>
      <c r="AU283" s="97"/>
      <c r="AV283" s="107"/>
      <c r="AW283" s="107"/>
      <c r="AX283" s="107"/>
      <c r="AY283" s="107"/>
      <c r="AZ283" s="107"/>
    </row>
    <row r="284" spans="2:52">
      <c r="B284" s="98"/>
      <c r="C284" s="98"/>
      <c r="D284" s="97"/>
      <c r="E284" s="97"/>
      <c r="F284" s="97"/>
      <c r="G284" s="97"/>
      <c r="H284" s="97"/>
      <c r="I284" s="97"/>
      <c r="J284" s="97"/>
      <c r="K284" s="97"/>
      <c r="L284" s="97"/>
      <c r="M284" s="97"/>
      <c r="N284" s="99"/>
      <c r="O284" s="97"/>
      <c r="P284" s="99"/>
      <c r="Q284" s="97"/>
      <c r="R284" s="97"/>
      <c r="S284" s="97"/>
      <c r="T284" s="97"/>
      <c r="U284" s="97"/>
      <c r="V284" s="97"/>
      <c r="W284" s="97"/>
      <c r="X284" s="97"/>
      <c r="Y284" s="97"/>
      <c r="Z284" s="97"/>
      <c r="AA284" s="97"/>
      <c r="AB284" s="97"/>
      <c r="AC284" s="97"/>
      <c r="AD284" s="97"/>
      <c r="AE284" s="97"/>
      <c r="AF284" s="97"/>
      <c r="AG284" s="97"/>
      <c r="AH284" s="97"/>
      <c r="AI284" s="97"/>
      <c r="AJ284" s="97"/>
      <c r="AK284" s="97"/>
      <c r="AL284" s="97"/>
      <c r="AM284" s="97"/>
      <c r="AN284" s="97"/>
      <c r="AO284" s="97"/>
      <c r="AP284" s="97"/>
      <c r="AQ284" s="97"/>
      <c r="AR284" s="97"/>
      <c r="AS284" s="97"/>
      <c r="AT284" s="97"/>
      <c r="AU284" s="97"/>
      <c r="AV284" s="107"/>
      <c r="AW284" s="107"/>
      <c r="AX284" s="107"/>
      <c r="AY284" s="107"/>
      <c r="AZ284" s="107"/>
    </row>
    <row r="285" spans="2:52">
      <c r="B285" s="98"/>
      <c r="C285" s="98"/>
      <c r="D285" s="97"/>
      <c r="E285" s="97"/>
      <c r="F285" s="97"/>
      <c r="G285" s="97"/>
      <c r="H285" s="97"/>
      <c r="I285" s="97"/>
      <c r="J285" s="97"/>
      <c r="K285" s="97"/>
      <c r="L285" s="97"/>
      <c r="M285" s="97"/>
      <c r="N285" s="99"/>
      <c r="O285" s="97"/>
      <c r="P285" s="99"/>
      <c r="Q285" s="97"/>
      <c r="R285" s="97"/>
      <c r="S285" s="97"/>
      <c r="T285" s="97"/>
      <c r="U285" s="97"/>
      <c r="V285" s="97"/>
      <c r="W285" s="97"/>
      <c r="X285" s="97"/>
      <c r="Y285" s="97"/>
      <c r="Z285" s="97"/>
      <c r="AA285" s="97"/>
      <c r="AB285" s="97"/>
      <c r="AC285" s="97"/>
      <c r="AD285" s="97"/>
      <c r="AE285" s="97"/>
      <c r="AF285" s="97"/>
      <c r="AG285" s="97"/>
      <c r="AH285" s="97"/>
      <c r="AI285" s="97"/>
      <c r="AJ285" s="97"/>
      <c r="AK285" s="97"/>
      <c r="AL285" s="97"/>
      <c r="AM285" s="97"/>
      <c r="AN285" s="97"/>
      <c r="AO285" s="97"/>
      <c r="AP285" s="97"/>
      <c r="AQ285" s="97"/>
      <c r="AR285" s="97"/>
      <c r="AS285" s="97"/>
      <c r="AT285" s="97"/>
      <c r="AU285" s="97"/>
      <c r="AV285" s="107"/>
      <c r="AW285" s="107"/>
      <c r="AX285" s="107"/>
      <c r="AY285" s="107"/>
      <c r="AZ285" s="107"/>
    </row>
    <row r="286" spans="2:52">
      <c r="B286" s="98"/>
      <c r="C286" s="98"/>
      <c r="D286" s="97"/>
      <c r="E286" s="97"/>
      <c r="F286" s="97"/>
      <c r="G286" s="97"/>
      <c r="H286" s="97"/>
      <c r="I286" s="97"/>
      <c r="J286" s="97"/>
      <c r="K286" s="97"/>
      <c r="L286" s="97"/>
      <c r="M286" s="97"/>
      <c r="N286" s="99"/>
      <c r="O286" s="97"/>
      <c r="P286" s="99"/>
      <c r="Q286" s="97"/>
      <c r="R286" s="97"/>
      <c r="S286" s="97"/>
      <c r="T286" s="97"/>
      <c r="U286" s="97"/>
      <c r="V286" s="97"/>
      <c r="W286" s="97"/>
      <c r="X286" s="97"/>
      <c r="Y286" s="97"/>
      <c r="Z286" s="97"/>
      <c r="AA286" s="97"/>
      <c r="AB286" s="97"/>
      <c r="AC286" s="97"/>
      <c r="AD286" s="97"/>
      <c r="AE286" s="97"/>
      <c r="AF286" s="97"/>
      <c r="AG286" s="97"/>
      <c r="AH286" s="97"/>
      <c r="AI286" s="97"/>
      <c r="AJ286" s="97"/>
      <c r="AK286" s="97"/>
      <c r="AL286" s="97"/>
      <c r="AM286" s="97"/>
      <c r="AN286" s="97"/>
      <c r="AO286" s="97"/>
      <c r="AP286" s="97"/>
      <c r="AQ286" s="97"/>
      <c r="AR286" s="97"/>
      <c r="AS286" s="97"/>
      <c r="AT286" s="97"/>
      <c r="AU286" s="97"/>
      <c r="AV286" s="107"/>
      <c r="AW286" s="107"/>
      <c r="AX286" s="107"/>
      <c r="AY286" s="107"/>
      <c r="AZ286" s="107"/>
    </row>
    <row r="287" spans="2:52">
      <c r="B287" s="98"/>
      <c r="C287" s="98"/>
      <c r="D287" s="97"/>
      <c r="E287" s="97"/>
      <c r="F287" s="97"/>
      <c r="G287" s="97"/>
      <c r="H287" s="97"/>
      <c r="I287" s="97"/>
      <c r="J287" s="97"/>
      <c r="K287" s="97"/>
      <c r="L287" s="97"/>
      <c r="M287" s="97"/>
      <c r="N287" s="99"/>
      <c r="O287" s="97"/>
      <c r="P287" s="99"/>
      <c r="Q287" s="97"/>
      <c r="R287" s="97"/>
      <c r="S287" s="97"/>
      <c r="T287" s="97"/>
      <c r="U287" s="97"/>
      <c r="V287" s="97"/>
      <c r="W287" s="97"/>
      <c r="X287" s="97"/>
      <c r="Y287" s="97"/>
      <c r="Z287" s="97"/>
      <c r="AA287" s="97"/>
      <c r="AB287" s="97"/>
      <c r="AC287" s="97"/>
      <c r="AD287" s="97"/>
      <c r="AE287" s="97"/>
      <c r="AF287" s="97"/>
      <c r="AG287" s="97"/>
      <c r="AH287" s="97"/>
      <c r="AI287" s="97"/>
      <c r="AJ287" s="97"/>
      <c r="AK287" s="97"/>
      <c r="AL287" s="97"/>
      <c r="AM287" s="97"/>
      <c r="AN287" s="97"/>
      <c r="AO287" s="97"/>
      <c r="AP287" s="97"/>
      <c r="AQ287" s="97"/>
      <c r="AR287" s="97"/>
      <c r="AS287" s="97"/>
      <c r="AT287" s="97"/>
      <c r="AU287" s="97"/>
      <c r="AV287" s="107"/>
      <c r="AW287" s="107"/>
      <c r="AX287" s="107"/>
      <c r="AY287" s="107"/>
      <c r="AZ287" s="107"/>
    </row>
    <row r="288" spans="2:52">
      <c r="B288" s="98"/>
      <c r="C288" s="98"/>
      <c r="D288" s="97"/>
      <c r="E288" s="97"/>
      <c r="F288" s="97"/>
      <c r="G288" s="97"/>
      <c r="H288" s="97"/>
      <c r="I288" s="97"/>
      <c r="J288" s="97"/>
      <c r="K288" s="97"/>
      <c r="L288" s="97"/>
      <c r="M288" s="97"/>
      <c r="N288" s="99"/>
      <c r="O288" s="97"/>
      <c r="P288" s="99"/>
      <c r="Q288" s="97"/>
      <c r="R288" s="97"/>
      <c r="S288" s="97"/>
      <c r="T288" s="97"/>
      <c r="U288" s="97"/>
      <c r="V288" s="97"/>
      <c r="W288" s="97"/>
      <c r="X288" s="97"/>
      <c r="Y288" s="97"/>
      <c r="Z288" s="97"/>
      <c r="AA288" s="97"/>
      <c r="AB288" s="97"/>
      <c r="AC288" s="97"/>
      <c r="AD288" s="97"/>
      <c r="AE288" s="97"/>
      <c r="AF288" s="97"/>
      <c r="AG288" s="97"/>
      <c r="AH288" s="97"/>
      <c r="AI288" s="97"/>
      <c r="AJ288" s="97"/>
      <c r="AK288" s="97"/>
      <c r="AL288" s="97"/>
      <c r="AM288" s="97"/>
      <c r="AN288" s="97"/>
      <c r="AO288" s="97"/>
      <c r="AP288" s="97"/>
      <c r="AQ288" s="97"/>
      <c r="AR288" s="97"/>
      <c r="AS288" s="97"/>
      <c r="AT288" s="97"/>
      <c r="AU288" s="97"/>
      <c r="AV288" s="107"/>
      <c r="AW288" s="107"/>
      <c r="AX288" s="107"/>
      <c r="AY288" s="107"/>
      <c r="AZ288" s="107"/>
    </row>
    <row r="289" spans="2:52">
      <c r="B289" s="98"/>
      <c r="C289" s="98"/>
      <c r="D289" s="97"/>
      <c r="E289" s="97"/>
      <c r="F289" s="97"/>
      <c r="G289" s="97"/>
      <c r="H289" s="97"/>
      <c r="I289" s="97"/>
      <c r="J289" s="97"/>
      <c r="K289" s="97"/>
      <c r="L289" s="97"/>
      <c r="M289" s="97"/>
      <c r="N289" s="99"/>
      <c r="O289" s="97"/>
      <c r="P289" s="99"/>
      <c r="Q289" s="97"/>
      <c r="R289" s="97"/>
      <c r="S289" s="97"/>
      <c r="T289" s="97"/>
      <c r="U289" s="97"/>
      <c r="V289" s="97"/>
      <c r="W289" s="97"/>
      <c r="X289" s="97"/>
      <c r="Y289" s="97"/>
      <c r="Z289" s="97"/>
      <c r="AA289" s="97"/>
      <c r="AB289" s="97"/>
      <c r="AC289" s="97"/>
      <c r="AD289" s="97"/>
      <c r="AE289" s="97"/>
      <c r="AF289" s="97"/>
      <c r="AG289" s="97"/>
      <c r="AH289" s="97"/>
      <c r="AI289" s="97"/>
      <c r="AJ289" s="97"/>
      <c r="AK289" s="97"/>
      <c r="AL289" s="97"/>
      <c r="AM289" s="97"/>
      <c r="AN289" s="97"/>
      <c r="AO289" s="97"/>
      <c r="AP289" s="97"/>
      <c r="AQ289" s="97"/>
      <c r="AR289" s="97"/>
      <c r="AS289" s="97"/>
      <c r="AT289" s="97"/>
      <c r="AU289" s="97"/>
      <c r="AV289" s="107"/>
      <c r="AW289" s="107"/>
      <c r="AX289" s="107"/>
      <c r="AY289" s="107"/>
      <c r="AZ289" s="107"/>
    </row>
    <row r="290" spans="2:52">
      <c r="B290" s="98"/>
      <c r="C290" s="98"/>
      <c r="D290" s="97"/>
      <c r="E290" s="97"/>
      <c r="F290" s="97"/>
      <c r="G290" s="97"/>
      <c r="H290" s="97"/>
      <c r="I290" s="97"/>
      <c r="J290" s="97"/>
      <c r="K290" s="97"/>
      <c r="L290" s="97"/>
      <c r="M290" s="97"/>
      <c r="N290" s="99"/>
      <c r="O290" s="97"/>
      <c r="P290" s="99"/>
      <c r="Q290" s="97"/>
      <c r="R290" s="97"/>
      <c r="S290" s="97"/>
      <c r="T290" s="97"/>
      <c r="U290" s="97"/>
      <c r="V290" s="97"/>
      <c r="W290" s="97"/>
      <c r="X290" s="97"/>
      <c r="Y290" s="97"/>
      <c r="Z290" s="97"/>
      <c r="AA290" s="97"/>
      <c r="AB290" s="97"/>
      <c r="AC290" s="97"/>
      <c r="AD290" s="97"/>
      <c r="AE290" s="97"/>
      <c r="AF290" s="97"/>
      <c r="AG290" s="97"/>
      <c r="AH290" s="97"/>
      <c r="AI290" s="97"/>
      <c r="AJ290" s="97"/>
      <c r="AK290" s="97"/>
      <c r="AL290" s="97"/>
      <c r="AM290" s="97"/>
      <c r="AN290" s="97"/>
      <c r="AO290" s="97"/>
      <c r="AP290" s="97"/>
      <c r="AQ290" s="97"/>
      <c r="AR290" s="97"/>
      <c r="AS290" s="97"/>
      <c r="AT290" s="97"/>
      <c r="AU290" s="97"/>
      <c r="AV290" s="107"/>
      <c r="AW290" s="107"/>
      <c r="AX290" s="107"/>
      <c r="AY290" s="107"/>
      <c r="AZ290" s="107"/>
    </row>
    <row r="291" spans="2:52">
      <c r="B291" s="98"/>
      <c r="C291" s="98"/>
      <c r="D291" s="97"/>
      <c r="E291" s="97"/>
      <c r="F291" s="97"/>
      <c r="G291" s="97"/>
      <c r="H291" s="97"/>
      <c r="I291" s="97"/>
      <c r="J291" s="97"/>
      <c r="K291" s="97"/>
      <c r="L291" s="97"/>
      <c r="M291" s="97"/>
      <c r="N291" s="99"/>
      <c r="O291" s="97"/>
      <c r="P291" s="99"/>
      <c r="Q291" s="97"/>
      <c r="R291" s="97"/>
      <c r="S291" s="97"/>
      <c r="T291" s="97"/>
      <c r="U291" s="97"/>
      <c r="V291" s="97"/>
      <c r="W291" s="97"/>
      <c r="X291" s="97"/>
      <c r="Y291" s="97"/>
      <c r="Z291" s="97"/>
      <c r="AA291" s="97"/>
      <c r="AB291" s="97"/>
      <c r="AC291" s="97"/>
      <c r="AD291" s="97"/>
      <c r="AE291" s="97"/>
      <c r="AF291" s="97"/>
      <c r="AG291" s="97"/>
      <c r="AH291" s="97"/>
      <c r="AI291" s="97"/>
      <c r="AJ291" s="97"/>
      <c r="AK291" s="97"/>
      <c r="AL291" s="97"/>
      <c r="AM291" s="97"/>
      <c r="AN291" s="97"/>
      <c r="AO291" s="97"/>
      <c r="AP291" s="97"/>
      <c r="AQ291" s="97"/>
      <c r="AR291" s="97"/>
      <c r="AS291" s="97"/>
      <c r="AT291" s="97"/>
      <c r="AU291" s="97"/>
      <c r="AV291" s="107"/>
      <c r="AW291" s="107"/>
      <c r="AX291" s="107"/>
      <c r="AY291" s="107"/>
      <c r="AZ291" s="107"/>
    </row>
    <row r="292" spans="2:52">
      <c r="B292" s="98"/>
      <c r="C292" s="98"/>
      <c r="D292" s="97"/>
      <c r="E292" s="97"/>
      <c r="F292" s="97"/>
      <c r="G292" s="97"/>
      <c r="H292" s="97"/>
      <c r="I292" s="97"/>
      <c r="J292" s="97"/>
      <c r="K292" s="97"/>
      <c r="L292" s="97"/>
      <c r="M292" s="97"/>
      <c r="N292" s="99"/>
      <c r="O292" s="97"/>
      <c r="P292" s="99"/>
      <c r="Q292" s="97"/>
      <c r="R292" s="97"/>
      <c r="S292" s="97"/>
      <c r="T292" s="97"/>
      <c r="U292" s="97"/>
      <c r="V292" s="97"/>
      <c r="W292" s="97"/>
      <c r="X292" s="97"/>
      <c r="Y292" s="97"/>
      <c r="Z292" s="97"/>
      <c r="AA292" s="97"/>
      <c r="AB292" s="97"/>
      <c r="AC292" s="97"/>
      <c r="AD292" s="97"/>
      <c r="AE292" s="97"/>
      <c r="AF292" s="97"/>
      <c r="AG292" s="97"/>
      <c r="AH292" s="97"/>
      <c r="AI292" s="97"/>
      <c r="AJ292" s="97"/>
      <c r="AK292" s="97"/>
      <c r="AL292" s="97"/>
      <c r="AM292" s="97"/>
      <c r="AN292" s="97"/>
      <c r="AO292" s="97"/>
      <c r="AP292" s="97"/>
      <c r="AQ292" s="97"/>
      <c r="AR292" s="97"/>
      <c r="AS292" s="97"/>
      <c r="AT292" s="97"/>
      <c r="AU292" s="97"/>
      <c r="AV292" s="107"/>
      <c r="AW292" s="107"/>
      <c r="AX292" s="107"/>
      <c r="AY292" s="107"/>
      <c r="AZ292" s="107"/>
    </row>
    <row r="293" spans="2:52">
      <c r="B293" s="98"/>
      <c r="C293" s="98"/>
      <c r="D293" s="97"/>
      <c r="E293" s="97"/>
      <c r="F293" s="97"/>
      <c r="G293" s="97"/>
      <c r="H293" s="97"/>
      <c r="I293" s="97"/>
      <c r="J293" s="97"/>
      <c r="K293" s="97"/>
      <c r="L293" s="97"/>
      <c r="M293" s="97"/>
      <c r="N293" s="99"/>
      <c r="O293" s="97"/>
      <c r="P293" s="99"/>
      <c r="Q293" s="97"/>
      <c r="R293" s="97"/>
      <c r="S293" s="97"/>
      <c r="T293" s="97"/>
      <c r="U293" s="97"/>
      <c r="V293" s="97"/>
      <c r="W293" s="97"/>
      <c r="X293" s="97"/>
      <c r="Y293" s="97"/>
      <c r="Z293" s="97"/>
      <c r="AA293" s="97"/>
      <c r="AB293" s="97"/>
      <c r="AC293" s="97"/>
      <c r="AD293" s="97"/>
      <c r="AE293" s="97"/>
      <c r="AF293" s="97"/>
      <c r="AG293" s="97"/>
      <c r="AH293" s="97"/>
      <c r="AI293" s="97"/>
      <c r="AJ293" s="97"/>
      <c r="AK293" s="97"/>
      <c r="AL293" s="97"/>
      <c r="AM293" s="97"/>
      <c r="AN293" s="97"/>
      <c r="AO293" s="97"/>
      <c r="AP293" s="97"/>
      <c r="AQ293" s="97"/>
      <c r="AR293" s="97"/>
      <c r="AS293" s="97"/>
      <c r="AT293" s="97"/>
      <c r="AU293" s="97"/>
      <c r="AV293" s="107"/>
      <c r="AW293" s="107"/>
      <c r="AX293" s="107"/>
      <c r="AY293" s="107"/>
      <c r="AZ293" s="107"/>
    </row>
    <row r="294" spans="2:52">
      <c r="B294" s="98"/>
      <c r="C294" s="98"/>
      <c r="D294" s="97"/>
      <c r="E294" s="97"/>
      <c r="F294" s="97"/>
      <c r="G294" s="97"/>
      <c r="H294" s="97"/>
      <c r="I294" s="97"/>
      <c r="J294" s="97"/>
      <c r="K294" s="97"/>
      <c r="L294" s="97"/>
      <c r="M294" s="97"/>
      <c r="N294" s="99"/>
      <c r="O294" s="97"/>
      <c r="P294" s="99"/>
      <c r="Q294" s="97"/>
      <c r="R294" s="97"/>
      <c r="S294" s="97"/>
      <c r="T294" s="97"/>
      <c r="U294" s="97"/>
      <c r="V294" s="97"/>
      <c r="W294" s="97"/>
      <c r="X294" s="97"/>
      <c r="Y294" s="97"/>
      <c r="Z294" s="97"/>
      <c r="AA294" s="97"/>
      <c r="AB294" s="97"/>
      <c r="AC294" s="97"/>
      <c r="AD294" s="97"/>
      <c r="AE294" s="97"/>
      <c r="AF294" s="97"/>
      <c r="AG294" s="97"/>
      <c r="AH294" s="97"/>
      <c r="AI294" s="97"/>
      <c r="AJ294" s="97"/>
      <c r="AK294" s="97"/>
      <c r="AL294" s="97"/>
      <c r="AM294" s="97"/>
      <c r="AN294" s="97"/>
      <c r="AO294" s="97"/>
      <c r="AP294" s="97"/>
      <c r="AQ294" s="97"/>
      <c r="AR294" s="97"/>
      <c r="AS294" s="97"/>
      <c r="AT294" s="97"/>
      <c r="AU294" s="97"/>
      <c r="AV294" s="107"/>
      <c r="AW294" s="107"/>
      <c r="AX294" s="107"/>
      <c r="AY294" s="107"/>
      <c r="AZ294" s="107"/>
    </row>
    <row r="295" spans="2:52">
      <c r="B295" s="98"/>
      <c r="C295" s="98"/>
      <c r="D295" s="97"/>
      <c r="E295" s="97"/>
      <c r="F295" s="97"/>
      <c r="G295" s="97"/>
      <c r="H295" s="97"/>
      <c r="I295" s="97"/>
      <c r="J295" s="97"/>
      <c r="K295" s="97"/>
      <c r="L295" s="97"/>
      <c r="M295" s="97"/>
      <c r="N295" s="99"/>
      <c r="O295" s="97"/>
      <c r="P295" s="99"/>
      <c r="Q295" s="97"/>
      <c r="R295" s="97"/>
      <c r="S295" s="97"/>
      <c r="T295" s="97"/>
      <c r="U295" s="97"/>
      <c r="V295" s="97"/>
      <c r="W295" s="97"/>
      <c r="X295" s="97"/>
      <c r="Y295" s="97"/>
      <c r="Z295" s="97"/>
      <c r="AA295" s="97"/>
      <c r="AB295" s="97"/>
      <c r="AC295" s="97"/>
      <c r="AD295" s="97"/>
      <c r="AE295" s="97"/>
      <c r="AF295" s="97"/>
      <c r="AG295" s="97"/>
      <c r="AH295" s="97"/>
      <c r="AI295" s="97"/>
      <c r="AJ295" s="97"/>
      <c r="AK295" s="97"/>
      <c r="AL295" s="97"/>
      <c r="AM295" s="97"/>
      <c r="AN295" s="97"/>
      <c r="AO295" s="97"/>
      <c r="AP295" s="97"/>
      <c r="AQ295" s="97"/>
      <c r="AR295" s="97"/>
      <c r="AS295" s="97"/>
      <c r="AT295" s="97"/>
      <c r="AU295" s="97"/>
      <c r="AV295" s="107"/>
      <c r="AW295" s="107"/>
      <c r="AX295" s="107"/>
      <c r="AY295" s="107"/>
      <c r="AZ295" s="107"/>
    </row>
    <row r="296" spans="2:52">
      <c r="B296" s="98"/>
      <c r="C296" s="98"/>
      <c r="D296" s="97"/>
      <c r="E296" s="97"/>
      <c r="F296" s="97"/>
      <c r="G296" s="97"/>
      <c r="H296" s="97"/>
      <c r="I296" s="97"/>
      <c r="J296" s="97"/>
      <c r="K296" s="97"/>
      <c r="L296" s="97"/>
      <c r="M296" s="97"/>
      <c r="N296" s="99"/>
      <c r="O296" s="97"/>
      <c r="P296" s="99"/>
      <c r="Q296" s="97"/>
      <c r="R296" s="97"/>
      <c r="S296" s="97"/>
      <c r="T296" s="97"/>
      <c r="U296" s="97"/>
      <c r="V296" s="97"/>
      <c r="W296" s="97"/>
      <c r="X296" s="97"/>
      <c r="Y296" s="97"/>
      <c r="Z296" s="97"/>
      <c r="AA296" s="97"/>
      <c r="AB296" s="97"/>
      <c r="AC296" s="97"/>
      <c r="AD296" s="97"/>
      <c r="AE296" s="97"/>
      <c r="AF296" s="97"/>
      <c r="AG296" s="97"/>
      <c r="AH296" s="97"/>
      <c r="AI296" s="97"/>
      <c r="AJ296" s="97"/>
      <c r="AK296" s="97"/>
      <c r="AL296" s="97"/>
      <c r="AM296" s="97"/>
      <c r="AN296" s="97"/>
      <c r="AO296" s="97"/>
      <c r="AP296" s="97"/>
      <c r="AQ296" s="97"/>
      <c r="AR296" s="97"/>
      <c r="AS296" s="97"/>
      <c r="AT296" s="97"/>
      <c r="AU296" s="97"/>
      <c r="AV296" s="107"/>
      <c r="AW296" s="107"/>
      <c r="AX296" s="107"/>
      <c r="AY296" s="107"/>
      <c r="AZ296" s="107"/>
    </row>
    <row r="297" spans="2:52">
      <c r="B297" s="98"/>
      <c r="C297" s="98"/>
      <c r="D297" s="97"/>
      <c r="E297" s="97"/>
      <c r="F297" s="97"/>
      <c r="G297" s="97"/>
      <c r="H297" s="97"/>
      <c r="I297" s="97"/>
      <c r="J297" s="97"/>
      <c r="K297" s="97"/>
      <c r="L297" s="97"/>
      <c r="M297" s="97"/>
      <c r="N297" s="99"/>
      <c r="O297" s="97"/>
      <c r="P297" s="99"/>
      <c r="Q297" s="97"/>
      <c r="R297" s="97"/>
      <c r="S297" s="97"/>
      <c r="T297" s="97"/>
      <c r="U297" s="97"/>
      <c r="V297" s="97"/>
      <c r="W297" s="97"/>
      <c r="X297" s="97"/>
      <c r="Y297" s="97"/>
      <c r="Z297" s="97"/>
      <c r="AA297" s="97"/>
      <c r="AB297" s="97"/>
      <c r="AC297" s="97"/>
      <c r="AD297" s="97"/>
      <c r="AE297" s="97"/>
      <c r="AF297" s="97"/>
      <c r="AG297" s="97"/>
      <c r="AH297" s="97"/>
      <c r="AI297" s="97"/>
      <c r="AJ297" s="97"/>
      <c r="AK297" s="97"/>
      <c r="AL297" s="97"/>
      <c r="AM297" s="97"/>
      <c r="AN297" s="97"/>
      <c r="AO297" s="97"/>
      <c r="AP297" s="97"/>
      <c r="AQ297" s="97"/>
      <c r="AR297" s="97"/>
      <c r="AS297" s="97"/>
      <c r="AT297" s="97"/>
      <c r="AU297" s="97"/>
      <c r="AV297" s="107"/>
      <c r="AW297" s="107"/>
      <c r="AX297" s="107"/>
      <c r="AY297" s="107"/>
      <c r="AZ297" s="107"/>
    </row>
    <row r="298" spans="2:52">
      <c r="B298" s="98"/>
      <c r="C298" s="98"/>
      <c r="D298" s="97"/>
      <c r="E298" s="97"/>
      <c r="F298" s="97"/>
      <c r="G298" s="97"/>
      <c r="H298" s="97"/>
      <c r="I298" s="97"/>
      <c r="J298" s="97"/>
      <c r="K298" s="97"/>
      <c r="L298" s="97"/>
      <c r="M298" s="97"/>
      <c r="N298" s="99"/>
      <c r="O298" s="97"/>
      <c r="P298" s="99"/>
      <c r="Q298" s="97"/>
      <c r="R298" s="97"/>
      <c r="S298" s="97"/>
      <c r="T298" s="97"/>
      <c r="U298" s="97"/>
      <c r="V298" s="97"/>
      <c r="W298" s="97"/>
      <c r="X298" s="97"/>
      <c r="Y298" s="97"/>
      <c r="Z298" s="97"/>
      <c r="AA298" s="97"/>
      <c r="AB298" s="97"/>
      <c r="AC298" s="97"/>
      <c r="AD298" s="97"/>
      <c r="AE298" s="97"/>
      <c r="AF298" s="97"/>
      <c r="AG298" s="97"/>
      <c r="AH298" s="97"/>
      <c r="AI298" s="97"/>
      <c r="AJ298" s="97"/>
      <c r="AK298" s="97"/>
      <c r="AL298" s="97"/>
      <c r="AM298" s="97"/>
      <c r="AN298" s="97"/>
      <c r="AO298" s="97"/>
      <c r="AP298" s="97"/>
      <c r="AQ298" s="97"/>
      <c r="AR298" s="97"/>
      <c r="AS298" s="97"/>
      <c r="AT298" s="97"/>
      <c r="AU298" s="97"/>
      <c r="AV298" s="107"/>
      <c r="AW298" s="107"/>
      <c r="AX298" s="107"/>
      <c r="AY298" s="107"/>
      <c r="AZ298" s="107"/>
    </row>
    <row r="299" spans="2:52">
      <c r="B299" s="98"/>
      <c r="C299" s="98"/>
      <c r="D299" s="97"/>
      <c r="E299" s="97"/>
      <c r="F299" s="97"/>
      <c r="G299" s="97"/>
      <c r="H299" s="97"/>
      <c r="I299" s="97"/>
      <c r="J299" s="97"/>
      <c r="K299" s="97"/>
      <c r="L299" s="97"/>
      <c r="M299" s="97"/>
      <c r="N299" s="99"/>
      <c r="O299" s="97"/>
      <c r="P299" s="99"/>
      <c r="Q299" s="97"/>
      <c r="R299" s="97"/>
      <c r="S299" s="97"/>
      <c r="T299" s="97"/>
      <c r="U299" s="97"/>
      <c r="V299" s="97"/>
      <c r="W299" s="97"/>
      <c r="X299" s="97"/>
      <c r="Y299" s="97"/>
      <c r="Z299" s="97"/>
      <c r="AA299" s="97"/>
      <c r="AB299" s="97"/>
      <c r="AC299" s="97"/>
      <c r="AD299" s="97"/>
      <c r="AE299" s="97"/>
      <c r="AF299" s="97"/>
      <c r="AG299" s="97"/>
      <c r="AH299" s="97"/>
      <c r="AI299" s="97"/>
      <c r="AJ299" s="97"/>
      <c r="AK299" s="97"/>
      <c r="AL299" s="97"/>
      <c r="AM299" s="97"/>
      <c r="AN299" s="97"/>
      <c r="AO299" s="97"/>
      <c r="AP299" s="97"/>
      <c r="AQ299" s="97"/>
      <c r="AR299" s="97"/>
      <c r="AS299" s="97"/>
      <c r="AT299" s="97"/>
      <c r="AU299" s="97"/>
      <c r="AV299" s="107"/>
      <c r="AW299" s="107"/>
      <c r="AX299" s="107"/>
      <c r="AY299" s="107"/>
      <c r="AZ299" s="107"/>
    </row>
    <row r="300" spans="2:52">
      <c r="B300" s="98"/>
      <c r="C300" s="98"/>
      <c r="D300" s="97"/>
      <c r="E300" s="97"/>
      <c r="F300" s="97"/>
      <c r="G300" s="97"/>
      <c r="H300" s="97"/>
      <c r="I300" s="97"/>
      <c r="J300" s="97"/>
      <c r="K300" s="97"/>
      <c r="L300" s="97"/>
      <c r="M300" s="97"/>
      <c r="N300" s="99"/>
      <c r="O300" s="97"/>
      <c r="P300" s="99"/>
      <c r="Q300" s="97"/>
      <c r="R300" s="97"/>
      <c r="S300" s="97"/>
      <c r="T300" s="97"/>
      <c r="U300" s="97"/>
      <c r="V300" s="97"/>
      <c r="W300" s="97"/>
      <c r="X300" s="97"/>
      <c r="Y300" s="97"/>
      <c r="Z300" s="97"/>
      <c r="AA300" s="97"/>
      <c r="AB300" s="97"/>
      <c r="AC300" s="97"/>
      <c r="AD300" s="97"/>
      <c r="AE300" s="97"/>
      <c r="AF300" s="97"/>
      <c r="AG300" s="97"/>
      <c r="AH300" s="97"/>
      <c r="AI300" s="97"/>
      <c r="AJ300" s="97"/>
      <c r="AK300" s="97"/>
      <c r="AL300" s="97"/>
      <c r="AM300" s="97"/>
      <c r="AN300" s="97"/>
      <c r="AO300" s="97"/>
      <c r="AP300" s="97"/>
      <c r="AQ300" s="97"/>
      <c r="AR300" s="97"/>
      <c r="AS300" s="97"/>
      <c r="AT300" s="97"/>
      <c r="AU300" s="97"/>
      <c r="AV300" s="107"/>
      <c r="AW300" s="107"/>
      <c r="AX300" s="107"/>
      <c r="AY300" s="107"/>
      <c r="AZ300" s="107"/>
    </row>
    <row r="301" spans="2:52">
      <c r="B301" s="98"/>
      <c r="C301" s="98"/>
      <c r="D301" s="97"/>
      <c r="E301" s="97"/>
      <c r="F301" s="97"/>
      <c r="G301" s="97"/>
      <c r="H301" s="97"/>
      <c r="I301" s="97"/>
      <c r="J301" s="97"/>
      <c r="K301" s="97"/>
      <c r="L301" s="97"/>
      <c r="M301" s="97"/>
      <c r="N301" s="99"/>
      <c r="O301" s="97"/>
      <c r="P301" s="99"/>
      <c r="Q301" s="97"/>
      <c r="R301" s="97"/>
      <c r="S301" s="97"/>
      <c r="T301" s="97"/>
      <c r="U301" s="97"/>
      <c r="V301" s="97"/>
      <c r="W301" s="97"/>
      <c r="X301" s="97"/>
      <c r="Y301" s="97"/>
      <c r="Z301" s="97"/>
      <c r="AA301" s="97"/>
      <c r="AB301" s="97"/>
      <c r="AC301" s="97"/>
      <c r="AD301" s="97"/>
      <c r="AE301" s="97"/>
      <c r="AF301" s="97"/>
      <c r="AG301" s="97"/>
      <c r="AH301" s="97"/>
      <c r="AI301" s="97"/>
      <c r="AJ301" s="97"/>
      <c r="AK301" s="97"/>
      <c r="AL301" s="97"/>
      <c r="AM301" s="97"/>
      <c r="AN301" s="97"/>
      <c r="AO301" s="97"/>
      <c r="AP301" s="97"/>
      <c r="AQ301" s="97"/>
      <c r="AR301" s="97"/>
      <c r="AS301" s="97"/>
      <c r="AT301" s="97"/>
      <c r="AU301" s="97"/>
      <c r="AV301" s="107"/>
      <c r="AW301" s="107"/>
      <c r="AX301" s="107"/>
      <c r="AY301" s="107"/>
      <c r="AZ301" s="107"/>
    </row>
    <row r="302" spans="2:52">
      <c r="B302" s="98"/>
      <c r="C302" s="98"/>
      <c r="D302" s="97"/>
      <c r="E302" s="97"/>
      <c r="F302" s="97"/>
      <c r="G302" s="97"/>
      <c r="H302" s="97"/>
      <c r="I302" s="97"/>
      <c r="J302" s="97"/>
      <c r="K302" s="97"/>
      <c r="L302" s="97"/>
      <c r="M302" s="97"/>
      <c r="N302" s="99"/>
      <c r="O302" s="97"/>
      <c r="P302" s="99"/>
      <c r="Q302" s="97"/>
      <c r="R302" s="97"/>
      <c r="S302" s="97"/>
      <c r="T302" s="97"/>
      <c r="U302" s="97"/>
      <c r="V302" s="97"/>
      <c r="W302" s="97"/>
      <c r="X302" s="97"/>
      <c r="Y302" s="97"/>
      <c r="Z302" s="97"/>
      <c r="AA302" s="97"/>
      <c r="AB302" s="97"/>
      <c r="AC302" s="97"/>
      <c r="AD302" s="97"/>
      <c r="AE302" s="97"/>
      <c r="AF302" s="97"/>
      <c r="AG302" s="97"/>
      <c r="AH302" s="97"/>
      <c r="AI302" s="97"/>
      <c r="AJ302" s="97"/>
      <c r="AK302" s="97"/>
      <c r="AL302" s="97"/>
      <c r="AM302" s="97"/>
      <c r="AN302" s="97"/>
      <c r="AO302" s="97"/>
      <c r="AP302" s="97"/>
      <c r="AQ302" s="97"/>
      <c r="AR302" s="97"/>
      <c r="AS302" s="97"/>
      <c r="AT302" s="97"/>
      <c r="AU302" s="97"/>
      <c r="AV302" s="107"/>
      <c r="AW302" s="107"/>
      <c r="AX302" s="107"/>
      <c r="AY302" s="107"/>
      <c r="AZ302" s="107"/>
    </row>
    <row r="303" spans="2:52">
      <c r="B303" s="98"/>
      <c r="C303" s="98"/>
      <c r="D303" s="97"/>
      <c r="E303" s="97"/>
      <c r="F303" s="97"/>
      <c r="G303" s="97"/>
      <c r="H303" s="97"/>
      <c r="I303" s="97"/>
      <c r="J303" s="97"/>
      <c r="K303" s="97"/>
      <c r="L303" s="97"/>
      <c r="M303" s="97"/>
      <c r="N303" s="99"/>
      <c r="O303" s="97"/>
      <c r="P303" s="99"/>
      <c r="Q303" s="97"/>
      <c r="R303" s="97"/>
      <c r="S303" s="97"/>
      <c r="T303" s="97"/>
      <c r="U303" s="97"/>
      <c r="V303" s="97"/>
      <c r="W303" s="97"/>
      <c r="X303" s="97"/>
      <c r="Y303" s="97"/>
      <c r="Z303" s="97"/>
      <c r="AA303" s="97"/>
      <c r="AB303" s="97"/>
      <c r="AC303" s="97"/>
      <c r="AD303" s="97"/>
      <c r="AE303" s="97"/>
      <c r="AF303" s="97"/>
      <c r="AG303" s="97"/>
      <c r="AH303" s="97"/>
      <c r="AI303" s="97"/>
      <c r="AJ303" s="97"/>
      <c r="AK303" s="97"/>
      <c r="AL303" s="97"/>
      <c r="AM303" s="97"/>
      <c r="AN303" s="97"/>
      <c r="AO303" s="97"/>
      <c r="AP303" s="97"/>
      <c r="AQ303" s="97"/>
      <c r="AR303" s="97"/>
      <c r="AS303" s="97"/>
      <c r="AT303" s="97"/>
      <c r="AU303" s="97"/>
      <c r="AV303" s="107"/>
      <c r="AW303" s="107"/>
      <c r="AX303" s="107"/>
      <c r="AY303" s="107"/>
      <c r="AZ303" s="107"/>
    </row>
    <row r="304" spans="2:52">
      <c r="B304" s="98"/>
      <c r="C304" s="98"/>
      <c r="D304" s="97"/>
      <c r="E304" s="97"/>
      <c r="F304" s="97"/>
      <c r="G304" s="97"/>
      <c r="H304" s="97"/>
      <c r="I304" s="97"/>
      <c r="J304" s="97"/>
      <c r="K304" s="97"/>
      <c r="L304" s="97"/>
      <c r="M304" s="97"/>
      <c r="N304" s="99"/>
      <c r="O304" s="97"/>
      <c r="P304" s="99"/>
      <c r="Q304" s="97"/>
      <c r="R304" s="97"/>
      <c r="S304" s="97"/>
      <c r="T304" s="97"/>
      <c r="U304" s="97"/>
      <c r="V304" s="97"/>
      <c r="W304" s="97"/>
      <c r="X304" s="97"/>
      <c r="Y304" s="97"/>
      <c r="Z304" s="97"/>
      <c r="AA304" s="97"/>
      <c r="AB304" s="97"/>
      <c r="AC304" s="97"/>
      <c r="AD304" s="97"/>
      <c r="AE304" s="97"/>
      <c r="AF304" s="97"/>
      <c r="AG304" s="97"/>
      <c r="AH304" s="97"/>
      <c r="AI304" s="97"/>
      <c r="AJ304" s="97"/>
      <c r="AK304" s="97"/>
      <c r="AL304" s="97"/>
      <c r="AM304" s="97"/>
      <c r="AN304" s="97"/>
      <c r="AO304" s="97"/>
      <c r="AP304" s="97"/>
      <c r="AQ304" s="97"/>
      <c r="AR304" s="97"/>
      <c r="AS304" s="97"/>
      <c r="AT304" s="97"/>
      <c r="AU304" s="97"/>
      <c r="AV304" s="107"/>
      <c r="AW304" s="107"/>
      <c r="AX304" s="107"/>
      <c r="AY304" s="107"/>
      <c r="AZ304" s="107"/>
    </row>
    <row r="305" spans="2:52">
      <c r="B305" s="98"/>
      <c r="C305" s="98"/>
      <c r="D305" s="97"/>
      <c r="E305" s="97"/>
      <c r="F305" s="97"/>
      <c r="G305" s="97"/>
      <c r="H305" s="97"/>
      <c r="I305" s="97"/>
      <c r="J305" s="97"/>
      <c r="K305" s="97"/>
      <c r="L305" s="97"/>
      <c r="M305" s="97"/>
      <c r="N305" s="99"/>
      <c r="O305" s="97"/>
      <c r="P305" s="99"/>
      <c r="Q305" s="97"/>
      <c r="R305" s="97"/>
      <c r="S305" s="97"/>
      <c r="T305" s="97"/>
      <c r="U305" s="97"/>
      <c r="V305" s="97"/>
      <c r="W305" s="97"/>
      <c r="X305" s="97"/>
      <c r="Y305" s="97"/>
      <c r="Z305" s="97"/>
      <c r="AA305" s="97"/>
      <c r="AB305" s="97"/>
      <c r="AC305" s="97"/>
      <c r="AD305" s="97"/>
      <c r="AE305" s="97"/>
      <c r="AF305" s="97"/>
      <c r="AG305" s="97"/>
      <c r="AH305" s="97"/>
      <c r="AI305" s="97"/>
      <c r="AJ305" s="97"/>
      <c r="AK305" s="97"/>
      <c r="AL305" s="97"/>
      <c r="AM305" s="97"/>
      <c r="AN305" s="97"/>
      <c r="AO305" s="97"/>
      <c r="AP305" s="97"/>
      <c r="AQ305" s="97"/>
      <c r="AR305" s="97"/>
      <c r="AS305" s="97"/>
      <c r="AT305" s="97"/>
      <c r="AU305" s="97"/>
      <c r="AV305" s="107"/>
      <c r="AW305" s="107"/>
      <c r="AX305" s="107"/>
      <c r="AY305" s="107"/>
      <c r="AZ305" s="107"/>
    </row>
    <row r="306" spans="2:52">
      <c r="B306" s="98"/>
      <c r="C306" s="98"/>
      <c r="D306" s="97"/>
      <c r="E306" s="97"/>
      <c r="F306" s="97"/>
      <c r="G306" s="97"/>
      <c r="H306" s="97"/>
      <c r="I306" s="97"/>
      <c r="J306" s="97"/>
      <c r="K306" s="97"/>
      <c r="L306" s="97"/>
      <c r="M306" s="97"/>
      <c r="N306" s="99"/>
      <c r="O306" s="97"/>
      <c r="P306" s="99"/>
      <c r="Q306" s="97"/>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97"/>
      <c r="AP306" s="97"/>
      <c r="AQ306" s="97"/>
      <c r="AR306" s="97"/>
      <c r="AS306" s="97"/>
      <c r="AT306" s="97"/>
      <c r="AU306" s="97"/>
      <c r="AV306" s="107"/>
      <c r="AW306" s="107"/>
      <c r="AX306" s="107"/>
      <c r="AY306" s="107"/>
      <c r="AZ306" s="107"/>
    </row>
    <row r="307" spans="2:52">
      <c r="B307" s="98"/>
      <c r="C307" s="98"/>
      <c r="D307" s="97"/>
      <c r="E307" s="97"/>
      <c r="F307" s="97"/>
      <c r="G307" s="97"/>
      <c r="H307" s="97"/>
      <c r="I307" s="97"/>
      <c r="J307" s="97"/>
      <c r="K307" s="97"/>
      <c r="L307" s="97"/>
      <c r="M307" s="97"/>
      <c r="N307" s="99"/>
      <c r="O307" s="97"/>
      <c r="P307" s="99"/>
      <c r="Q307" s="97"/>
      <c r="R307" s="97"/>
      <c r="S307" s="97"/>
      <c r="T307" s="97"/>
      <c r="U307" s="97"/>
      <c r="V307" s="97"/>
      <c r="W307" s="97"/>
      <c r="X307" s="97"/>
      <c r="Y307" s="97"/>
      <c r="Z307" s="97"/>
      <c r="AA307" s="97"/>
      <c r="AB307" s="97"/>
      <c r="AC307" s="97"/>
      <c r="AD307" s="97"/>
      <c r="AE307" s="97"/>
      <c r="AF307" s="97"/>
      <c r="AG307" s="97"/>
      <c r="AH307" s="97"/>
      <c r="AI307" s="97"/>
      <c r="AJ307" s="97"/>
      <c r="AK307" s="97"/>
      <c r="AL307" s="97"/>
      <c r="AM307" s="97"/>
      <c r="AN307" s="97"/>
      <c r="AO307" s="97"/>
      <c r="AP307" s="97"/>
      <c r="AQ307" s="97"/>
      <c r="AR307" s="97"/>
      <c r="AS307" s="97"/>
      <c r="AT307" s="97"/>
      <c r="AU307" s="97"/>
      <c r="AV307" s="107"/>
      <c r="AW307" s="107"/>
      <c r="AX307" s="107"/>
      <c r="AY307" s="107"/>
      <c r="AZ307" s="107"/>
    </row>
    <row r="308" spans="2:52">
      <c r="B308" s="98"/>
      <c r="C308" s="98"/>
      <c r="D308" s="97"/>
      <c r="E308" s="97"/>
      <c r="F308" s="97"/>
      <c r="G308" s="97"/>
      <c r="H308" s="97"/>
      <c r="I308" s="97"/>
      <c r="J308" s="97"/>
      <c r="K308" s="97"/>
      <c r="L308" s="97"/>
      <c r="M308" s="97"/>
      <c r="N308" s="99"/>
      <c r="O308" s="97"/>
      <c r="P308" s="99"/>
      <c r="Q308" s="97"/>
      <c r="R308" s="97"/>
      <c r="S308" s="97"/>
      <c r="T308" s="97"/>
      <c r="U308" s="97"/>
      <c r="V308" s="97"/>
      <c r="W308" s="97"/>
      <c r="X308" s="97"/>
      <c r="Y308" s="97"/>
      <c r="Z308" s="97"/>
      <c r="AA308" s="97"/>
      <c r="AB308" s="97"/>
      <c r="AC308" s="97"/>
      <c r="AD308" s="97"/>
      <c r="AE308" s="97"/>
      <c r="AF308" s="97"/>
      <c r="AG308" s="97"/>
      <c r="AH308" s="97"/>
      <c r="AI308" s="97"/>
      <c r="AJ308" s="97"/>
      <c r="AK308" s="97"/>
      <c r="AL308" s="97"/>
      <c r="AM308" s="97"/>
      <c r="AN308" s="97"/>
      <c r="AO308" s="97"/>
      <c r="AP308" s="97"/>
      <c r="AQ308" s="97"/>
      <c r="AR308" s="97"/>
      <c r="AS308" s="97"/>
      <c r="AT308" s="97"/>
      <c r="AU308" s="97"/>
      <c r="AV308" s="107"/>
      <c r="AW308" s="107"/>
      <c r="AX308" s="107"/>
      <c r="AY308" s="107"/>
      <c r="AZ308" s="107"/>
    </row>
    <row r="309" spans="2:52">
      <c r="B309" s="98"/>
      <c r="C309" s="98"/>
      <c r="D309" s="97"/>
      <c r="E309" s="97"/>
      <c r="F309" s="97"/>
      <c r="G309" s="97"/>
      <c r="H309" s="97"/>
      <c r="I309" s="97"/>
      <c r="J309" s="97"/>
      <c r="K309" s="97"/>
      <c r="L309" s="97"/>
      <c r="M309" s="97"/>
      <c r="N309" s="99"/>
      <c r="O309" s="97"/>
      <c r="P309" s="99"/>
      <c r="Q309" s="97"/>
      <c r="R309" s="97"/>
      <c r="S309" s="97"/>
      <c r="T309" s="97"/>
      <c r="U309" s="97"/>
      <c r="V309" s="97"/>
      <c r="W309" s="97"/>
      <c r="X309" s="97"/>
      <c r="Y309" s="97"/>
      <c r="Z309" s="97"/>
      <c r="AA309" s="97"/>
      <c r="AB309" s="97"/>
      <c r="AC309" s="97"/>
      <c r="AD309" s="97"/>
      <c r="AE309" s="97"/>
      <c r="AF309" s="97"/>
      <c r="AG309" s="97"/>
      <c r="AH309" s="97"/>
      <c r="AI309" s="97"/>
      <c r="AJ309" s="97"/>
      <c r="AK309" s="97"/>
      <c r="AL309" s="97"/>
      <c r="AM309" s="97"/>
      <c r="AN309" s="97"/>
      <c r="AO309" s="97"/>
      <c r="AP309" s="97"/>
      <c r="AQ309" s="97"/>
      <c r="AR309" s="97"/>
      <c r="AS309" s="97"/>
      <c r="AT309" s="97"/>
      <c r="AU309" s="97"/>
      <c r="AV309" s="107"/>
      <c r="AW309" s="107"/>
      <c r="AX309" s="107"/>
      <c r="AY309" s="107"/>
      <c r="AZ309" s="107"/>
    </row>
    <row r="310" spans="2:52">
      <c r="B310" s="98"/>
      <c r="C310" s="98"/>
      <c r="D310" s="97"/>
      <c r="E310" s="97"/>
      <c r="F310" s="97"/>
      <c r="G310" s="97"/>
      <c r="H310" s="97"/>
      <c r="I310" s="97"/>
      <c r="J310" s="97"/>
      <c r="K310" s="97"/>
      <c r="L310" s="97"/>
      <c r="M310" s="97"/>
      <c r="N310" s="99"/>
      <c r="O310" s="97"/>
      <c r="P310" s="99"/>
      <c r="Q310" s="97"/>
      <c r="R310" s="97"/>
      <c r="S310" s="97"/>
      <c r="T310" s="97"/>
      <c r="U310" s="97"/>
      <c r="V310" s="97"/>
      <c r="W310" s="97"/>
      <c r="X310" s="97"/>
      <c r="Y310" s="97"/>
      <c r="Z310" s="97"/>
      <c r="AA310" s="97"/>
      <c r="AB310" s="97"/>
      <c r="AC310" s="97"/>
      <c r="AD310" s="97"/>
      <c r="AE310" s="97"/>
      <c r="AF310" s="97"/>
      <c r="AG310" s="97"/>
      <c r="AH310" s="97"/>
      <c r="AI310" s="97"/>
      <c r="AJ310" s="97"/>
      <c r="AK310" s="97"/>
      <c r="AL310" s="97"/>
      <c r="AM310" s="97"/>
      <c r="AN310" s="97"/>
      <c r="AO310" s="97"/>
      <c r="AP310" s="97"/>
      <c r="AQ310" s="97"/>
      <c r="AR310" s="97"/>
      <c r="AS310" s="97"/>
      <c r="AT310" s="97"/>
      <c r="AU310" s="97"/>
      <c r="AV310" s="107"/>
      <c r="AW310" s="107"/>
      <c r="AX310" s="107"/>
      <c r="AY310" s="107"/>
      <c r="AZ310" s="107"/>
    </row>
    <row r="311" spans="2:52">
      <c r="B311" s="98"/>
      <c r="C311" s="98"/>
      <c r="D311" s="97"/>
      <c r="E311" s="97"/>
      <c r="F311" s="97"/>
      <c r="G311" s="97"/>
      <c r="H311" s="97"/>
      <c r="I311" s="97"/>
      <c r="J311" s="97"/>
      <c r="K311" s="97"/>
      <c r="L311" s="97"/>
      <c r="M311" s="97"/>
      <c r="N311" s="99"/>
      <c r="O311" s="97"/>
      <c r="P311" s="99"/>
      <c r="Q311" s="97"/>
      <c r="R311" s="97"/>
      <c r="S311" s="97"/>
      <c r="T311" s="97"/>
      <c r="U311" s="97"/>
      <c r="V311" s="97"/>
      <c r="W311" s="97"/>
      <c r="X311" s="97"/>
      <c r="Y311" s="97"/>
      <c r="Z311" s="97"/>
      <c r="AA311" s="97"/>
      <c r="AB311" s="97"/>
      <c r="AC311" s="97"/>
      <c r="AD311" s="97"/>
      <c r="AE311" s="97"/>
      <c r="AF311" s="97"/>
      <c r="AG311" s="97"/>
      <c r="AH311" s="97"/>
      <c r="AI311" s="97"/>
      <c r="AJ311" s="97"/>
      <c r="AK311" s="97"/>
      <c r="AL311" s="97"/>
      <c r="AM311" s="97"/>
      <c r="AN311" s="97"/>
      <c r="AO311" s="97"/>
      <c r="AP311" s="97"/>
      <c r="AQ311" s="97"/>
      <c r="AR311" s="97"/>
      <c r="AS311" s="97"/>
      <c r="AT311" s="97"/>
      <c r="AU311" s="97"/>
      <c r="AV311" s="107"/>
      <c r="AW311" s="107"/>
      <c r="AX311" s="107"/>
      <c r="AY311" s="107"/>
      <c r="AZ311" s="107"/>
    </row>
    <row r="312" spans="2:52">
      <c r="B312" s="98"/>
      <c r="C312" s="98"/>
      <c r="D312" s="97"/>
      <c r="E312" s="97"/>
      <c r="F312" s="97"/>
      <c r="G312" s="97"/>
      <c r="H312" s="97"/>
      <c r="I312" s="97"/>
      <c r="J312" s="97"/>
      <c r="K312" s="97"/>
      <c r="L312" s="97"/>
      <c r="M312" s="97"/>
      <c r="N312" s="99"/>
      <c r="O312" s="97"/>
      <c r="P312" s="99"/>
      <c r="Q312" s="97"/>
      <c r="R312" s="97"/>
      <c r="S312" s="97"/>
      <c r="T312" s="97"/>
      <c r="U312" s="97"/>
      <c r="V312" s="97"/>
      <c r="W312" s="97"/>
      <c r="X312" s="97"/>
      <c r="Y312" s="97"/>
      <c r="Z312" s="97"/>
      <c r="AA312" s="97"/>
      <c r="AB312" s="97"/>
      <c r="AC312" s="97"/>
      <c r="AD312" s="97"/>
      <c r="AE312" s="97"/>
      <c r="AF312" s="97"/>
      <c r="AG312" s="97"/>
      <c r="AH312" s="97"/>
      <c r="AI312" s="97"/>
      <c r="AJ312" s="97"/>
      <c r="AK312" s="97"/>
      <c r="AL312" s="97"/>
      <c r="AM312" s="97"/>
      <c r="AN312" s="97"/>
      <c r="AO312" s="97"/>
      <c r="AP312" s="97"/>
      <c r="AQ312" s="97"/>
      <c r="AR312" s="97"/>
      <c r="AS312" s="97"/>
      <c r="AT312" s="97"/>
      <c r="AU312" s="97"/>
      <c r="AV312" s="107"/>
      <c r="AW312" s="107"/>
      <c r="AX312" s="107"/>
      <c r="AY312" s="107"/>
      <c r="AZ312" s="107"/>
    </row>
    <row r="313" spans="2:52">
      <c r="B313" s="98"/>
      <c r="C313" s="98"/>
      <c r="D313" s="97"/>
      <c r="E313" s="97"/>
      <c r="F313" s="97"/>
      <c r="G313" s="97"/>
      <c r="H313" s="97"/>
      <c r="I313" s="97"/>
      <c r="J313" s="97"/>
      <c r="K313" s="97"/>
      <c r="L313" s="97"/>
      <c r="M313" s="97"/>
      <c r="N313" s="99"/>
      <c r="O313" s="97"/>
      <c r="P313" s="99"/>
      <c r="Q313" s="97"/>
      <c r="R313" s="97"/>
      <c r="S313" s="97"/>
      <c r="T313" s="97"/>
      <c r="U313" s="97"/>
      <c r="V313" s="97"/>
      <c r="W313" s="97"/>
      <c r="X313" s="97"/>
      <c r="Y313" s="97"/>
      <c r="Z313" s="97"/>
      <c r="AA313" s="97"/>
      <c r="AB313" s="97"/>
      <c r="AC313" s="97"/>
      <c r="AD313" s="97"/>
      <c r="AE313" s="97"/>
      <c r="AF313" s="97"/>
      <c r="AG313" s="97"/>
      <c r="AH313" s="97"/>
      <c r="AI313" s="97"/>
      <c r="AJ313" s="97"/>
      <c r="AK313" s="97"/>
      <c r="AL313" s="97"/>
      <c r="AM313" s="97"/>
      <c r="AN313" s="97"/>
      <c r="AO313" s="97"/>
      <c r="AP313" s="97"/>
      <c r="AQ313" s="97"/>
      <c r="AR313" s="97"/>
      <c r="AS313" s="97"/>
      <c r="AT313" s="97"/>
      <c r="AU313" s="97"/>
      <c r="AV313" s="107"/>
      <c r="AW313" s="107"/>
      <c r="AX313" s="107"/>
      <c r="AY313" s="107"/>
      <c r="AZ313" s="107"/>
    </row>
    <row r="314" spans="2:52">
      <c r="B314" s="98"/>
      <c r="C314" s="98"/>
      <c r="D314" s="97"/>
      <c r="E314" s="97"/>
      <c r="F314" s="97"/>
      <c r="G314" s="97"/>
      <c r="H314" s="97"/>
      <c r="I314" s="97"/>
      <c r="J314" s="97"/>
      <c r="K314" s="97"/>
      <c r="L314" s="97"/>
      <c r="M314" s="97"/>
      <c r="N314" s="99"/>
      <c r="O314" s="97"/>
      <c r="P314" s="99"/>
      <c r="Q314" s="97"/>
      <c r="R314" s="97"/>
      <c r="S314" s="97"/>
      <c r="T314" s="97"/>
      <c r="U314" s="97"/>
      <c r="V314" s="97"/>
      <c r="W314" s="97"/>
      <c r="X314" s="97"/>
      <c r="Y314" s="97"/>
      <c r="Z314" s="97"/>
      <c r="AA314" s="97"/>
      <c r="AB314" s="97"/>
      <c r="AC314" s="97"/>
      <c r="AD314" s="97"/>
      <c r="AE314" s="97"/>
      <c r="AF314" s="97"/>
      <c r="AG314" s="97"/>
      <c r="AH314" s="97"/>
      <c r="AI314" s="97"/>
      <c r="AJ314" s="97"/>
      <c r="AK314" s="97"/>
      <c r="AL314" s="97"/>
      <c r="AM314" s="97"/>
      <c r="AN314" s="97"/>
      <c r="AO314" s="97"/>
      <c r="AP314" s="97"/>
      <c r="AQ314" s="97"/>
      <c r="AR314" s="97"/>
      <c r="AS314" s="97"/>
      <c r="AT314" s="97"/>
      <c r="AU314" s="97"/>
      <c r="AV314" s="107"/>
      <c r="AW314" s="107"/>
      <c r="AX314" s="107"/>
      <c r="AY314" s="107"/>
      <c r="AZ314" s="107"/>
    </row>
    <row r="315" spans="2:52">
      <c r="B315" s="98"/>
      <c r="C315" s="98"/>
      <c r="D315" s="97"/>
      <c r="E315" s="97"/>
      <c r="F315" s="97"/>
      <c r="G315" s="97"/>
      <c r="H315" s="97"/>
      <c r="I315" s="97"/>
      <c r="J315" s="97"/>
      <c r="K315" s="97"/>
      <c r="L315" s="97"/>
      <c r="M315" s="97"/>
      <c r="N315" s="99"/>
      <c r="O315" s="97"/>
      <c r="P315" s="99"/>
      <c r="Q315" s="97"/>
      <c r="R315" s="97"/>
      <c r="S315" s="97"/>
      <c r="T315" s="97"/>
      <c r="U315" s="97"/>
      <c r="V315" s="97"/>
      <c r="W315" s="97"/>
      <c r="X315" s="97"/>
      <c r="Y315" s="97"/>
      <c r="Z315" s="97"/>
      <c r="AA315" s="97"/>
      <c r="AB315" s="97"/>
      <c r="AC315" s="97"/>
      <c r="AD315" s="97"/>
      <c r="AE315" s="97"/>
      <c r="AF315" s="97"/>
      <c r="AG315" s="97"/>
      <c r="AH315" s="97"/>
      <c r="AI315" s="97"/>
      <c r="AJ315" s="97"/>
      <c r="AK315" s="97"/>
      <c r="AL315" s="97"/>
      <c r="AM315" s="97"/>
      <c r="AN315" s="97"/>
      <c r="AO315" s="97"/>
      <c r="AP315" s="97"/>
      <c r="AQ315" s="97"/>
      <c r="AR315" s="97"/>
      <c r="AS315" s="97"/>
      <c r="AT315" s="97"/>
      <c r="AU315" s="97"/>
      <c r="AV315" s="107"/>
      <c r="AW315" s="107"/>
      <c r="AX315" s="107"/>
      <c r="AY315" s="107"/>
      <c r="AZ315" s="107"/>
    </row>
    <row r="316" spans="2:52">
      <c r="B316" s="98"/>
      <c r="C316" s="98"/>
      <c r="D316" s="97"/>
      <c r="E316" s="97"/>
      <c r="F316" s="97"/>
      <c r="G316" s="97"/>
      <c r="H316" s="97"/>
      <c r="I316" s="97"/>
      <c r="J316" s="97"/>
      <c r="K316" s="97"/>
      <c r="L316" s="97"/>
      <c r="M316" s="97"/>
      <c r="N316" s="99"/>
      <c r="O316" s="97"/>
      <c r="P316" s="99"/>
      <c r="Q316" s="97"/>
      <c r="R316" s="97"/>
      <c r="S316" s="97"/>
      <c r="T316" s="97"/>
      <c r="U316" s="97"/>
      <c r="V316" s="97"/>
      <c r="W316" s="97"/>
      <c r="X316" s="97"/>
      <c r="Y316" s="97"/>
      <c r="Z316" s="97"/>
      <c r="AA316" s="97"/>
      <c r="AB316" s="97"/>
      <c r="AC316" s="97"/>
      <c r="AD316" s="97"/>
      <c r="AE316" s="97"/>
      <c r="AF316" s="97"/>
      <c r="AG316" s="97"/>
      <c r="AH316" s="97"/>
      <c r="AI316" s="97"/>
      <c r="AJ316" s="97"/>
      <c r="AK316" s="97"/>
      <c r="AL316" s="97"/>
      <c r="AM316" s="97"/>
      <c r="AN316" s="97"/>
      <c r="AO316" s="97"/>
      <c r="AP316" s="97"/>
      <c r="AQ316" s="97"/>
      <c r="AR316" s="97"/>
      <c r="AS316" s="97"/>
      <c r="AT316" s="97"/>
      <c r="AU316" s="97"/>
      <c r="AV316" s="107"/>
      <c r="AW316" s="107"/>
      <c r="AX316" s="107"/>
      <c r="AY316" s="107"/>
      <c r="AZ316" s="107"/>
    </row>
    <row r="317" spans="2:52">
      <c r="B317" s="98"/>
      <c r="C317" s="98"/>
      <c r="D317" s="97"/>
      <c r="E317" s="97"/>
      <c r="F317" s="97"/>
      <c r="G317" s="97"/>
      <c r="H317" s="97"/>
      <c r="I317" s="97"/>
      <c r="J317" s="97"/>
      <c r="K317" s="97"/>
      <c r="L317" s="97"/>
      <c r="M317" s="97"/>
      <c r="N317" s="99"/>
      <c r="O317" s="97"/>
      <c r="P317" s="99"/>
      <c r="Q317" s="97"/>
      <c r="R317" s="97"/>
      <c r="S317" s="97"/>
      <c r="T317" s="97"/>
      <c r="U317" s="97"/>
      <c r="V317" s="97"/>
      <c r="W317" s="97"/>
      <c r="X317" s="97"/>
      <c r="Y317" s="97"/>
      <c r="Z317" s="97"/>
      <c r="AA317" s="97"/>
      <c r="AB317" s="97"/>
      <c r="AC317" s="97"/>
      <c r="AD317" s="97"/>
      <c r="AE317" s="97"/>
      <c r="AF317" s="97"/>
      <c r="AG317" s="97"/>
      <c r="AH317" s="97"/>
      <c r="AI317" s="97"/>
      <c r="AJ317" s="97"/>
      <c r="AK317" s="97"/>
      <c r="AL317" s="97"/>
      <c r="AM317" s="97"/>
      <c r="AN317" s="97"/>
      <c r="AO317" s="97"/>
      <c r="AP317" s="97"/>
      <c r="AQ317" s="97"/>
      <c r="AR317" s="97"/>
      <c r="AS317" s="97"/>
      <c r="AT317" s="97"/>
      <c r="AU317" s="97"/>
      <c r="AV317" s="107"/>
      <c r="AW317" s="107"/>
      <c r="AX317" s="107"/>
      <c r="AY317" s="107"/>
      <c r="AZ317" s="107"/>
    </row>
    <row r="318" spans="2:52">
      <c r="B318" s="98"/>
      <c r="C318" s="98"/>
      <c r="D318" s="97"/>
      <c r="E318" s="97"/>
      <c r="F318" s="97"/>
      <c r="G318" s="97"/>
      <c r="H318" s="97"/>
      <c r="I318" s="97"/>
      <c r="J318" s="97"/>
      <c r="K318" s="97"/>
      <c r="L318" s="97"/>
      <c r="M318" s="97"/>
      <c r="N318" s="99"/>
      <c r="O318" s="97"/>
      <c r="P318" s="99"/>
      <c r="Q318" s="97"/>
      <c r="R318" s="97"/>
      <c r="S318" s="97"/>
      <c r="T318" s="97"/>
      <c r="U318" s="97"/>
      <c r="V318" s="97"/>
      <c r="W318" s="97"/>
      <c r="X318" s="97"/>
      <c r="Y318" s="97"/>
      <c r="Z318" s="97"/>
      <c r="AA318" s="97"/>
      <c r="AB318" s="97"/>
      <c r="AC318" s="97"/>
      <c r="AD318" s="97"/>
      <c r="AE318" s="97"/>
      <c r="AF318" s="97"/>
      <c r="AG318" s="97"/>
      <c r="AH318" s="97"/>
      <c r="AI318" s="97"/>
      <c r="AJ318" s="97"/>
      <c r="AK318" s="97"/>
      <c r="AL318" s="97"/>
      <c r="AM318" s="97"/>
      <c r="AN318" s="97"/>
      <c r="AO318" s="97"/>
      <c r="AP318" s="97"/>
      <c r="AQ318" s="97"/>
      <c r="AR318" s="97"/>
      <c r="AS318" s="97"/>
      <c r="AT318" s="97"/>
      <c r="AU318" s="97"/>
      <c r="AV318" s="107"/>
      <c r="AW318" s="107"/>
      <c r="AX318" s="107"/>
      <c r="AY318" s="107"/>
      <c r="AZ318" s="107"/>
    </row>
    <row r="319" spans="2:52">
      <c r="B319" s="98"/>
      <c r="C319" s="98"/>
      <c r="D319" s="97"/>
      <c r="E319" s="97"/>
      <c r="F319" s="97"/>
      <c r="G319" s="97"/>
      <c r="H319" s="97"/>
      <c r="I319" s="97"/>
      <c r="J319" s="97"/>
      <c r="K319" s="97"/>
      <c r="L319" s="97"/>
      <c r="M319" s="97"/>
      <c r="N319" s="99"/>
      <c r="O319" s="97"/>
      <c r="P319" s="99"/>
      <c r="Q319" s="97"/>
      <c r="R319" s="97"/>
      <c r="S319" s="97"/>
      <c r="T319" s="97"/>
      <c r="U319" s="97"/>
      <c r="V319" s="97"/>
      <c r="W319" s="97"/>
      <c r="X319" s="97"/>
      <c r="Y319" s="97"/>
      <c r="Z319" s="97"/>
      <c r="AA319" s="97"/>
      <c r="AB319" s="97"/>
      <c r="AC319" s="97"/>
      <c r="AD319" s="97"/>
      <c r="AE319" s="97"/>
      <c r="AF319" s="97"/>
      <c r="AG319" s="97"/>
      <c r="AH319" s="97"/>
      <c r="AI319" s="97"/>
      <c r="AJ319" s="97"/>
      <c r="AK319" s="97"/>
      <c r="AL319" s="97"/>
      <c r="AM319" s="97"/>
      <c r="AN319" s="97"/>
      <c r="AO319" s="97"/>
      <c r="AP319" s="97"/>
      <c r="AQ319" s="97"/>
      <c r="AR319" s="97"/>
      <c r="AS319" s="97"/>
      <c r="AT319" s="97"/>
      <c r="AU319" s="97"/>
      <c r="AV319" s="107"/>
      <c r="AW319" s="107"/>
      <c r="AX319" s="107"/>
      <c r="AY319" s="107"/>
      <c r="AZ319" s="107"/>
    </row>
    <row r="320" spans="2:52">
      <c r="B320" s="98"/>
      <c r="C320" s="98"/>
      <c r="D320" s="97"/>
      <c r="E320" s="97"/>
      <c r="F320" s="97"/>
      <c r="G320" s="97"/>
      <c r="H320" s="97"/>
      <c r="I320" s="97"/>
      <c r="J320" s="97"/>
      <c r="K320" s="97"/>
      <c r="L320" s="97"/>
      <c r="M320" s="97"/>
      <c r="N320" s="99"/>
      <c r="O320" s="97"/>
      <c r="P320" s="99"/>
      <c r="Q320" s="97"/>
      <c r="R320" s="97"/>
      <c r="S320" s="97"/>
      <c r="T320" s="97"/>
      <c r="U320" s="97"/>
      <c r="V320" s="97"/>
      <c r="W320" s="97"/>
      <c r="X320" s="97"/>
      <c r="Y320" s="97"/>
      <c r="Z320" s="97"/>
      <c r="AA320" s="97"/>
      <c r="AB320" s="97"/>
      <c r="AC320" s="97"/>
      <c r="AD320" s="97"/>
      <c r="AE320" s="97"/>
      <c r="AF320" s="97"/>
      <c r="AG320" s="97"/>
      <c r="AH320" s="97"/>
      <c r="AI320" s="97"/>
      <c r="AJ320" s="97"/>
      <c r="AK320" s="97"/>
      <c r="AL320" s="97"/>
      <c r="AM320" s="97"/>
      <c r="AN320" s="97"/>
      <c r="AO320" s="97"/>
      <c r="AP320" s="97"/>
      <c r="AQ320" s="97"/>
      <c r="AR320" s="97"/>
      <c r="AS320" s="97"/>
      <c r="AT320" s="97"/>
      <c r="AU320" s="97"/>
      <c r="AV320" s="107"/>
      <c r="AW320" s="107"/>
      <c r="AX320" s="107"/>
      <c r="AY320" s="107"/>
      <c r="AZ320" s="107"/>
    </row>
    <row r="321" spans="2:52">
      <c r="B321" s="98"/>
      <c r="C321" s="98"/>
      <c r="D321" s="97"/>
      <c r="E321" s="97"/>
      <c r="F321" s="97"/>
      <c r="G321" s="97"/>
      <c r="H321" s="97"/>
      <c r="I321" s="97"/>
      <c r="J321" s="97"/>
      <c r="K321" s="97"/>
      <c r="L321" s="97"/>
      <c r="M321" s="97"/>
      <c r="N321" s="99"/>
      <c r="O321" s="97"/>
      <c r="P321" s="99"/>
      <c r="Q321" s="97"/>
      <c r="R321" s="97"/>
      <c r="S321" s="97"/>
      <c r="T321" s="97"/>
      <c r="U321" s="97"/>
      <c r="V321" s="97"/>
      <c r="W321" s="97"/>
      <c r="X321" s="97"/>
      <c r="Y321" s="97"/>
      <c r="Z321" s="97"/>
      <c r="AA321" s="97"/>
      <c r="AB321" s="97"/>
      <c r="AC321" s="97"/>
      <c r="AD321" s="97"/>
      <c r="AE321" s="97"/>
      <c r="AF321" s="97"/>
      <c r="AG321" s="97"/>
      <c r="AH321" s="97"/>
      <c r="AI321" s="97"/>
      <c r="AJ321" s="97"/>
      <c r="AK321" s="97"/>
      <c r="AL321" s="97"/>
      <c r="AM321" s="97"/>
      <c r="AN321" s="97"/>
      <c r="AO321" s="97"/>
      <c r="AP321" s="97"/>
      <c r="AQ321" s="97"/>
      <c r="AR321" s="97"/>
      <c r="AS321" s="97"/>
      <c r="AT321" s="97"/>
      <c r="AU321" s="97"/>
      <c r="AV321" s="107"/>
      <c r="AW321" s="107"/>
      <c r="AX321" s="107"/>
      <c r="AY321" s="107"/>
      <c r="AZ321" s="107"/>
    </row>
    <row r="322" spans="2:52">
      <c r="B322" s="98"/>
      <c r="C322" s="98"/>
      <c r="D322" s="97"/>
      <c r="E322" s="97"/>
      <c r="F322" s="97"/>
      <c r="G322" s="97"/>
      <c r="H322" s="97"/>
      <c r="I322" s="97"/>
      <c r="J322" s="97"/>
      <c r="K322" s="97"/>
      <c r="L322" s="97"/>
      <c r="M322" s="97"/>
      <c r="N322" s="99"/>
      <c r="O322" s="97"/>
      <c r="P322" s="99"/>
      <c r="Q322" s="97"/>
      <c r="R322" s="97"/>
      <c r="S322" s="97"/>
      <c r="T322" s="97"/>
      <c r="U322" s="97"/>
      <c r="V322" s="97"/>
      <c r="W322" s="97"/>
      <c r="X322" s="97"/>
      <c r="Y322" s="97"/>
      <c r="Z322" s="97"/>
      <c r="AA322" s="97"/>
      <c r="AB322" s="97"/>
      <c r="AC322" s="97"/>
      <c r="AD322" s="97"/>
      <c r="AE322" s="97"/>
      <c r="AF322" s="97"/>
      <c r="AG322" s="97"/>
      <c r="AH322" s="97"/>
      <c r="AI322" s="97"/>
      <c r="AJ322" s="97"/>
      <c r="AK322" s="97"/>
      <c r="AL322" s="97"/>
      <c r="AM322" s="97"/>
      <c r="AN322" s="97"/>
      <c r="AO322" s="97"/>
      <c r="AP322" s="97"/>
      <c r="AQ322" s="97"/>
      <c r="AR322" s="97"/>
      <c r="AS322" s="97"/>
      <c r="AT322" s="97"/>
      <c r="AU322" s="97"/>
      <c r="AV322" s="107"/>
      <c r="AW322" s="107"/>
      <c r="AX322" s="107"/>
      <c r="AY322" s="107"/>
      <c r="AZ322" s="107"/>
    </row>
    <row r="323" spans="2:52">
      <c r="B323" s="98"/>
      <c r="C323" s="98"/>
      <c r="D323" s="97"/>
      <c r="E323" s="97"/>
      <c r="F323" s="97"/>
      <c r="G323" s="97"/>
      <c r="H323" s="97"/>
      <c r="I323" s="97"/>
      <c r="J323" s="97"/>
      <c r="K323" s="97"/>
      <c r="L323" s="97"/>
      <c r="M323" s="97"/>
      <c r="N323" s="99"/>
      <c r="O323" s="97"/>
      <c r="P323" s="99"/>
      <c r="Q323" s="97"/>
      <c r="R323" s="97"/>
      <c r="S323" s="97"/>
      <c r="T323" s="97"/>
      <c r="U323" s="97"/>
      <c r="V323" s="97"/>
      <c r="W323" s="97"/>
      <c r="X323" s="97"/>
      <c r="Y323" s="97"/>
      <c r="Z323" s="97"/>
      <c r="AA323" s="97"/>
      <c r="AB323" s="97"/>
      <c r="AC323" s="97"/>
      <c r="AD323" s="97"/>
      <c r="AE323" s="97"/>
      <c r="AF323" s="97"/>
      <c r="AG323" s="97"/>
      <c r="AH323" s="97"/>
      <c r="AI323" s="97"/>
      <c r="AJ323" s="97"/>
      <c r="AK323" s="97"/>
      <c r="AL323" s="97"/>
      <c r="AM323" s="97"/>
      <c r="AN323" s="97"/>
      <c r="AO323" s="97"/>
      <c r="AP323" s="97"/>
      <c r="AQ323" s="97"/>
      <c r="AR323" s="97"/>
      <c r="AS323" s="97"/>
      <c r="AT323" s="97"/>
      <c r="AU323" s="97"/>
      <c r="AV323" s="107"/>
      <c r="AW323" s="107"/>
      <c r="AX323" s="107"/>
      <c r="AY323" s="107"/>
      <c r="AZ323" s="107"/>
    </row>
    <row r="324" spans="2:52">
      <c r="B324" s="98"/>
      <c r="C324" s="98"/>
      <c r="D324" s="97"/>
      <c r="E324" s="97"/>
      <c r="F324" s="97"/>
      <c r="G324" s="97"/>
      <c r="H324" s="97"/>
      <c r="I324" s="97"/>
      <c r="J324" s="97"/>
      <c r="K324" s="97"/>
      <c r="L324" s="97"/>
      <c r="M324" s="97"/>
      <c r="N324" s="99"/>
      <c r="O324" s="97"/>
      <c r="P324" s="99"/>
      <c r="Q324" s="97"/>
      <c r="R324" s="97"/>
      <c r="S324" s="97"/>
      <c r="T324" s="97"/>
      <c r="U324" s="97"/>
      <c r="V324" s="97"/>
      <c r="W324" s="97"/>
      <c r="X324" s="97"/>
      <c r="Y324" s="97"/>
      <c r="Z324" s="97"/>
      <c r="AA324" s="97"/>
      <c r="AB324" s="97"/>
      <c r="AC324" s="97"/>
      <c r="AD324" s="97"/>
      <c r="AE324" s="97"/>
      <c r="AF324" s="97"/>
      <c r="AG324" s="97"/>
      <c r="AH324" s="97"/>
      <c r="AI324" s="97"/>
      <c r="AJ324" s="97"/>
      <c r="AK324" s="97"/>
      <c r="AL324" s="97"/>
      <c r="AM324" s="97"/>
      <c r="AN324" s="97"/>
      <c r="AO324" s="97"/>
      <c r="AP324" s="97"/>
      <c r="AQ324" s="97"/>
      <c r="AR324" s="97"/>
      <c r="AS324" s="97"/>
      <c r="AT324" s="97"/>
      <c r="AU324" s="97"/>
      <c r="AV324" s="107"/>
      <c r="AW324" s="107"/>
      <c r="AX324" s="107"/>
      <c r="AY324" s="107"/>
      <c r="AZ324" s="107"/>
    </row>
  </sheetData>
  <phoneticPr fontId="0" type="noConversion"/>
  <pageMargins left="0.75" right="0.75" top="1" bottom="1" header="0.5" footer="0.5"/>
  <pageSetup orientation="portrait" verticalDpi="120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KC75"/>
  <sheetViews>
    <sheetView zoomScale="60" zoomScaleNormal="60" workbookViewId="0">
      <pane xSplit="1" topLeftCell="BD1" activePane="topRight" state="frozen"/>
      <selection pane="topRight" activeCell="AV29" sqref="AV29"/>
    </sheetView>
  </sheetViews>
  <sheetFormatPr defaultRowHeight="12.6"/>
  <cols>
    <col min="1" max="1" width="23.42578125" style="76" customWidth="1"/>
    <col min="2" max="22" width="10" customWidth="1"/>
    <col min="23" max="23" width="10.5703125" bestFit="1" customWidth="1"/>
    <col min="24" max="24" width="10.5703125" style="527" customWidth="1"/>
    <col min="25" max="43" width="10" customWidth="1"/>
    <col min="44" max="65" width="10" style="527" customWidth="1"/>
    <col min="66" max="84" width="10" customWidth="1"/>
    <col min="90" max="125" width="10" customWidth="1"/>
    <col min="131" max="166" width="10" customWidth="1"/>
    <col min="172" max="207" width="10" customWidth="1"/>
    <col min="213" max="248" width="10" customWidth="1"/>
    <col min="249" max="253" width="10.5703125" customWidth="1"/>
    <col min="254" max="289" width="10" customWidth="1"/>
  </cols>
  <sheetData>
    <row r="1" spans="1:289" ht="12.95">
      <c r="A1" s="4" t="s">
        <v>309</v>
      </c>
      <c r="CG1" s="4" t="s">
        <v>309</v>
      </c>
      <c r="CL1" s="40"/>
      <c r="DV1" s="4" t="s">
        <v>309</v>
      </c>
      <c r="EA1" s="40"/>
      <c r="FK1" s="4" t="s">
        <v>309</v>
      </c>
      <c r="FP1" s="40"/>
      <c r="GZ1" s="4" t="s">
        <v>309</v>
      </c>
      <c r="HE1" s="40"/>
      <c r="IO1" s="4" t="s">
        <v>309</v>
      </c>
      <c r="IT1" s="40"/>
    </row>
    <row r="3" spans="1:289" ht="12.95">
      <c r="B3" s="40" t="s">
        <v>310</v>
      </c>
      <c r="G3" s="40"/>
      <c r="Y3" s="252" t="s">
        <v>311</v>
      </c>
      <c r="Z3" s="177"/>
      <c r="AA3" s="177"/>
      <c r="AB3" s="177"/>
      <c r="AC3" s="177"/>
      <c r="AD3" s="177"/>
      <c r="AE3" s="177"/>
      <c r="AF3" s="177"/>
      <c r="AG3" s="177"/>
      <c r="AH3" s="177"/>
      <c r="AI3" s="177"/>
      <c r="AJ3" s="177"/>
      <c r="AK3" s="177"/>
      <c r="AL3" s="177"/>
      <c r="AM3" s="177"/>
      <c r="AN3" s="177"/>
      <c r="AO3" s="177"/>
      <c r="AP3" s="177"/>
      <c r="AQ3" s="177"/>
      <c r="AR3" s="528" t="s">
        <v>312</v>
      </c>
      <c r="BN3" s="252" t="s">
        <v>311</v>
      </c>
      <c r="BO3" s="177"/>
      <c r="BP3" s="177"/>
      <c r="BQ3" s="177"/>
      <c r="BR3" s="177"/>
      <c r="BS3" s="177"/>
      <c r="BT3" s="177"/>
      <c r="BU3" s="177"/>
      <c r="BV3" s="177"/>
      <c r="BW3" s="177"/>
      <c r="BX3" s="177"/>
      <c r="BY3" s="177"/>
      <c r="BZ3" s="177"/>
      <c r="CA3" s="177"/>
      <c r="CB3" s="177"/>
      <c r="CC3" s="177"/>
      <c r="CD3" s="177"/>
      <c r="CE3" s="177"/>
      <c r="CF3" s="177"/>
      <c r="CG3" s="40" t="s">
        <v>113</v>
      </c>
      <c r="CL3" s="40"/>
      <c r="DC3" s="252" t="s">
        <v>311</v>
      </c>
      <c r="DD3" s="177"/>
      <c r="DE3" s="177"/>
      <c r="DF3" s="177"/>
      <c r="DG3" s="177"/>
      <c r="DH3" s="177"/>
      <c r="DI3" s="177"/>
      <c r="DJ3" s="177"/>
      <c r="DK3" s="177"/>
      <c r="DL3" s="177"/>
      <c r="DM3" s="177"/>
      <c r="DN3" s="177"/>
      <c r="DO3" s="177"/>
      <c r="DP3" s="177"/>
      <c r="DQ3" s="177"/>
      <c r="DR3" s="177"/>
      <c r="DS3" s="177"/>
      <c r="DT3" s="177"/>
      <c r="DU3" s="177"/>
      <c r="DV3" s="40" t="s">
        <v>20</v>
      </c>
      <c r="EA3" s="40"/>
      <c r="ER3" s="252" t="s">
        <v>311</v>
      </c>
      <c r="ES3" s="177"/>
      <c r="ET3" s="177"/>
      <c r="EU3" s="177"/>
      <c r="EV3" s="177"/>
      <c r="EW3" s="177"/>
      <c r="EX3" s="177"/>
      <c r="EY3" s="177"/>
      <c r="EZ3" s="177"/>
      <c r="FA3" s="177"/>
      <c r="FB3" s="177"/>
      <c r="FC3" s="177"/>
      <c r="FD3" s="177"/>
      <c r="FE3" s="177"/>
      <c r="FF3" s="177"/>
      <c r="FG3" s="177"/>
      <c r="FH3" s="177"/>
      <c r="FI3" s="177"/>
      <c r="FJ3" s="177"/>
      <c r="FK3" s="40" t="s">
        <v>313</v>
      </c>
      <c r="FP3" s="40"/>
      <c r="GG3" s="252" t="s">
        <v>311</v>
      </c>
      <c r="GH3" s="177"/>
      <c r="GI3" s="177"/>
      <c r="GJ3" s="177"/>
      <c r="GK3" s="177"/>
      <c r="GL3" s="177"/>
      <c r="GM3" s="177"/>
      <c r="GN3" s="177"/>
      <c r="GO3" s="177"/>
      <c r="GP3" s="177"/>
      <c r="GQ3" s="177"/>
      <c r="GR3" s="177"/>
      <c r="GS3" s="177"/>
      <c r="GT3" s="177"/>
      <c r="GU3" s="177"/>
      <c r="GV3" s="177"/>
      <c r="GW3" s="177"/>
      <c r="GX3" s="177"/>
      <c r="GY3" s="177"/>
      <c r="GZ3" s="40" t="s">
        <v>21</v>
      </c>
      <c r="HE3" s="40"/>
      <c r="HV3" s="252" t="s">
        <v>311</v>
      </c>
      <c r="HW3" s="177"/>
      <c r="HX3" s="177"/>
      <c r="HY3" s="177"/>
      <c r="HZ3" s="177"/>
      <c r="IA3" s="177"/>
      <c r="IB3" s="177"/>
      <c r="IC3" s="177"/>
      <c r="ID3" s="177"/>
      <c r="IE3" s="177"/>
      <c r="IF3" s="177"/>
      <c r="IG3" s="177"/>
      <c r="IH3" s="177"/>
      <c r="II3" s="177"/>
      <c r="IJ3" s="177"/>
      <c r="IK3" s="177"/>
      <c r="IL3" s="177"/>
      <c r="IM3" s="177"/>
      <c r="IN3" s="177"/>
      <c r="IO3" s="40" t="s">
        <v>314</v>
      </c>
      <c r="IT3" s="40"/>
      <c r="JK3" s="252" t="s">
        <v>311</v>
      </c>
      <c r="JL3" s="177"/>
      <c r="JM3" s="177"/>
      <c r="JN3" s="177"/>
      <c r="JO3" s="177"/>
      <c r="JP3" s="177"/>
      <c r="JQ3" s="177"/>
      <c r="JR3" s="177"/>
      <c r="JS3" s="177"/>
      <c r="JT3" s="177"/>
      <c r="JU3" s="177"/>
      <c r="JV3" s="177"/>
      <c r="JW3" s="177"/>
      <c r="JX3" s="177"/>
      <c r="JY3" s="177"/>
      <c r="JZ3" s="177"/>
      <c r="KA3" s="177"/>
      <c r="KB3" s="177"/>
      <c r="KC3" s="177"/>
    </row>
    <row r="4" spans="1:289">
      <c r="A4" s="17"/>
      <c r="B4" s="172" t="s">
        <v>216</v>
      </c>
      <c r="C4" s="172" t="s">
        <v>217</v>
      </c>
      <c r="D4" s="172" t="s">
        <v>270</v>
      </c>
      <c r="E4" s="172" t="s">
        <v>271</v>
      </c>
      <c r="F4" s="172" t="s">
        <v>272</v>
      </c>
      <c r="G4" s="172" t="s">
        <v>273</v>
      </c>
      <c r="H4" s="172" t="s">
        <v>274</v>
      </c>
      <c r="I4" s="172" t="s">
        <v>275</v>
      </c>
      <c r="J4" s="172" t="s">
        <v>276</v>
      </c>
      <c r="K4" s="172" t="s">
        <v>277</v>
      </c>
      <c r="L4" s="172" t="s">
        <v>278</v>
      </c>
      <c r="M4" s="172" t="s">
        <v>279</v>
      </c>
      <c r="N4" s="172" t="s">
        <v>280</v>
      </c>
      <c r="O4" s="172" t="s">
        <v>281</v>
      </c>
      <c r="P4" s="172" t="s">
        <v>282</v>
      </c>
      <c r="Q4" s="172" t="s">
        <v>283</v>
      </c>
      <c r="R4" s="172" t="s">
        <v>30</v>
      </c>
      <c r="S4" s="172" t="s">
        <v>232</v>
      </c>
      <c r="T4" s="172" t="s">
        <v>284</v>
      </c>
      <c r="U4" s="172" t="s">
        <v>95</v>
      </c>
      <c r="V4" s="172" t="s">
        <v>96</v>
      </c>
      <c r="W4" s="172" t="s">
        <v>97</v>
      </c>
      <c r="X4" s="530" t="s">
        <v>102</v>
      </c>
      <c r="Y4" s="178" t="s">
        <v>98</v>
      </c>
      <c r="Z4" s="178" t="s">
        <v>99</v>
      </c>
      <c r="AA4" s="178" t="s">
        <v>100</v>
      </c>
      <c r="AB4" s="178" t="s">
        <v>101</v>
      </c>
      <c r="AC4" s="178" t="s">
        <v>29</v>
      </c>
      <c r="AD4" s="178" t="s">
        <v>28</v>
      </c>
      <c r="AE4" s="178" t="s">
        <v>27</v>
      </c>
      <c r="AF4" s="178" t="s">
        <v>315</v>
      </c>
      <c r="AG4" s="178" t="s">
        <v>243</v>
      </c>
      <c r="AH4" s="178" t="s">
        <v>244</v>
      </c>
      <c r="AI4" s="178" t="s">
        <v>316</v>
      </c>
      <c r="AJ4" s="178" t="s">
        <v>317</v>
      </c>
      <c r="AK4" s="178" t="s">
        <v>318</v>
      </c>
      <c r="AL4" s="178" t="s">
        <v>319</v>
      </c>
      <c r="AM4" s="178" t="s">
        <v>320</v>
      </c>
      <c r="AN4" s="178" t="s">
        <v>321</v>
      </c>
      <c r="AO4" s="178" t="s">
        <v>322</v>
      </c>
      <c r="AP4" s="178" t="s">
        <v>323</v>
      </c>
      <c r="AQ4" s="178" t="s">
        <v>324</v>
      </c>
      <c r="AR4" s="529" t="s">
        <v>216</v>
      </c>
      <c r="AS4" s="530" t="s">
        <v>217</v>
      </c>
      <c r="AT4" s="530" t="s">
        <v>270</v>
      </c>
      <c r="AU4" s="530" t="s">
        <v>271</v>
      </c>
      <c r="AV4" s="530" t="s">
        <v>272</v>
      </c>
      <c r="AW4" s="530" t="s">
        <v>273</v>
      </c>
      <c r="AX4" s="530" t="s">
        <v>274</v>
      </c>
      <c r="AY4" s="530" t="s">
        <v>275</v>
      </c>
      <c r="AZ4" s="530" t="s">
        <v>276</v>
      </c>
      <c r="BA4" s="530" t="s">
        <v>277</v>
      </c>
      <c r="BB4" s="530" t="s">
        <v>278</v>
      </c>
      <c r="BC4" s="530" t="s">
        <v>279</v>
      </c>
      <c r="BD4" s="530" t="s">
        <v>280</v>
      </c>
      <c r="BE4" s="530" t="s">
        <v>281</v>
      </c>
      <c r="BF4" s="530" t="s">
        <v>282</v>
      </c>
      <c r="BG4" s="530" t="s">
        <v>283</v>
      </c>
      <c r="BH4" s="530" t="s">
        <v>30</v>
      </c>
      <c r="BI4" s="530" t="s">
        <v>232</v>
      </c>
      <c r="BJ4" s="530" t="s">
        <v>284</v>
      </c>
      <c r="BK4" s="530" t="s">
        <v>95</v>
      </c>
      <c r="BL4" s="530" t="s">
        <v>96</v>
      </c>
      <c r="BM4" s="530" t="s">
        <v>97</v>
      </c>
      <c r="BN4" s="178" t="s">
        <v>98</v>
      </c>
      <c r="BO4" s="178" t="s">
        <v>99</v>
      </c>
      <c r="BP4" s="178" t="s">
        <v>100</v>
      </c>
      <c r="BQ4" s="178" t="s">
        <v>101</v>
      </c>
      <c r="BR4" s="178" t="s">
        <v>29</v>
      </c>
      <c r="BS4" s="178" t="s">
        <v>28</v>
      </c>
      <c r="BT4" s="178" t="s">
        <v>27</v>
      </c>
      <c r="BU4" s="178" t="s">
        <v>315</v>
      </c>
      <c r="BV4" s="178" t="s">
        <v>243</v>
      </c>
      <c r="BW4" s="178" t="s">
        <v>244</v>
      </c>
      <c r="BX4" s="178" t="s">
        <v>316</v>
      </c>
      <c r="BY4" s="178" t="s">
        <v>317</v>
      </c>
      <c r="BZ4" s="178" t="s">
        <v>318</v>
      </c>
      <c r="CA4" s="178" t="s">
        <v>319</v>
      </c>
      <c r="CB4" s="178" t="s">
        <v>320</v>
      </c>
      <c r="CC4" s="178" t="s">
        <v>321</v>
      </c>
      <c r="CD4" s="178" t="s">
        <v>322</v>
      </c>
      <c r="CE4" s="178" t="s">
        <v>323</v>
      </c>
      <c r="CF4" s="178" t="s">
        <v>324</v>
      </c>
      <c r="CG4" s="172" t="s">
        <v>216</v>
      </c>
      <c r="CH4" s="172" t="s">
        <v>217</v>
      </c>
      <c r="CI4" s="172" t="s">
        <v>270</v>
      </c>
      <c r="CJ4" s="172" t="s">
        <v>271</v>
      </c>
      <c r="CK4" s="172" t="s">
        <v>272</v>
      </c>
      <c r="CL4" s="172" t="s">
        <v>273</v>
      </c>
      <c r="CM4" s="172" t="s">
        <v>274</v>
      </c>
      <c r="CN4" s="172" t="s">
        <v>275</v>
      </c>
      <c r="CO4" s="172" t="s">
        <v>276</v>
      </c>
      <c r="CP4" s="172" t="s">
        <v>277</v>
      </c>
      <c r="CQ4" s="172" t="s">
        <v>278</v>
      </c>
      <c r="CR4" s="172" t="s">
        <v>279</v>
      </c>
      <c r="CS4" s="172" t="s">
        <v>280</v>
      </c>
      <c r="CT4" s="172" t="s">
        <v>281</v>
      </c>
      <c r="CU4" s="172" t="s">
        <v>282</v>
      </c>
      <c r="CV4" s="172" t="s">
        <v>283</v>
      </c>
      <c r="CW4" s="172" t="s">
        <v>30</v>
      </c>
      <c r="CX4" s="172" t="s">
        <v>232</v>
      </c>
      <c r="CY4" s="172" t="s">
        <v>284</v>
      </c>
      <c r="CZ4" s="172" t="s">
        <v>95</v>
      </c>
      <c r="DA4" s="172" t="s">
        <v>96</v>
      </c>
      <c r="DB4" s="172" t="s">
        <v>97</v>
      </c>
      <c r="DC4" s="178" t="s">
        <v>98</v>
      </c>
      <c r="DD4" s="178" t="s">
        <v>99</v>
      </c>
      <c r="DE4" s="178" t="s">
        <v>100</v>
      </c>
      <c r="DF4" s="178" t="s">
        <v>101</v>
      </c>
      <c r="DG4" s="178" t="s">
        <v>29</v>
      </c>
      <c r="DH4" s="178" t="s">
        <v>28</v>
      </c>
      <c r="DI4" s="178" t="s">
        <v>27</v>
      </c>
      <c r="DJ4" s="178" t="s">
        <v>315</v>
      </c>
      <c r="DK4" s="178" t="s">
        <v>243</v>
      </c>
      <c r="DL4" s="178" t="s">
        <v>244</v>
      </c>
      <c r="DM4" s="178" t="s">
        <v>316</v>
      </c>
      <c r="DN4" s="178" t="s">
        <v>317</v>
      </c>
      <c r="DO4" s="178" t="s">
        <v>318</v>
      </c>
      <c r="DP4" s="178" t="s">
        <v>319</v>
      </c>
      <c r="DQ4" s="178" t="s">
        <v>320</v>
      </c>
      <c r="DR4" s="178" t="s">
        <v>321</v>
      </c>
      <c r="DS4" s="178" t="s">
        <v>322</v>
      </c>
      <c r="DT4" s="178" t="s">
        <v>323</v>
      </c>
      <c r="DU4" s="178" t="s">
        <v>324</v>
      </c>
      <c r="DV4" s="172" t="s">
        <v>216</v>
      </c>
      <c r="DW4" s="172" t="s">
        <v>217</v>
      </c>
      <c r="DX4" s="172" t="s">
        <v>270</v>
      </c>
      <c r="DY4" s="172" t="s">
        <v>271</v>
      </c>
      <c r="DZ4" s="172" t="s">
        <v>272</v>
      </c>
      <c r="EA4" s="172" t="s">
        <v>273</v>
      </c>
      <c r="EB4" s="172" t="s">
        <v>274</v>
      </c>
      <c r="EC4" s="172" t="s">
        <v>275</v>
      </c>
      <c r="ED4" s="172" t="s">
        <v>276</v>
      </c>
      <c r="EE4" s="172" t="s">
        <v>277</v>
      </c>
      <c r="EF4" s="172" t="s">
        <v>278</v>
      </c>
      <c r="EG4" s="172" t="s">
        <v>279</v>
      </c>
      <c r="EH4" s="172" t="s">
        <v>280</v>
      </c>
      <c r="EI4" s="172" t="s">
        <v>281</v>
      </c>
      <c r="EJ4" s="172" t="s">
        <v>282</v>
      </c>
      <c r="EK4" s="172" t="s">
        <v>283</v>
      </c>
      <c r="EL4" s="172" t="s">
        <v>30</v>
      </c>
      <c r="EM4" s="172" t="s">
        <v>232</v>
      </c>
      <c r="EN4" s="172" t="s">
        <v>284</v>
      </c>
      <c r="EO4" s="172" t="s">
        <v>95</v>
      </c>
      <c r="EP4" s="172" t="s">
        <v>96</v>
      </c>
      <c r="EQ4" s="172" t="s">
        <v>97</v>
      </c>
      <c r="ER4" s="178" t="s">
        <v>98</v>
      </c>
      <c r="ES4" s="178" t="s">
        <v>99</v>
      </c>
      <c r="ET4" s="178" t="s">
        <v>100</v>
      </c>
      <c r="EU4" s="178" t="s">
        <v>101</v>
      </c>
      <c r="EV4" s="178" t="s">
        <v>29</v>
      </c>
      <c r="EW4" s="178" t="s">
        <v>28</v>
      </c>
      <c r="EX4" s="178" t="s">
        <v>27</v>
      </c>
      <c r="EY4" s="178" t="s">
        <v>315</v>
      </c>
      <c r="EZ4" s="178" t="s">
        <v>243</v>
      </c>
      <c r="FA4" s="178" t="s">
        <v>244</v>
      </c>
      <c r="FB4" s="178" t="s">
        <v>316</v>
      </c>
      <c r="FC4" s="178" t="s">
        <v>317</v>
      </c>
      <c r="FD4" s="178" t="s">
        <v>318</v>
      </c>
      <c r="FE4" s="178" t="s">
        <v>319</v>
      </c>
      <c r="FF4" s="178" t="s">
        <v>320</v>
      </c>
      <c r="FG4" s="178" t="s">
        <v>321</v>
      </c>
      <c r="FH4" s="178" t="s">
        <v>322</v>
      </c>
      <c r="FI4" s="178" t="s">
        <v>323</v>
      </c>
      <c r="FJ4" s="178" t="s">
        <v>324</v>
      </c>
      <c r="FK4" s="172" t="s">
        <v>216</v>
      </c>
      <c r="FL4" s="172" t="s">
        <v>217</v>
      </c>
      <c r="FM4" s="172" t="s">
        <v>270</v>
      </c>
      <c r="FN4" s="172" t="s">
        <v>271</v>
      </c>
      <c r="FO4" s="172" t="s">
        <v>272</v>
      </c>
      <c r="FP4" s="172" t="s">
        <v>273</v>
      </c>
      <c r="FQ4" s="172" t="s">
        <v>274</v>
      </c>
      <c r="FR4" s="172" t="s">
        <v>275</v>
      </c>
      <c r="FS4" s="172" t="s">
        <v>276</v>
      </c>
      <c r="FT4" s="172" t="s">
        <v>277</v>
      </c>
      <c r="FU4" s="172" t="s">
        <v>278</v>
      </c>
      <c r="FV4" s="172" t="s">
        <v>279</v>
      </c>
      <c r="FW4" s="172" t="s">
        <v>280</v>
      </c>
      <c r="FX4" s="172" t="s">
        <v>281</v>
      </c>
      <c r="FY4" s="172" t="s">
        <v>282</v>
      </c>
      <c r="FZ4" s="172" t="s">
        <v>283</v>
      </c>
      <c r="GA4" s="172" t="s">
        <v>30</v>
      </c>
      <c r="GB4" s="172" t="s">
        <v>232</v>
      </c>
      <c r="GC4" s="172" t="s">
        <v>284</v>
      </c>
      <c r="GD4" s="172" t="s">
        <v>95</v>
      </c>
      <c r="GE4" s="172" t="s">
        <v>96</v>
      </c>
      <c r="GF4" s="172" t="s">
        <v>97</v>
      </c>
      <c r="GG4" s="178" t="s">
        <v>98</v>
      </c>
      <c r="GH4" s="178" t="s">
        <v>99</v>
      </c>
      <c r="GI4" s="178" t="s">
        <v>100</v>
      </c>
      <c r="GJ4" s="178" t="s">
        <v>101</v>
      </c>
      <c r="GK4" s="178" t="s">
        <v>29</v>
      </c>
      <c r="GL4" s="178" t="s">
        <v>28</v>
      </c>
      <c r="GM4" s="178" t="s">
        <v>27</v>
      </c>
      <c r="GN4" s="178" t="s">
        <v>315</v>
      </c>
      <c r="GO4" s="178" t="s">
        <v>243</v>
      </c>
      <c r="GP4" s="178" t="s">
        <v>244</v>
      </c>
      <c r="GQ4" s="178" t="s">
        <v>316</v>
      </c>
      <c r="GR4" s="178" t="s">
        <v>317</v>
      </c>
      <c r="GS4" s="178" t="s">
        <v>318</v>
      </c>
      <c r="GT4" s="178" t="s">
        <v>319</v>
      </c>
      <c r="GU4" s="178" t="s">
        <v>320</v>
      </c>
      <c r="GV4" s="178" t="s">
        <v>321</v>
      </c>
      <c r="GW4" s="178" t="s">
        <v>322</v>
      </c>
      <c r="GX4" s="178" t="s">
        <v>323</v>
      </c>
      <c r="GY4" s="178" t="s">
        <v>324</v>
      </c>
      <c r="GZ4" s="172" t="s">
        <v>216</v>
      </c>
      <c r="HA4" s="172" t="s">
        <v>217</v>
      </c>
      <c r="HB4" s="172" t="s">
        <v>270</v>
      </c>
      <c r="HC4" s="172" t="s">
        <v>271</v>
      </c>
      <c r="HD4" s="172" t="s">
        <v>272</v>
      </c>
      <c r="HE4" s="172" t="s">
        <v>273</v>
      </c>
      <c r="HF4" s="172" t="s">
        <v>274</v>
      </c>
      <c r="HG4" s="172" t="s">
        <v>275</v>
      </c>
      <c r="HH4" s="172" t="s">
        <v>276</v>
      </c>
      <c r="HI4" s="172" t="s">
        <v>277</v>
      </c>
      <c r="HJ4" s="172" t="s">
        <v>278</v>
      </c>
      <c r="HK4" s="172" t="s">
        <v>279</v>
      </c>
      <c r="HL4" s="172" t="s">
        <v>280</v>
      </c>
      <c r="HM4" s="172" t="s">
        <v>281</v>
      </c>
      <c r="HN4" s="172" t="s">
        <v>282</v>
      </c>
      <c r="HO4" s="172" t="s">
        <v>283</v>
      </c>
      <c r="HP4" s="172" t="s">
        <v>30</v>
      </c>
      <c r="HQ4" s="172" t="s">
        <v>232</v>
      </c>
      <c r="HR4" s="172" t="s">
        <v>284</v>
      </c>
      <c r="HS4" s="172" t="s">
        <v>95</v>
      </c>
      <c r="HT4" s="172" t="s">
        <v>96</v>
      </c>
      <c r="HU4" s="172" t="s">
        <v>97</v>
      </c>
      <c r="HV4" s="178" t="s">
        <v>98</v>
      </c>
      <c r="HW4" s="178" t="s">
        <v>99</v>
      </c>
      <c r="HX4" s="178" t="s">
        <v>100</v>
      </c>
      <c r="HY4" s="178" t="s">
        <v>101</v>
      </c>
      <c r="HZ4" s="178" t="s">
        <v>29</v>
      </c>
      <c r="IA4" s="178" t="s">
        <v>28</v>
      </c>
      <c r="IB4" s="178" t="s">
        <v>27</v>
      </c>
      <c r="IC4" s="178" t="s">
        <v>315</v>
      </c>
      <c r="ID4" s="178" t="s">
        <v>243</v>
      </c>
      <c r="IE4" s="178" t="s">
        <v>244</v>
      </c>
      <c r="IF4" s="178" t="s">
        <v>316</v>
      </c>
      <c r="IG4" s="178" t="s">
        <v>317</v>
      </c>
      <c r="IH4" s="178" t="s">
        <v>318</v>
      </c>
      <c r="II4" s="178" t="s">
        <v>319</v>
      </c>
      <c r="IJ4" s="178" t="s">
        <v>320</v>
      </c>
      <c r="IK4" s="178" t="s">
        <v>321</v>
      </c>
      <c r="IL4" s="178" t="s">
        <v>322</v>
      </c>
      <c r="IM4" s="178" t="s">
        <v>323</v>
      </c>
      <c r="IN4" s="178" t="s">
        <v>324</v>
      </c>
      <c r="IO4" s="172" t="s">
        <v>216</v>
      </c>
      <c r="IP4" s="172" t="s">
        <v>217</v>
      </c>
      <c r="IQ4" s="172" t="s">
        <v>270</v>
      </c>
      <c r="IR4" s="172" t="s">
        <v>271</v>
      </c>
      <c r="IS4" s="172" t="s">
        <v>272</v>
      </c>
      <c r="IT4" s="172" t="s">
        <v>273</v>
      </c>
      <c r="IU4" s="172" t="s">
        <v>274</v>
      </c>
      <c r="IV4" s="172" t="s">
        <v>275</v>
      </c>
      <c r="IW4" s="172" t="s">
        <v>276</v>
      </c>
      <c r="IX4" s="172" t="s">
        <v>277</v>
      </c>
      <c r="IY4" s="172" t="s">
        <v>278</v>
      </c>
      <c r="IZ4" s="172" t="s">
        <v>279</v>
      </c>
      <c r="JA4" s="172" t="s">
        <v>280</v>
      </c>
      <c r="JB4" s="172" t="s">
        <v>281</v>
      </c>
      <c r="JC4" s="172" t="s">
        <v>282</v>
      </c>
      <c r="JD4" s="172" t="s">
        <v>283</v>
      </c>
      <c r="JE4" s="172" t="s">
        <v>30</v>
      </c>
      <c r="JF4" s="172" t="s">
        <v>232</v>
      </c>
      <c r="JG4" s="172" t="s">
        <v>284</v>
      </c>
      <c r="JH4" s="172" t="s">
        <v>95</v>
      </c>
      <c r="JI4" s="172" t="s">
        <v>96</v>
      </c>
      <c r="JJ4" s="172" t="s">
        <v>97</v>
      </c>
      <c r="JK4" s="178" t="s">
        <v>98</v>
      </c>
      <c r="JL4" s="178" t="s">
        <v>99</v>
      </c>
      <c r="JM4" s="178" t="s">
        <v>100</v>
      </c>
      <c r="JN4" s="178" t="s">
        <v>101</v>
      </c>
      <c r="JO4" s="178" t="s">
        <v>29</v>
      </c>
      <c r="JP4" s="178" t="s">
        <v>28</v>
      </c>
      <c r="JQ4" s="178" t="s">
        <v>27</v>
      </c>
      <c r="JR4" s="178" t="s">
        <v>315</v>
      </c>
      <c r="JS4" s="178" t="s">
        <v>243</v>
      </c>
      <c r="JT4" s="178" t="s">
        <v>244</v>
      </c>
      <c r="JU4" s="178" t="s">
        <v>316</v>
      </c>
      <c r="JV4" s="178" t="s">
        <v>317</v>
      </c>
      <c r="JW4" s="178" t="s">
        <v>318</v>
      </c>
      <c r="JX4" s="178" t="s">
        <v>319</v>
      </c>
      <c r="JY4" s="178" t="s">
        <v>320</v>
      </c>
      <c r="JZ4" s="178" t="s">
        <v>321</v>
      </c>
      <c r="KA4" s="178" t="s">
        <v>322</v>
      </c>
      <c r="KB4" s="178" t="s">
        <v>323</v>
      </c>
      <c r="KC4" s="178" t="s">
        <v>324</v>
      </c>
    </row>
    <row r="5" spans="1:289">
      <c r="A5" s="111" t="s">
        <v>31</v>
      </c>
      <c r="B5" s="255">
        <f>+B7+B26+B42+B56+B67</f>
        <v>2154648.8362400304</v>
      </c>
      <c r="C5" s="255">
        <f>+C7+C26+C42+C56+C67</f>
        <v>2219091.2179300808</v>
      </c>
      <c r="D5" s="101">
        <v>2212948.5509616472</v>
      </c>
      <c r="E5" s="101">
        <v>2264217.5853036181</v>
      </c>
      <c r="F5" s="101">
        <v>2272979.7863255418</v>
      </c>
      <c r="G5" s="101">
        <v>2361670</v>
      </c>
      <c r="H5" s="101">
        <v>2439626</v>
      </c>
      <c r="I5" s="101">
        <v>2485759</v>
      </c>
      <c r="J5" s="101">
        <v>2553381</v>
      </c>
      <c r="K5" s="101">
        <v>2569200</v>
      </c>
      <c r="L5" s="101">
        <v>2621534</v>
      </c>
      <c r="M5" s="101">
        <v>2719947</v>
      </c>
      <c r="N5" s="101">
        <v>2759889</v>
      </c>
      <c r="O5" s="101">
        <v>2799250</v>
      </c>
      <c r="P5" s="101">
        <v>2813412</v>
      </c>
      <c r="Q5" s="101">
        <v>2893045</v>
      </c>
      <c r="R5" s="101">
        <v>3001337</v>
      </c>
      <c r="S5" s="101">
        <v>3039015</v>
      </c>
      <c r="T5" s="101">
        <v>3128022</v>
      </c>
      <c r="U5" s="101">
        <v>3144100</v>
      </c>
      <c r="V5" s="101">
        <v>3149185</v>
      </c>
      <c r="W5" s="101">
        <v>3169257</v>
      </c>
      <c r="X5" s="544">
        <f>X7+X26+X42+X56</f>
        <v>3358310</v>
      </c>
      <c r="Y5" s="179">
        <v>3152268.5720464098</v>
      </c>
      <c r="Z5" s="179">
        <v>3135026.3008483299</v>
      </c>
      <c r="AA5" s="179">
        <v>3138860.1539595718</v>
      </c>
      <c r="AB5" s="179">
        <v>3118893.1392210932</v>
      </c>
      <c r="AC5" s="179">
        <v>3198033.2992316959</v>
      </c>
      <c r="AD5" s="179">
        <v>3203027.788579233</v>
      </c>
      <c r="AE5" s="179">
        <v>3166149.5295944284</v>
      </c>
      <c r="AF5" s="179">
        <v>3184962.6902755052</v>
      </c>
      <c r="AG5" s="179">
        <v>3195867.4303604397</v>
      </c>
      <c r="AH5" s="179">
        <v>3216522.2084324444</v>
      </c>
      <c r="AI5" s="179">
        <v>3270508.9464403247</v>
      </c>
      <c r="AJ5" s="179">
        <v>3317312.6210287297</v>
      </c>
      <c r="AK5" s="179">
        <v>3280993.0172791104</v>
      </c>
      <c r="AL5" s="179">
        <v>3190662.4273525323</v>
      </c>
      <c r="AM5" s="179">
        <v>3086407.0237668036</v>
      </c>
      <c r="AN5" s="179">
        <v>3047075.9127478609</v>
      </c>
      <c r="AO5" s="179">
        <v>3047543.8109829002</v>
      </c>
      <c r="AP5" s="179">
        <v>3033543.5528462837</v>
      </c>
      <c r="AQ5" s="179">
        <v>3076509.3505134862</v>
      </c>
      <c r="AR5" s="531">
        <f t="shared" ref="AR5:CA5" si="0">+CG5+DV5</f>
        <v>0</v>
      </c>
      <c r="AS5" s="532">
        <f t="shared" si="0"/>
        <v>0</v>
      </c>
      <c r="AT5" s="532">
        <f t="shared" si="0"/>
        <v>120343.81082341021</v>
      </c>
      <c r="AU5" s="532">
        <f t="shared" si="0"/>
        <v>120688.59399489746</v>
      </c>
      <c r="AV5" s="532">
        <f t="shared" si="0"/>
        <v>122456.17374633758</v>
      </c>
      <c r="AW5" s="532">
        <f t="shared" si="0"/>
        <v>127209</v>
      </c>
      <c r="AX5" s="532">
        <f t="shared" si="0"/>
        <v>135692</v>
      </c>
      <c r="AY5" s="532">
        <f t="shared" si="0"/>
        <v>139896</v>
      </c>
      <c r="AZ5" s="532">
        <f t="shared" si="0"/>
        <v>148321</v>
      </c>
      <c r="BA5" s="532">
        <f t="shared" si="0"/>
        <v>152989.98612103</v>
      </c>
      <c r="BB5" s="532">
        <f t="shared" si="0"/>
        <v>158943.85824209999</v>
      </c>
      <c r="BC5" s="532">
        <f t="shared" si="0"/>
        <v>162487.52568349999</v>
      </c>
      <c r="BD5" s="532">
        <f t="shared" si="0"/>
        <v>166142.99632367</v>
      </c>
      <c r="BE5" s="532">
        <f t="shared" si="0"/>
        <v>173010.58269389</v>
      </c>
      <c r="BF5" s="532">
        <f t="shared" si="0"/>
        <v>179932</v>
      </c>
      <c r="BG5" s="532">
        <f t="shared" si="0"/>
        <v>184424</v>
      </c>
      <c r="BH5" s="532">
        <f t="shared" si="0"/>
        <v>191708</v>
      </c>
      <c r="BI5" s="532">
        <f t="shared" si="0"/>
        <v>199748.5970977323</v>
      </c>
      <c r="BJ5" s="532">
        <f t="shared" si="0"/>
        <v>203302.83869983582</v>
      </c>
      <c r="BK5" s="532">
        <f t="shared" si="0"/>
        <v>205744.47337769097</v>
      </c>
      <c r="BL5" s="532">
        <f t="shared" si="0"/>
        <v>211027.54904189816</v>
      </c>
      <c r="BM5" s="532">
        <f t="shared" si="0"/>
        <v>215633.6440972249</v>
      </c>
      <c r="BN5" s="256">
        <f t="shared" si="0"/>
        <v>215789.95968867795</v>
      </c>
      <c r="BO5" s="256">
        <f t="shared" si="0"/>
        <v>215354.5380039876</v>
      </c>
      <c r="BP5" s="256">
        <f t="shared" si="0"/>
        <v>213243.64110964182</v>
      </c>
      <c r="BQ5" s="256">
        <f t="shared" si="0"/>
        <v>212683.38901842784</v>
      </c>
      <c r="BR5" s="256">
        <f t="shared" si="0"/>
        <v>225846.49905794981</v>
      </c>
      <c r="BS5" s="256">
        <f t="shared" si="0"/>
        <v>224761.18223616137</v>
      </c>
      <c r="BT5" s="256">
        <f t="shared" si="0"/>
        <v>225810.94925364282</v>
      </c>
      <c r="BU5" s="256">
        <f t="shared" si="0"/>
        <v>232858.09436997797</v>
      </c>
      <c r="BV5" s="256">
        <f t="shared" si="0"/>
        <v>235666.95584067848</v>
      </c>
      <c r="BW5" s="256">
        <f t="shared" si="0"/>
        <v>234510.18632145217</v>
      </c>
      <c r="BX5" s="256">
        <f t="shared" si="0"/>
        <v>233636.14552561374</v>
      </c>
      <c r="BY5" s="256">
        <f t="shared" si="0"/>
        <v>234892.59772155312</v>
      </c>
      <c r="BZ5" s="256">
        <f t="shared" si="0"/>
        <v>247479.26730539493</v>
      </c>
      <c r="CA5" s="256">
        <f t="shared" si="0"/>
        <v>245606.16225307091</v>
      </c>
      <c r="CB5" s="256">
        <f t="shared" ref="CB5:CB7" si="1">+DQ5+FF5</f>
        <v>239735.30384921163</v>
      </c>
      <c r="CC5" s="256">
        <f t="shared" ref="CC5:CC7" si="2">+DR5+FG5</f>
        <v>239018.77628826132</v>
      </c>
      <c r="CD5" s="256">
        <f t="shared" ref="CD5:CD7" si="3">+DS5+FH5</f>
        <v>254216.71686222957</v>
      </c>
      <c r="CE5" s="256">
        <f t="shared" ref="CE5:CE7" si="4">+DT5+FI5</f>
        <v>250311.01031368828</v>
      </c>
      <c r="CF5" s="256">
        <f t="shared" ref="CF5:CF7" si="5">+DU5+FJ5</f>
        <v>264073.92092918867</v>
      </c>
      <c r="CG5" s="101"/>
      <c r="CH5" s="101"/>
      <c r="CI5" s="101">
        <v>20253.908894560256</v>
      </c>
      <c r="CJ5" s="101">
        <v>21452.133983078416</v>
      </c>
      <c r="CK5" s="101">
        <v>21209.069266826733</v>
      </c>
      <c r="CL5" s="101">
        <v>22132</v>
      </c>
      <c r="CM5" s="101">
        <v>23364</v>
      </c>
      <c r="CN5" s="101">
        <v>23869</v>
      </c>
      <c r="CO5" s="101">
        <v>25178</v>
      </c>
      <c r="CP5" s="101">
        <v>26138.129746229999</v>
      </c>
      <c r="CQ5" s="101">
        <v>26901.198045199999</v>
      </c>
      <c r="CR5" s="101">
        <v>27391.481050099999</v>
      </c>
      <c r="CS5" s="101">
        <v>28331.452758569998</v>
      </c>
      <c r="CT5" s="101">
        <v>30455.619532189998</v>
      </c>
      <c r="CU5" s="101">
        <v>29185</v>
      </c>
      <c r="CV5" s="101">
        <v>30598</v>
      </c>
      <c r="CW5" s="101">
        <v>32062</v>
      </c>
      <c r="CX5" s="101">
        <v>32356.670545319546</v>
      </c>
      <c r="CY5" s="101">
        <v>34352.173120003536</v>
      </c>
      <c r="CZ5" s="101">
        <v>33444.140342770792</v>
      </c>
      <c r="DA5" s="101">
        <v>33223.783481105485</v>
      </c>
      <c r="DB5" s="101">
        <v>31947.256878045027</v>
      </c>
      <c r="DC5" s="179">
        <v>30876.918379421742</v>
      </c>
      <c r="DD5" s="179">
        <v>30099.177573963007</v>
      </c>
      <c r="DE5" s="179">
        <v>30167.045711594812</v>
      </c>
      <c r="DF5" s="179">
        <v>29300.453703428295</v>
      </c>
      <c r="DG5" s="179">
        <v>29050.099737618926</v>
      </c>
      <c r="DH5" s="179">
        <v>28138.772713501457</v>
      </c>
      <c r="DI5" s="179">
        <v>27458.35644504636</v>
      </c>
      <c r="DJ5" s="179">
        <v>26662.310017400439</v>
      </c>
      <c r="DK5" s="179">
        <v>26268.285366513108</v>
      </c>
      <c r="DL5" s="179">
        <v>25878.242570482656</v>
      </c>
      <c r="DM5" s="179">
        <v>25711.13949333494</v>
      </c>
      <c r="DN5" s="179">
        <v>25399.094967499474</v>
      </c>
      <c r="DO5" s="179">
        <v>26743.710976236849</v>
      </c>
      <c r="DP5" s="179">
        <v>26105.555846825337</v>
      </c>
      <c r="DQ5" s="179">
        <v>24817.41393932782</v>
      </c>
      <c r="DR5" s="179">
        <v>23784.541920440133</v>
      </c>
      <c r="DS5" s="179">
        <v>23617.815491577439</v>
      </c>
      <c r="DT5" s="179">
        <v>23481.261644335369</v>
      </c>
      <c r="DU5" s="179">
        <v>22860.005297137577</v>
      </c>
      <c r="DV5" s="101"/>
      <c r="DW5" s="101"/>
      <c r="DX5" s="101">
        <v>100089.90192884995</v>
      </c>
      <c r="DY5" s="101">
        <v>99236.460011819043</v>
      </c>
      <c r="DZ5" s="101">
        <v>101247.10447951085</v>
      </c>
      <c r="EA5" s="101">
        <v>105077</v>
      </c>
      <c r="EB5" s="101">
        <v>112328</v>
      </c>
      <c r="EC5" s="101">
        <v>116027</v>
      </c>
      <c r="ED5" s="101">
        <v>123143</v>
      </c>
      <c r="EE5" s="101">
        <v>126851.8563748</v>
      </c>
      <c r="EF5" s="101">
        <v>132042.66019689999</v>
      </c>
      <c r="EG5" s="101">
        <v>135096.04463339999</v>
      </c>
      <c r="EH5" s="101">
        <v>137811.5435651</v>
      </c>
      <c r="EI5" s="101">
        <v>142554.9631617</v>
      </c>
      <c r="EJ5" s="101">
        <v>150747</v>
      </c>
      <c r="EK5" s="101">
        <v>153826</v>
      </c>
      <c r="EL5" s="101">
        <v>159646</v>
      </c>
      <c r="EM5" s="101">
        <v>167391.92655241277</v>
      </c>
      <c r="EN5" s="101">
        <v>168950.66557983228</v>
      </c>
      <c r="EO5" s="101">
        <v>172300.33303492019</v>
      </c>
      <c r="EP5" s="101">
        <v>177803.76556079267</v>
      </c>
      <c r="EQ5" s="101">
        <v>183686.38721917986</v>
      </c>
      <c r="ER5" s="179">
        <v>184913.04130925619</v>
      </c>
      <c r="ES5" s="179">
        <v>185255.36043002459</v>
      </c>
      <c r="ET5" s="179">
        <v>183076.59539804701</v>
      </c>
      <c r="EU5" s="179">
        <v>183382.93531499954</v>
      </c>
      <c r="EV5" s="179">
        <v>196796.39932033088</v>
      </c>
      <c r="EW5" s="179">
        <v>196622.40952265993</v>
      </c>
      <c r="EX5" s="179">
        <v>198352.59280859647</v>
      </c>
      <c r="EY5" s="179">
        <v>206195.78435257752</v>
      </c>
      <c r="EZ5" s="179">
        <v>209398.67047416538</v>
      </c>
      <c r="FA5" s="179">
        <v>208631.94375096951</v>
      </c>
      <c r="FB5" s="179">
        <v>207925.00603227879</v>
      </c>
      <c r="FC5" s="179">
        <v>209493.50275405365</v>
      </c>
      <c r="FD5" s="179">
        <v>220735.55632915808</v>
      </c>
      <c r="FE5" s="179">
        <v>219500.60640624558</v>
      </c>
      <c r="FF5" s="179">
        <v>214917.88990988382</v>
      </c>
      <c r="FG5" s="179">
        <v>215234.23436782119</v>
      </c>
      <c r="FH5" s="179">
        <v>230598.90137065214</v>
      </c>
      <c r="FI5" s="179">
        <v>226829.74866935291</v>
      </c>
      <c r="FJ5" s="179">
        <v>241213.91563205107</v>
      </c>
      <c r="FK5" s="101"/>
      <c r="FL5" s="101"/>
      <c r="FM5" s="101">
        <v>284864.00016754906</v>
      </c>
      <c r="FN5" s="101">
        <v>291055.80087037536</v>
      </c>
      <c r="FO5" s="101">
        <v>293996.21213934384</v>
      </c>
      <c r="FP5" s="101">
        <v>309580</v>
      </c>
      <c r="FQ5" s="101">
        <v>319406</v>
      </c>
      <c r="FR5" s="101">
        <v>322338</v>
      </c>
      <c r="FS5" s="101">
        <v>334323</v>
      </c>
      <c r="FT5" s="101">
        <v>336176.40161339007</v>
      </c>
      <c r="FU5" s="101">
        <v>345430.12358512997</v>
      </c>
      <c r="FV5" s="101">
        <v>358387.12513350003</v>
      </c>
      <c r="FW5" s="101">
        <v>371971.58498809999</v>
      </c>
      <c r="FX5" s="101">
        <v>384728.16441309999</v>
      </c>
      <c r="FY5" s="101">
        <v>391122</v>
      </c>
      <c r="FZ5" s="101">
        <v>408750</v>
      </c>
      <c r="GA5" s="101">
        <v>431944</v>
      </c>
      <c r="GB5" s="101">
        <v>452820.10490981542</v>
      </c>
      <c r="GC5" s="101">
        <v>475306.49566963146</v>
      </c>
      <c r="GD5" s="101">
        <v>480975.70709103689</v>
      </c>
      <c r="GE5" s="101">
        <v>478928.76677626022</v>
      </c>
      <c r="GF5" s="101">
        <v>474246.6954127847</v>
      </c>
      <c r="GG5" s="179">
        <v>466230.90127878112</v>
      </c>
      <c r="GH5" s="179">
        <v>464404.67578009417</v>
      </c>
      <c r="GI5" s="179">
        <v>459572.31945838837</v>
      </c>
      <c r="GJ5" s="179">
        <v>450543.28356914327</v>
      </c>
      <c r="GK5" s="179">
        <v>465040.30254560395</v>
      </c>
      <c r="GL5" s="179">
        <v>461071.90494197875</v>
      </c>
      <c r="GM5" s="179">
        <v>450628.91058730311</v>
      </c>
      <c r="GN5" s="179">
        <v>441955.33022802166</v>
      </c>
      <c r="GO5" s="179">
        <v>438763.12944611273</v>
      </c>
      <c r="GP5" s="179">
        <v>445157.31439391652</v>
      </c>
      <c r="GQ5" s="179">
        <v>457765.31866180635</v>
      </c>
      <c r="GR5" s="179">
        <v>471322.84576430067</v>
      </c>
      <c r="GS5" s="179">
        <v>472456.5446676804</v>
      </c>
      <c r="GT5" s="179">
        <v>460941.24124744331</v>
      </c>
      <c r="GU5" s="179">
        <v>445577.09563537093</v>
      </c>
      <c r="GV5" s="179">
        <v>434637.50366478332</v>
      </c>
      <c r="GW5" s="179">
        <v>436117.42586164607</v>
      </c>
      <c r="GX5" s="179">
        <v>436682.43330351193</v>
      </c>
      <c r="GY5" s="179">
        <v>440374.40562330827</v>
      </c>
      <c r="GZ5" s="101"/>
      <c r="HA5" s="101"/>
      <c r="HB5" s="101">
        <v>208463.46648864407</v>
      </c>
      <c r="HC5" s="101">
        <v>213169.3993417348</v>
      </c>
      <c r="HD5" s="101">
        <v>218965.6092170389</v>
      </c>
      <c r="HE5" s="101">
        <v>234075</v>
      </c>
      <c r="HF5" s="101">
        <v>252290</v>
      </c>
      <c r="HG5" s="101">
        <v>269198</v>
      </c>
      <c r="HH5" s="101">
        <v>283982</v>
      </c>
      <c r="HI5" s="101">
        <v>296776.07124913001</v>
      </c>
      <c r="HJ5" s="101">
        <v>314122.10675372998</v>
      </c>
      <c r="HK5" s="101">
        <v>338416.46643959999</v>
      </c>
      <c r="HL5" s="101">
        <v>359400.7296128</v>
      </c>
      <c r="HM5" s="101">
        <v>380735.80131399998</v>
      </c>
      <c r="HN5" s="101">
        <v>387257</v>
      </c>
      <c r="HO5" s="101">
        <v>404958</v>
      </c>
      <c r="HP5" s="101">
        <v>449346</v>
      </c>
      <c r="HQ5" s="101">
        <v>481698</v>
      </c>
      <c r="HR5" s="101">
        <v>545518</v>
      </c>
      <c r="HS5" s="101">
        <v>583907</v>
      </c>
      <c r="HT5" s="101">
        <v>608726</v>
      </c>
      <c r="HU5" s="101">
        <v>640413</v>
      </c>
      <c r="HV5" s="179">
        <v>654254.07448502525</v>
      </c>
      <c r="HW5" s="179">
        <v>672839.89540818369</v>
      </c>
      <c r="HX5" s="179">
        <v>691660.64792767901</v>
      </c>
      <c r="HY5" s="179">
        <v>698626.45910422783</v>
      </c>
      <c r="HZ5" s="179">
        <v>739494.68612798932</v>
      </c>
      <c r="IA5" s="179">
        <v>767253.83810720453</v>
      </c>
      <c r="IB5" s="179">
        <v>777906.38029813545</v>
      </c>
      <c r="IC5" s="179">
        <v>800815.1290657114</v>
      </c>
      <c r="ID5" s="179">
        <v>822484.18048758293</v>
      </c>
      <c r="IE5" s="179">
        <v>856276.21060409688</v>
      </c>
      <c r="IF5" s="179">
        <v>894471.18715162715</v>
      </c>
      <c r="IG5" s="179">
        <v>917775.86796726438</v>
      </c>
      <c r="IH5" s="179">
        <v>902728.98552147346</v>
      </c>
      <c r="II5" s="179">
        <v>865793.39020989777</v>
      </c>
      <c r="IJ5" s="179">
        <v>818084.42480602162</v>
      </c>
      <c r="IK5" s="179">
        <v>794046.98475301068</v>
      </c>
      <c r="IL5" s="179">
        <v>785378.16415787651</v>
      </c>
      <c r="IM5" s="179">
        <v>779976.58183596598</v>
      </c>
      <c r="IN5" s="179">
        <v>791157.26689967979</v>
      </c>
      <c r="IO5" s="101"/>
      <c r="IP5" s="101"/>
      <c r="IQ5" s="101">
        <v>1599277.2734820438</v>
      </c>
      <c r="IR5" s="101">
        <v>1639303.7910966105</v>
      </c>
      <c r="IS5" s="101">
        <v>1637561.7912228215</v>
      </c>
      <c r="IT5" s="101">
        <v>1690806</v>
      </c>
      <c r="IU5" s="101">
        <v>1732238</v>
      </c>
      <c r="IV5" s="101">
        <v>1754327</v>
      </c>
      <c r="IW5" s="101">
        <v>1786755</v>
      </c>
      <c r="IX5" s="101">
        <v>1782494.6555920001</v>
      </c>
      <c r="IY5" s="101">
        <v>1800225.662029</v>
      </c>
      <c r="IZ5" s="101">
        <v>1855841.7739200001</v>
      </c>
      <c r="JA5" s="101">
        <v>1856119.1136099999</v>
      </c>
      <c r="JB5" s="101">
        <v>1851094.9574800001</v>
      </c>
      <c r="JC5" s="101">
        <v>1852128</v>
      </c>
      <c r="JD5" s="101">
        <v>1871929</v>
      </c>
      <c r="JE5" s="101">
        <v>1902881</v>
      </c>
      <c r="JF5" s="101">
        <v>1889673.4590514023</v>
      </c>
      <c r="JG5" s="101">
        <v>1884693.6656305327</v>
      </c>
      <c r="JH5" s="101">
        <v>1873457.8195312722</v>
      </c>
      <c r="JI5" s="101">
        <v>1850483.6841818416</v>
      </c>
      <c r="JJ5" s="101">
        <v>1838950.6604899904</v>
      </c>
      <c r="JK5" s="179">
        <v>1807917.4203236236</v>
      </c>
      <c r="JL5" s="179">
        <v>1776322.1060252709</v>
      </c>
      <c r="JM5" s="179">
        <v>1773222.0826929107</v>
      </c>
      <c r="JN5" s="179">
        <v>1757321.5071258319</v>
      </c>
      <c r="JO5" s="179">
        <v>1769884.8986421132</v>
      </c>
      <c r="JP5" s="179">
        <v>1754284.0870807243</v>
      </c>
      <c r="JQ5" s="179">
        <v>1720563.2988889699</v>
      </c>
      <c r="JR5" s="179">
        <v>1724511.7872273701</v>
      </c>
      <c r="JS5" s="179">
        <v>1719195.183344831</v>
      </c>
      <c r="JT5" s="179">
        <v>1704187.064305054</v>
      </c>
      <c r="JU5" s="179">
        <v>1711951.8244608189</v>
      </c>
      <c r="JV5" s="179">
        <v>1724971.5331376463</v>
      </c>
      <c r="JW5" s="179">
        <v>1690414.294837445</v>
      </c>
      <c r="JX5" s="179">
        <v>1648371.8212520112</v>
      </c>
      <c r="JY5" s="179">
        <v>1609588.9178129362</v>
      </c>
      <c r="JZ5" s="179">
        <v>1584150.3266852915</v>
      </c>
      <c r="KA5" s="179">
        <v>1575819.6663321124</v>
      </c>
      <c r="KB5" s="179">
        <v>1572108.2286416464</v>
      </c>
      <c r="KC5" s="179">
        <v>1586896.1628990178</v>
      </c>
    </row>
    <row r="6" spans="1:289">
      <c r="A6" s="253" t="s">
        <v>325</v>
      </c>
      <c r="B6" s="99"/>
      <c r="C6" s="99"/>
      <c r="D6" s="99"/>
      <c r="E6" s="99"/>
      <c r="F6" s="99"/>
      <c r="G6" s="254">
        <v>792141</v>
      </c>
      <c r="H6" s="254">
        <v>821372</v>
      </c>
      <c r="I6" s="254">
        <v>835284</v>
      </c>
      <c r="J6" s="254">
        <v>861476</v>
      </c>
      <c r="K6" s="254">
        <v>866693</v>
      </c>
      <c r="L6" s="254">
        <v>890643</v>
      </c>
      <c r="M6" s="254">
        <v>930476</v>
      </c>
      <c r="N6" s="254">
        <v>946808</v>
      </c>
      <c r="O6" s="254">
        <v>953206</v>
      </c>
      <c r="P6" s="254">
        <v>961344</v>
      </c>
      <c r="Q6" s="254">
        <v>986801</v>
      </c>
      <c r="R6" s="254">
        <v>1031773</v>
      </c>
      <c r="S6" s="254">
        <v>1068270</v>
      </c>
      <c r="T6" s="254">
        <v>1104770</v>
      </c>
      <c r="U6" s="100">
        <v>1119414</v>
      </c>
      <c r="V6" s="100">
        <v>1121400</v>
      </c>
      <c r="W6" s="100">
        <v>1138965</v>
      </c>
      <c r="X6" s="545"/>
      <c r="Y6" s="254">
        <v>1143178.2922260354</v>
      </c>
      <c r="Z6" s="254">
        <v>1146920.5835815589</v>
      </c>
      <c r="AA6" s="254">
        <v>1160065.1608175794</v>
      </c>
      <c r="AB6" s="254">
        <v>1157239.7230455852</v>
      </c>
      <c r="AC6" s="254">
        <v>1195526.2363495023</v>
      </c>
      <c r="AD6" s="254">
        <v>1204170.2548766043</v>
      </c>
      <c r="AE6" s="254">
        <v>1188878.7101740702</v>
      </c>
      <c r="AF6" s="254">
        <v>1191185.0338420086</v>
      </c>
      <c r="AG6" s="254">
        <v>1192461.4041473572</v>
      </c>
      <c r="AH6" s="254">
        <v>1211515.1336927284</v>
      </c>
      <c r="AI6" s="254">
        <v>1235738.6238760785</v>
      </c>
      <c r="AJ6" s="254">
        <v>1272616.4827680364</v>
      </c>
      <c r="AK6" s="254">
        <v>1259499.1405807396</v>
      </c>
      <c r="AL6" s="254">
        <v>1226821.5686830583</v>
      </c>
      <c r="AM6" s="254">
        <v>1181922.9539499625</v>
      </c>
      <c r="AN6" s="254">
        <v>1166517.6943329906</v>
      </c>
      <c r="AO6" s="254">
        <v>1169549.7835652779</v>
      </c>
      <c r="AP6" s="254">
        <v>1171698.9273712628</v>
      </c>
      <c r="AQ6" s="254">
        <v>1195055.6258948413</v>
      </c>
      <c r="AR6" s="533">
        <f t="shared" ref="AR6:BA7" si="6">+CG6+DV6</f>
        <v>0</v>
      </c>
      <c r="AS6" s="534">
        <f t="shared" si="6"/>
        <v>0</v>
      </c>
      <c r="AT6" s="534">
        <f t="shared" si="6"/>
        <v>0</v>
      </c>
      <c r="AU6" s="534">
        <f t="shared" si="6"/>
        <v>0</v>
      </c>
      <c r="AV6" s="534">
        <f t="shared" si="6"/>
        <v>0</v>
      </c>
      <c r="AW6" s="534">
        <f t="shared" si="6"/>
        <v>25781</v>
      </c>
      <c r="AX6" s="534">
        <f t="shared" si="6"/>
        <v>27927</v>
      </c>
      <c r="AY6" s="534">
        <f t="shared" si="6"/>
        <v>28905</v>
      </c>
      <c r="AZ6" s="534">
        <f t="shared" si="6"/>
        <v>31271</v>
      </c>
      <c r="BA6" s="534">
        <f t="shared" si="6"/>
        <v>32132.429777220001</v>
      </c>
      <c r="BB6" s="534">
        <f t="shared" ref="BB6:BK7" si="7">+CQ6+EF6</f>
        <v>33504.28719553</v>
      </c>
      <c r="BC6" s="534">
        <f t="shared" si="7"/>
        <v>35077.883526639998</v>
      </c>
      <c r="BD6" s="534">
        <f t="shared" si="7"/>
        <v>36217.943537200001</v>
      </c>
      <c r="BE6" s="534">
        <f t="shared" si="7"/>
        <v>37810.283306800004</v>
      </c>
      <c r="BF6" s="534">
        <f t="shared" si="7"/>
        <v>39480</v>
      </c>
      <c r="BG6" s="534">
        <f t="shared" si="7"/>
        <v>41281</v>
      </c>
      <c r="BH6" s="534">
        <f t="shared" si="7"/>
        <v>42815</v>
      </c>
      <c r="BI6" s="534">
        <f t="shared" si="7"/>
        <v>44848.161058949998</v>
      </c>
      <c r="BJ6" s="534">
        <f t="shared" si="7"/>
        <v>47840.152660583844</v>
      </c>
      <c r="BK6" s="534">
        <f t="shared" si="7"/>
        <v>48281.659538445405</v>
      </c>
      <c r="BL6" s="534">
        <f t="shared" ref="BL6:BU7" si="8">+DA6+EP6</f>
        <v>49491.830334339757</v>
      </c>
      <c r="BM6" s="534">
        <f t="shared" si="8"/>
        <v>51380.054739610874</v>
      </c>
      <c r="BN6" s="257">
        <f t="shared" si="8"/>
        <v>52733.280587612295</v>
      </c>
      <c r="BO6" s="257">
        <f t="shared" si="8"/>
        <v>53587.374474834476</v>
      </c>
      <c r="BP6" s="257">
        <f t="shared" si="8"/>
        <v>54181.559671536423</v>
      </c>
      <c r="BQ6" s="257">
        <f t="shared" si="8"/>
        <v>54265.990032995454</v>
      </c>
      <c r="BR6" s="257">
        <f t="shared" si="8"/>
        <v>58080.450879221971</v>
      </c>
      <c r="BS6" s="257">
        <f t="shared" si="8"/>
        <v>59502.064945341743</v>
      </c>
      <c r="BT6" s="257">
        <f t="shared" si="8"/>
        <v>59928.233377642464</v>
      </c>
      <c r="BU6" s="257">
        <f t="shared" si="8"/>
        <v>62238.396483272605</v>
      </c>
      <c r="BV6" s="257">
        <f t="shared" ref="BV6:CE7" si="9">+DK6+EZ6</f>
        <v>63528.834332795726</v>
      </c>
      <c r="BW6" s="257">
        <f t="shared" ref="BW6:CA7" si="10">+DL6+FA6</f>
        <v>64321.976061658403</v>
      </c>
      <c r="BX6" s="257">
        <f t="shared" si="10"/>
        <v>65226.445614679971</v>
      </c>
      <c r="BY6" s="257">
        <f t="shared" si="10"/>
        <v>66842.277353051628</v>
      </c>
      <c r="BZ6" s="257">
        <f t="shared" si="10"/>
        <v>70293.558659990013</v>
      </c>
      <c r="CA6" s="257">
        <f t="shared" si="10"/>
        <v>71384.35221188463</v>
      </c>
      <c r="CB6" s="257">
        <f t="shared" si="1"/>
        <v>70457.019332760217</v>
      </c>
      <c r="CC6" s="257">
        <f t="shared" si="2"/>
        <v>71393.48268132165</v>
      </c>
      <c r="CD6" s="257">
        <f t="shared" si="3"/>
        <v>75238.380669271501</v>
      </c>
      <c r="CE6" s="257">
        <f t="shared" si="4"/>
        <v>73993.295621245168</v>
      </c>
      <c r="CF6" s="257">
        <f t="shared" si="5"/>
        <v>79032.560092113097</v>
      </c>
      <c r="CG6" s="99"/>
      <c r="CH6" s="99"/>
      <c r="CI6" s="99"/>
      <c r="CJ6" s="99"/>
      <c r="CK6" s="99"/>
      <c r="CL6" s="254">
        <v>7410</v>
      </c>
      <c r="CM6" s="254">
        <v>8049</v>
      </c>
      <c r="CN6" s="254">
        <v>8282</v>
      </c>
      <c r="CO6" s="254">
        <v>9028</v>
      </c>
      <c r="CP6" s="254">
        <v>8865.3726418200004</v>
      </c>
      <c r="CQ6" s="254">
        <v>8966.14492273</v>
      </c>
      <c r="CR6" s="254">
        <v>9321.8528988399994</v>
      </c>
      <c r="CS6" s="254">
        <v>9706.4693387000007</v>
      </c>
      <c r="CT6" s="254">
        <v>10168.074438899999</v>
      </c>
      <c r="CU6" s="254">
        <v>10069</v>
      </c>
      <c r="CV6" s="254">
        <v>10343</v>
      </c>
      <c r="CW6" s="254">
        <v>10820</v>
      </c>
      <c r="CX6" s="254">
        <v>11413.16105895</v>
      </c>
      <c r="CY6" s="254">
        <v>12401.217349492708</v>
      </c>
      <c r="CZ6" s="100">
        <v>12395.287008115936</v>
      </c>
      <c r="DA6" s="100">
        <v>12184.620560683055</v>
      </c>
      <c r="DB6" s="100">
        <v>12138.405590166807</v>
      </c>
      <c r="DC6" s="254">
        <v>11551.931468309778</v>
      </c>
      <c r="DD6" s="254">
        <v>11367.433532959529</v>
      </c>
      <c r="DE6" s="254">
        <v>11586.581070853679</v>
      </c>
      <c r="DF6" s="254">
        <v>11162.752388257779</v>
      </c>
      <c r="DG6" s="254">
        <v>11129.974325211639</v>
      </c>
      <c r="DH6" s="254">
        <v>10548.520563203965</v>
      </c>
      <c r="DI6" s="254">
        <v>10165.733151242352</v>
      </c>
      <c r="DJ6" s="254">
        <v>9717.3329681115101</v>
      </c>
      <c r="DK6" s="254">
        <v>9293.7830555331566</v>
      </c>
      <c r="DL6" s="254">
        <v>9057.431525017766</v>
      </c>
      <c r="DM6" s="254">
        <v>9071.4993680446805</v>
      </c>
      <c r="DN6" s="254">
        <v>8763.6560506750775</v>
      </c>
      <c r="DO6" s="254">
        <v>9535.5873219927798</v>
      </c>
      <c r="DP6" s="254">
        <v>9352.4270888985557</v>
      </c>
      <c r="DQ6" s="254">
        <v>9088.6836591661558</v>
      </c>
      <c r="DR6" s="254">
        <v>8552.7548929946461</v>
      </c>
      <c r="DS6" s="254">
        <v>8514.6349333975959</v>
      </c>
      <c r="DT6" s="254">
        <v>8507.8143949518344</v>
      </c>
      <c r="DU6" s="254">
        <v>8404.5689085675767</v>
      </c>
      <c r="DV6" s="99"/>
      <c r="DW6" s="99"/>
      <c r="DX6" s="99"/>
      <c r="DY6" s="99"/>
      <c r="DZ6" s="99"/>
      <c r="EA6" s="254">
        <v>18371</v>
      </c>
      <c r="EB6" s="254">
        <v>19878</v>
      </c>
      <c r="EC6" s="254">
        <v>20623</v>
      </c>
      <c r="ED6" s="254">
        <v>22243</v>
      </c>
      <c r="EE6" s="254">
        <v>23267.057135399999</v>
      </c>
      <c r="EF6" s="254">
        <v>24538.1422728</v>
      </c>
      <c r="EG6" s="254">
        <v>25756.030627799999</v>
      </c>
      <c r="EH6" s="254">
        <v>26511.4741985</v>
      </c>
      <c r="EI6" s="254">
        <v>27642.208867900001</v>
      </c>
      <c r="EJ6" s="254">
        <v>29411</v>
      </c>
      <c r="EK6" s="254">
        <v>30938</v>
      </c>
      <c r="EL6" s="254">
        <v>31995</v>
      </c>
      <c r="EM6" s="254">
        <v>33435</v>
      </c>
      <c r="EN6" s="254">
        <v>35438.93531109114</v>
      </c>
      <c r="EO6" s="100">
        <v>35886.37253032947</v>
      </c>
      <c r="EP6" s="100">
        <v>37307.209773656701</v>
      </c>
      <c r="EQ6" s="100">
        <v>39241.649149444071</v>
      </c>
      <c r="ER6" s="254">
        <v>41181.349119302518</v>
      </c>
      <c r="ES6" s="254">
        <v>42219.940941874949</v>
      </c>
      <c r="ET6" s="254">
        <v>42594.978600682742</v>
      </c>
      <c r="EU6" s="254">
        <v>43103.237644737674</v>
      </c>
      <c r="EV6" s="254">
        <v>46950.476554010333</v>
      </c>
      <c r="EW6" s="254">
        <v>48953.544382137778</v>
      </c>
      <c r="EX6" s="254">
        <v>49762.500226400109</v>
      </c>
      <c r="EY6" s="254">
        <v>52521.063515161099</v>
      </c>
      <c r="EZ6" s="254">
        <v>54235.051277262566</v>
      </c>
      <c r="FA6" s="254">
        <v>55264.544536640635</v>
      </c>
      <c r="FB6" s="254">
        <v>56154.946246635292</v>
      </c>
      <c r="FC6" s="254">
        <v>58078.621302376552</v>
      </c>
      <c r="FD6" s="254">
        <v>60757.971337997238</v>
      </c>
      <c r="FE6" s="254">
        <v>62031.925122986067</v>
      </c>
      <c r="FF6" s="254">
        <v>61368.335673594062</v>
      </c>
      <c r="FG6" s="254">
        <v>62840.727788327</v>
      </c>
      <c r="FH6" s="254">
        <v>66723.745735873905</v>
      </c>
      <c r="FI6" s="254">
        <v>65485.481226293341</v>
      </c>
      <c r="FJ6" s="254">
        <v>70627.991183545513</v>
      </c>
      <c r="FK6" s="99"/>
      <c r="FL6" s="99"/>
      <c r="FM6" s="99"/>
      <c r="FN6" s="99"/>
      <c r="FO6" s="99"/>
      <c r="FP6" s="254">
        <v>176946</v>
      </c>
      <c r="FQ6" s="254">
        <v>184153</v>
      </c>
      <c r="FR6" s="254">
        <v>186448</v>
      </c>
      <c r="FS6" s="254">
        <v>192988</v>
      </c>
      <c r="FT6" s="254">
        <v>193932.31773499999</v>
      </c>
      <c r="FU6" s="254">
        <v>200597.889547</v>
      </c>
      <c r="FV6" s="254">
        <v>205971.56630999999</v>
      </c>
      <c r="FW6" s="254">
        <v>211914.69602999999</v>
      </c>
      <c r="FX6" s="254">
        <v>216099.66639999999</v>
      </c>
      <c r="FY6" s="254">
        <v>216521</v>
      </c>
      <c r="FZ6" s="254">
        <v>223866</v>
      </c>
      <c r="GA6" s="254">
        <v>238441</v>
      </c>
      <c r="GB6" s="254">
        <v>252630</v>
      </c>
      <c r="GC6" s="254">
        <v>264353.02052862989</v>
      </c>
      <c r="GD6" s="100">
        <v>270775.09404191666</v>
      </c>
      <c r="GE6" s="100">
        <v>268904.21445459657</v>
      </c>
      <c r="GF6" s="100">
        <v>267960.80682832556</v>
      </c>
      <c r="GG6" s="254">
        <v>265319.38180016546</v>
      </c>
      <c r="GH6" s="254">
        <v>264987.58345510892</v>
      </c>
      <c r="GI6" s="254">
        <v>265552.08545159531</v>
      </c>
      <c r="GJ6" s="254">
        <v>261105.89683600946</v>
      </c>
      <c r="GK6" s="254">
        <v>271402.82846883114</v>
      </c>
      <c r="GL6" s="254">
        <v>270079.15758363571</v>
      </c>
      <c r="GM6" s="254">
        <v>264648.84764766251</v>
      </c>
      <c r="GN6" s="254">
        <v>259085.46193957352</v>
      </c>
      <c r="GO6" s="254">
        <v>256581.70097893817</v>
      </c>
      <c r="GP6" s="254">
        <v>262303.86872947402</v>
      </c>
      <c r="GQ6" s="254">
        <v>270779.94690849091</v>
      </c>
      <c r="GR6" s="254">
        <v>281785.47540575091</v>
      </c>
      <c r="GS6" s="254">
        <v>281017.80422450736</v>
      </c>
      <c r="GT6" s="254">
        <v>273030.90386430424</v>
      </c>
      <c r="GU6" s="254">
        <v>263032.25430817064</v>
      </c>
      <c r="GV6" s="254">
        <v>257109.07732993868</v>
      </c>
      <c r="GW6" s="254">
        <v>258135.80177275778</v>
      </c>
      <c r="GX6" s="254">
        <v>259051.85505755991</v>
      </c>
      <c r="GY6" s="254">
        <v>262314.98043569893</v>
      </c>
      <c r="GZ6" s="99"/>
      <c r="HA6" s="99"/>
      <c r="HB6" s="99"/>
      <c r="HC6" s="99"/>
      <c r="HD6" s="99"/>
      <c r="HE6" s="254">
        <v>75247</v>
      </c>
      <c r="HF6" s="254">
        <v>82497</v>
      </c>
      <c r="HG6" s="254">
        <v>86877</v>
      </c>
      <c r="HH6" s="254">
        <v>93937</v>
      </c>
      <c r="HI6" s="254">
        <v>98427.731596900005</v>
      </c>
      <c r="HJ6" s="254">
        <v>106693.5556467</v>
      </c>
      <c r="HK6" s="254">
        <v>116853.7003332</v>
      </c>
      <c r="HL6" s="254">
        <v>124873.9690382</v>
      </c>
      <c r="HM6" s="254">
        <v>128003.8015834</v>
      </c>
      <c r="HN6" s="254">
        <v>131714</v>
      </c>
      <c r="HO6" s="254">
        <v>136956</v>
      </c>
      <c r="HP6" s="254">
        <v>152270</v>
      </c>
      <c r="HQ6" s="254">
        <v>168553</v>
      </c>
      <c r="HR6" s="254">
        <v>191575</v>
      </c>
      <c r="HS6" s="100">
        <v>206058</v>
      </c>
      <c r="HT6" s="100">
        <v>212196</v>
      </c>
      <c r="HU6" s="100">
        <v>229230</v>
      </c>
      <c r="HV6" s="254">
        <v>234793.51249669955</v>
      </c>
      <c r="HW6" s="254">
        <v>245202.0329510626</v>
      </c>
      <c r="HX6" s="254">
        <v>258700.58125507695</v>
      </c>
      <c r="HY6" s="254">
        <v>263275.22599927871</v>
      </c>
      <c r="HZ6" s="254">
        <v>281404.70690869732</v>
      </c>
      <c r="IA6" s="254">
        <v>296515.43642255239</v>
      </c>
      <c r="IB6" s="254">
        <v>299947.18360822141</v>
      </c>
      <c r="IC6" s="254">
        <v>310779.55733761087</v>
      </c>
      <c r="ID6" s="254">
        <v>319001.83518359403</v>
      </c>
      <c r="IE6" s="254">
        <v>333274.08109980542</v>
      </c>
      <c r="IF6" s="254">
        <v>348464.44339824299</v>
      </c>
      <c r="IG6" s="254">
        <v>365815.68894440401</v>
      </c>
      <c r="IH6" s="254">
        <v>362460.75931712193</v>
      </c>
      <c r="II6" s="254">
        <v>351315.57588157174</v>
      </c>
      <c r="IJ6" s="254">
        <v>328598.00251555647</v>
      </c>
      <c r="IK6" s="254">
        <v>317117.18859976059</v>
      </c>
      <c r="IL6" s="254">
        <v>315650.61136377277</v>
      </c>
      <c r="IM6" s="254">
        <v>319399.00778263307</v>
      </c>
      <c r="IN6" s="254">
        <v>327984.57670844009</v>
      </c>
      <c r="IO6" s="99"/>
      <c r="IP6" s="99"/>
      <c r="IQ6" s="99"/>
      <c r="IR6" s="99"/>
      <c r="IS6" s="99"/>
      <c r="IT6" s="254">
        <v>514167</v>
      </c>
      <c r="IU6" s="254">
        <v>526795</v>
      </c>
      <c r="IV6" s="254">
        <v>533054</v>
      </c>
      <c r="IW6" s="254">
        <v>543280</v>
      </c>
      <c r="IX6" s="254">
        <v>542064.63546000002</v>
      </c>
      <c r="IY6" s="254">
        <v>549628.01821999997</v>
      </c>
      <c r="IZ6" s="254">
        <v>571825.74101</v>
      </c>
      <c r="JA6" s="254">
        <v>572647.81593000004</v>
      </c>
      <c r="JB6" s="254">
        <v>570043.75460999995</v>
      </c>
      <c r="JC6" s="254">
        <v>570855</v>
      </c>
      <c r="JD6" s="254">
        <v>577583</v>
      </c>
      <c r="JE6" s="254">
        <v>590795</v>
      </c>
      <c r="JF6" s="254">
        <v>593246</v>
      </c>
      <c r="JG6" s="254">
        <v>593969.82681078627</v>
      </c>
      <c r="JH6" s="100">
        <v>594284.24641963793</v>
      </c>
      <c r="JI6" s="100">
        <v>590789.95521106361</v>
      </c>
      <c r="JJ6" s="100">
        <v>590382.13843206351</v>
      </c>
      <c r="JK6" s="254">
        <v>589322.71388549183</v>
      </c>
      <c r="JL6" s="254">
        <v>584080.0108441445</v>
      </c>
      <c r="JM6" s="254">
        <v>584743.48428486125</v>
      </c>
      <c r="JN6" s="254">
        <v>582762.33195272204</v>
      </c>
      <c r="JO6" s="254">
        <v>590652.57746318181</v>
      </c>
      <c r="JP6" s="254">
        <v>586555.20586915244</v>
      </c>
      <c r="JQ6" s="254">
        <v>575470.90624353522</v>
      </c>
      <c r="JR6" s="254">
        <v>573795.91350711405</v>
      </c>
      <c r="JS6" s="254">
        <v>571209.36895936786</v>
      </c>
      <c r="JT6" s="254">
        <v>572049.76700345078</v>
      </c>
      <c r="JU6" s="254">
        <v>574260.55288808548</v>
      </c>
      <c r="JV6" s="254">
        <v>584587.80869165715</v>
      </c>
      <c r="JW6" s="254">
        <v>573438.89506573824</v>
      </c>
      <c r="JX6" s="254">
        <v>558569.83378837397</v>
      </c>
      <c r="JY6" s="254">
        <v>544418.40037404769</v>
      </c>
      <c r="JZ6" s="254">
        <v>540174.84492447344</v>
      </c>
      <c r="KA6" s="254">
        <v>540897.59283685579</v>
      </c>
      <c r="KB6" s="254">
        <v>539900.21990327095</v>
      </c>
      <c r="KC6" s="254">
        <v>548970.53740025521</v>
      </c>
    </row>
    <row r="7" spans="1:289" ht="12.95">
      <c r="A7" s="173" t="s">
        <v>32</v>
      </c>
      <c r="B7" s="286">
        <f>SUM(B8:B24)</f>
        <v>702673.58486814005</v>
      </c>
      <c r="C7" s="286">
        <f t="shared" ref="C7:F7" si="11">SUM(C8:C24)</f>
        <v>751899.42842367454</v>
      </c>
      <c r="D7" s="286">
        <f t="shared" si="11"/>
        <v>745268.6863936747</v>
      </c>
      <c r="E7" s="286">
        <f t="shared" si="11"/>
        <v>768923.01210948604</v>
      </c>
      <c r="F7" s="286">
        <f t="shared" si="11"/>
        <v>764516</v>
      </c>
      <c r="G7" s="286">
        <f>+G6-G67</f>
        <v>789288</v>
      </c>
      <c r="H7" s="286">
        <f t="shared" ref="H7:EA7" si="12">+H6-H67</f>
        <v>818595</v>
      </c>
      <c r="I7" s="286">
        <f t="shared" si="12"/>
        <v>832609</v>
      </c>
      <c r="J7" s="286">
        <f t="shared" si="12"/>
        <v>858781</v>
      </c>
      <c r="K7" s="286">
        <f t="shared" si="12"/>
        <v>863885</v>
      </c>
      <c r="L7" s="286">
        <f t="shared" si="12"/>
        <v>887553</v>
      </c>
      <c r="M7" s="286">
        <f t="shared" si="12"/>
        <v>927751</v>
      </c>
      <c r="N7" s="286">
        <f t="shared" si="12"/>
        <v>943777</v>
      </c>
      <c r="O7" s="286">
        <f t="shared" si="12"/>
        <v>950425</v>
      </c>
      <c r="P7" s="286">
        <f t="shared" si="12"/>
        <v>958481</v>
      </c>
      <c r="Q7" s="286">
        <f t="shared" si="12"/>
        <v>983857</v>
      </c>
      <c r="R7" s="286">
        <f t="shared" si="12"/>
        <v>1028421</v>
      </c>
      <c r="S7" s="286">
        <f t="shared" si="12"/>
        <v>1064753</v>
      </c>
      <c r="T7" s="286">
        <f t="shared" si="12"/>
        <v>1101168</v>
      </c>
      <c r="U7" s="286">
        <f t="shared" si="12"/>
        <v>1115937</v>
      </c>
      <c r="V7" s="286">
        <f t="shared" si="12"/>
        <v>1117540</v>
      </c>
      <c r="W7" s="286">
        <f t="shared" si="12"/>
        <v>1135004</v>
      </c>
      <c r="X7" s="536">
        <f>SUM(X9:X24)</f>
        <v>1283860</v>
      </c>
      <c r="Y7" s="287">
        <f t="shared" si="12"/>
        <v>1139422.8915071958</v>
      </c>
      <c r="Z7" s="287">
        <f t="shared" si="12"/>
        <v>1143092.891432558</v>
      </c>
      <c r="AA7" s="287">
        <f t="shared" si="12"/>
        <v>1156179.1795941717</v>
      </c>
      <c r="AB7" s="287">
        <f t="shared" si="12"/>
        <v>1153405.2329388594</v>
      </c>
      <c r="AC7" s="287">
        <f t="shared" si="12"/>
        <v>1191582.3122958974</v>
      </c>
      <c r="AD7" s="287">
        <f t="shared" si="12"/>
        <v>1200169.023036506</v>
      </c>
      <c r="AE7" s="287">
        <f t="shared" si="12"/>
        <v>1185037.3192386632</v>
      </c>
      <c r="AF7" s="287">
        <f t="shared" si="12"/>
        <v>1187304.1724136823</v>
      </c>
      <c r="AG7" s="287">
        <f t="shared" si="12"/>
        <v>1188462.7855472174</v>
      </c>
      <c r="AH7" s="287">
        <f t="shared" si="12"/>
        <v>1207154.4275924659</v>
      </c>
      <c r="AI7" s="287">
        <f t="shared" si="12"/>
        <v>1231053.0674085156</v>
      </c>
      <c r="AJ7" s="287">
        <f t="shared" si="12"/>
        <v>1267439.0235022809</v>
      </c>
      <c r="AK7" s="287">
        <f t="shared" si="12"/>
        <v>1254475.1736730041</v>
      </c>
      <c r="AL7" s="287">
        <f t="shared" si="12"/>
        <v>1221868.9033010795</v>
      </c>
      <c r="AM7" s="287">
        <f t="shared" si="12"/>
        <v>1176847.2379210331</v>
      </c>
      <c r="AN7" s="287">
        <f t="shared" si="12"/>
        <v>1161346.7167639975</v>
      </c>
      <c r="AO7" s="287">
        <f t="shared" si="12"/>
        <v>1164305.790471863</v>
      </c>
      <c r="AP7" s="287">
        <f t="shared" si="12"/>
        <v>1166549.539727879</v>
      </c>
      <c r="AQ7" s="287">
        <f t="shared" si="12"/>
        <v>1189786.1766197609</v>
      </c>
      <c r="AR7" s="535">
        <f t="shared" si="6"/>
        <v>20257.188840267059</v>
      </c>
      <c r="AS7" s="536">
        <f t="shared" si="6"/>
        <v>22210.364089576557</v>
      </c>
      <c r="AT7" s="536">
        <f t="shared" si="6"/>
        <v>23472.086672229285</v>
      </c>
      <c r="AU7" s="536">
        <f t="shared" si="6"/>
        <v>25080.856168877213</v>
      </c>
      <c r="AV7" s="536">
        <f t="shared" si="6"/>
        <v>24625.795327586373</v>
      </c>
      <c r="AW7" s="536">
        <f t="shared" si="6"/>
        <v>25731</v>
      </c>
      <c r="AX7" s="536">
        <f t="shared" si="6"/>
        <v>27729</v>
      </c>
      <c r="AY7" s="536">
        <f t="shared" si="6"/>
        <v>28756</v>
      </c>
      <c r="AZ7" s="536">
        <f t="shared" si="6"/>
        <v>31207</v>
      </c>
      <c r="BA7" s="536">
        <f t="shared" si="6"/>
        <v>32057.429777220001</v>
      </c>
      <c r="BB7" s="536">
        <f t="shared" si="7"/>
        <v>33435.28719553</v>
      </c>
      <c r="BC7" s="536">
        <f t="shared" si="7"/>
        <v>35000.883526639998</v>
      </c>
      <c r="BD7" s="536">
        <f t="shared" si="7"/>
        <v>36146.943537200001</v>
      </c>
      <c r="BE7" s="536">
        <f t="shared" si="7"/>
        <v>37749.283306800004</v>
      </c>
      <c r="BF7" s="536">
        <f t="shared" si="7"/>
        <v>39402</v>
      </c>
      <c r="BG7" s="536">
        <f t="shared" si="7"/>
        <v>41212</v>
      </c>
      <c r="BH7" s="536">
        <f t="shared" si="7"/>
        <v>42754</v>
      </c>
      <c r="BI7" s="536">
        <f t="shared" si="7"/>
        <v>44791.161058949998</v>
      </c>
      <c r="BJ7" s="536">
        <f t="shared" si="7"/>
        <v>47773.152660583844</v>
      </c>
      <c r="BK7" s="536">
        <f t="shared" si="7"/>
        <v>48241.322372285213</v>
      </c>
      <c r="BL7" s="536">
        <f t="shared" si="8"/>
        <v>49427.078309345423</v>
      </c>
      <c r="BM7" s="536">
        <f t="shared" si="8"/>
        <v>51308.871036557459</v>
      </c>
      <c r="BN7" s="287">
        <f t="shared" si="8"/>
        <v>52682.992246182854</v>
      </c>
      <c r="BO7" s="287">
        <f t="shared" si="8"/>
        <v>53525.48030359207</v>
      </c>
      <c r="BP7" s="287">
        <f t="shared" si="8"/>
        <v>54118.16872825499</v>
      </c>
      <c r="BQ7" s="287">
        <f t="shared" si="8"/>
        <v>54204.392013500554</v>
      </c>
      <c r="BR7" s="287">
        <f t="shared" si="8"/>
        <v>58007.71358300541</v>
      </c>
      <c r="BS7" s="287">
        <f t="shared" si="8"/>
        <v>59421.57482875487</v>
      </c>
      <c r="BT7" s="287">
        <f t="shared" si="8"/>
        <v>59837.928974058319</v>
      </c>
      <c r="BU7" s="287">
        <f t="shared" si="8"/>
        <v>62152.336659977445</v>
      </c>
      <c r="BV7" s="287">
        <f t="shared" si="9"/>
        <v>63443.314872609859</v>
      </c>
      <c r="BW7" s="287">
        <f t="shared" si="10"/>
        <v>64246.504152661175</v>
      </c>
      <c r="BX7" s="287">
        <f t="shared" si="10"/>
        <v>65139.934945782188</v>
      </c>
      <c r="BY7" s="287">
        <f t="shared" si="10"/>
        <v>66747.830926703915</v>
      </c>
      <c r="BZ7" s="287">
        <f t="shared" si="10"/>
        <v>70196.71294946468</v>
      </c>
      <c r="CA7" s="287">
        <f t="shared" si="10"/>
        <v>71259.596522572581</v>
      </c>
      <c r="CB7" s="287">
        <f t="shared" si="1"/>
        <v>70293.863853945819</v>
      </c>
      <c r="CC7" s="287">
        <f t="shared" si="2"/>
        <v>71219.258106599911</v>
      </c>
      <c r="CD7" s="287">
        <f t="shared" si="3"/>
        <v>75058.608908322814</v>
      </c>
      <c r="CE7" s="287">
        <f t="shared" si="4"/>
        <v>73804.350041811631</v>
      </c>
      <c r="CF7" s="287">
        <f t="shared" si="5"/>
        <v>78839.985009708733</v>
      </c>
      <c r="CG7" s="286">
        <f>SUM(CG8:CG24)</f>
        <v>5809.5995715182726</v>
      </c>
      <c r="CH7" s="286">
        <f>SUM(CH8:CH24)</f>
        <v>6418.2932532967352</v>
      </c>
      <c r="CI7" s="286">
        <f>SUM(CI8:CI24)</f>
        <v>6457.0519613916977</v>
      </c>
      <c r="CJ7" s="286">
        <f>SUM(CJ8:CJ24)</f>
        <v>7553.4221881119411</v>
      </c>
      <c r="CK7" s="286">
        <f>SUM(CK8:CK24)</f>
        <v>7127.282677603951</v>
      </c>
      <c r="CL7" s="286">
        <f t="shared" si="12"/>
        <v>7410</v>
      </c>
      <c r="CM7" s="286">
        <f t="shared" si="12"/>
        <v>8049</v>
      </c>
      <c r="CN7" s="286">
        <f t="shared" si="12"/>
        <v>8279</v>
      </c>
      <c r="CO7" s="286">
        <f t="shared" si="12"/>
        <v>9027</v>
      </c>
      <c r="CP7" s="286">
        <f t="shared" si="12"/>
        <v>8862.3726418200004</v>
      </c>
      <c r="CQ7" s="286">
        <f t="shared" si="12"/>
        <v>8963.14492273</v>
      </c>
      <c r="CR7" s="286">
        <f t="shared" si="12"/>
        <v>9319.8528988399994</v>
      </c>
      <c r="CS7" s="286">
        <f t="shared" si="12"/>
        <v>9696.4693387000007</v>
      </c>
      <c r="CT7" s="286">
        <f t="shared" si="12"/>
        <v>10163.074438899999</v>
      </c>
      <c r="CU7" s="286">
        <f t="shared" si="12"/>
        <v>10069</v>
      </c>
      <c r="CV7" s="286">
        <f t="shared" si="12"/>
        <v>10341</v>
      </c>
      <c r="CW7" s="286">
        <f t="shared" si="12"/>
        <v>10817</v>
      </c>
      <c r="CX7" s="286">
        <f t="shared" si="12"/>
        <v>11411.16105895</v>
      </c>
      <c r="CY7" s="286">
        <f t="shared" si="12"/>
        <v>12399.217349492708</v>
      </c>
      <c r="CZ7" s="286">
        <f t="shared" si="12"/>
        <v>12391.270345345334</v>
      </c>
      <c r="DA7" s="286">
        <f t="shared" si="12"/>
        <v>12171.538884907948</v>
      </c>
      <c r="DB7" s="286">
        <f t="shared" si="12"/>
        <v>12130.686003715809</v>
      </c>
      <c r="DC7" s="287">
        <f>+DC6</f>
        <v>11551.931468309778</v>
      </c>
      <c r="DD7" s="287">
        <f t="shared" ref="DD7:DP7" si="13">+DD6</f>
        <v>11367.433532959529</v>
      </c>
      <c r="DE7" s="287">
        <f t="shared" si="13"/>
        <v>11586.581070853679</v>
      </c>
      <c r="DF7" s="287">
        <f t="shared" si="13"/>
        <v>11162.752388257779</v>
      </c>
      <c r="DG7" s="287">
        <f t="shared" si="13"/>
        <v>11129.974325211639</v>
      </c>
      <c r="DH7" s="287">
        <f t="shared" si="13"/>
        <v>10548.520563203965</v>
      </c>
      <c r="DI7" s="287">
        <f t="shared" si="13"/>
        <v>10165.733151242352</v>
      </c>
      <c r="DJ7" s="287">
        <f t="shared" si="13"/>
        <v>9717.3329681115101</v>
      </c>
      <c r="DK7" s="287">
        <f t="shared" si="13"/>
        <v>9293.7830555331566</v>
      </c>
      <c r="DL7" s="287">
        <f t="shared" si="13"/>
        <v>9057.431525017766</v>
      </c>
      <c r="DM7" s="287">
        <f t="shared" si="13"/>
        <v>9071.4993680446805</v>
      </c>
      <c r="DN7" s="287">
        <f t="shared" si="13"/>
        <v>8763.6560506750775</v>
      </c>
      <c r="DO7" s="287">
        <f t="shared" si="13"/>
        <v>9535.5873219927798</v>
      </c>
      <c r="DP7" s="287">
        <f t="shared" si="13"/>
        <v>9352.4270888985557</v>
      </c>
      <c r="DQ7" s="287">
        <f>+DQ6</f>
        <v>9088.6836591661558</v>
      </c>
      <c r="DR7" s="287">
        <f t="shared" ref="DR7" si="14">+DR6</f>
        <v>8552.7548929946461</v>
      </c>
      <c r="DS7" s="287">
        <f t="shared" ref="DS7" si="15">+DS6</f>
        <v>8514.6349333975959</v>
      </c>
      <c r="DT7" s="287">
        <f t="shared" ref="DT7" si="16">+DT6</f>
        <v>8507.8143949518344</v>
      </c>
      <c r="DU7" s="287">
        <f t="shared" ref="DU7" si="17">+DU6</f>
        <v>8404.5689085675767</v>
      </c>
      <c r="DV7" s="286">
        <f t="shared" ref="DV7:DZ7" si="18">SUM(DV8:DV24)</f>
        <v>14447.589268748789</v>
      </c>
      <c r="DW7" s="286">
        <f t="shared" si="18"/>
        <v>15792.070836279821</v>
      </c>
      <c r="DX7" s="286">
        <f t="shared" si="18"/>
        <v>17015.034710837586</v>
      </c>
      <c r="DY7" s="286">
        <f t="shared" si="18"/>
        <v>17527.433980765272</v>
      </c>
      <c r="DZ7" s="286">
        <f t="shared" si="18"/>
        <v>17498.512649982422</v>
      </c>
      <c r="EA7" s="286">
        <f t="shared" si="12"/>
        <v>18321</v>
      </c>
      <c r="EB7" s="286">
        <f t="shared" ref="EB7:HE7" si="19">+EB6-EB67</f>
        <v>19680</v>
      </c>
      <c r="EC7" s="286">
        <f t="shared" si="19"/>
        <v>20477</v>
      </c>
      <c r="ED7" s="286">
        <f t="shared" si="19"/>
        <v>22180</v>
      </c>
      <c r="EE7" s="286">
        <f t="shared" si="19"/>
        <v>23195.057135399999</v>
      </c>
      <c r="EF7" s="286">
        <f t="shared" si="19"/>
        <v>24472.1422728</v>
      </c>
      <c r="EG7" s="286">
        <f t="shared" si="19"/>
        <v>25681.030627799999</v>
      </c>
      <c r="EH7" s="286">
        <f t="shared" si="19"/>
        <v>26450.4741985</v>
      </c>
      <c r="EI7" s="286">
        <f t="shared" si="19"/>
        <v>27586.208867900001</v>
      </c>
      <c r="EJ7" s="286">
        <f t="shared" si="19"/>
        <v>29333</v>
      </c>
      <c r="EK7" s="286">
        <f t="shared" si="19"/>
        <v>30871</v>
      </c>
      <c r="EL7" s="286">
        <f t="shared" si="19"/>
        <v>31937</v>
      </c>
      <c r="EM7" s="286">
        <f t="shared" si="19"/>
        <v>33380</v>
      </c>
      <c r="EN7" s="286">
        <f t="shared" si="19"/>
        <v>35373.93531109114</v>
      </c>
      <c r="EO7" s="286">
        <f t="shared" si="19"/>
        <v>35850.052026939877</v>
      </c>
      <c r="EP7" s="286">
        <f t="shared" si="19"/>
        <v>37255.539424437477</v>
      </c>
      <c r="EQ7" s="286">
        <f t="shared" si="19"/>
        <v>39178.185032841648</v>
      </c>
      <c r="ER7" s="287">
        <f t="shared" si="19"/>
        <v>41131.060777873077</v>
      </c>
      <c r="ES7" s="287">
        <f t="shared" si="19"/>
        <v>42158.046770632543</v>
      </c>
      <c r="ET7" s="287">
        <f t="shared" si="19"/>
        <v>42531.587657401309</v>
      </c>
      <c r="EU7" s="287">
        <f t="shared" si="19"/>
        <v>43041.639625242773</v>
      </c>
      <c r="EV7" s="287">
        <f t="shared" si="19"/>
        <v>46877.739257793772</v>
      </c>
      <c r="EW7" s="287">
        <f t="shared" si="19"/>
        <v>48873.054265550905</v>
      </c>
      <c r="EX7" s="287">
        <f t="shared" si="19"/>
        <v>49672.195822815971</v>
      </c>
      <c r="EY7" s="287">
        <f t="shared" si="19"/>
        <v>52435.003691865932</v>
      </c>
      <c r="EZ7" s="287">
        <f t="shared" si="19"/>
        <v>54149.531817076699</v>
      </c>
      <c r="FA7" s="287">
        <f t="shared" si="19"/>
        <v>55189.072627643407</v>
      </c>
      <c r="FB7" s="287">
        <f t="shared" si="19"/>
        <v>56068.435577737509</v>
      </c>
      <c r="FC7" s="287">
        <f t="shared" si="19"/>
        <v>57984.174876028839</v>
      </c>
      <c r="FD7" s="287">
        <f t="shared" si="19"/>
        <v>60661.125627471898</v>
      </c>
      <c r="FE7" s="287">
        <f t="shared" si="19"/>
        <v>61907.169433674026</v>
      </c>
      <c r="FF7" s="287">
        <f t="shared" si="19"/>
        <v>61205.180194779663</v>
      </c>
      <c r="FG7" s="287">
        <f t="shared" si="19"/>
        <v>62666.503213605269</v>
      </c>
      <c r="FH7" s="287">
        <f t="shared" si="19"/>
        <v>66543.973974925218</v>
      </c>
      <c r="FI7" s="287">
        <f t="shared" si="19"/>
        <v>65296.535646859797</v>
      </c>
      <c r="FJ7" s="287">
        <f t="shared" si="19"/>
        <v>70435.416101141163</v>
      </c>
      <c r="FK7" s="286">
        <f t="shared" ref="FK7:FO7" si="20">SUM(FK8:FK24)</f>
        <v>146542.18861069344</v>
      </c>
      <c r="FL7" s="286">
        <f t="shared" si="20"/>
        <v>162985.11142187068</v>
      </c>
      <c r="FM7" s="286">
        <f t="shared" si="20"/>
        <v>160623.61906776146</v>
      </c>
      <c r="FN7" s="286">
        <f t="shared" si="20"/>
        <v>166226.36875196092</v>
      </c>
      <c r="FO7" s="286">
        <f t="shared" si="20"/>
        <v>167589.90467159462</v>
      </c>
      <c r="FP7" s="286">
        <f t="shared" si="19"/>
        <v>174424</v>
      </c>
      <c r="FQ7" s="286">
        <f t="shared" si="19"/>
        <v>181833</v>
      </c>
      <c r="FR7" s="286">
        <f t="shared" si="19"/>
        <v>184193</v>
      </c>
      <c r="FS7" s="286">
        <f t="shared" si="19"/>
        <v>190655</v>
      </c>
      <c r="FT7" s="286">
        <f t="shared" si="19"/>
        <v>191531.31773499999</v>
      </c>
      <c r="FU7" s="286">
        <f t="shared" si="19"/>
        <v>197913.889547</v>
      </c>
      <c r="FV7" s="286">
        <f t="shared" si="19"/>
        <v>203632.56630999999</v>
      </c>
      <c r="FW7" s="286">
        <f t="shared" si="19"/>
        <v>209307.69602999999</v>
      </c>
      <c r="FX7" s="286">
        <f t="shared" si="19"/>
        <v>213720.66639999999</v>
      </c>
      <c r="FY7" s="286">
        <f t="shared" si="19"/>
        <v>214043</v>
      </c>
      <c r="FZ7" s="286">
        <f t="shared" si="19"/>
        <v>221154</v>
      </c>
      <c r="GA7" s="286">
        <f t="shared" si="19"/>
        <v>235570</v>
      </c>
      <c r="GB7" s="286">
        <f t="shared" si="19"/>
        <v>249546</v>
      </c>
      <c r="GC7" s="286">
        <f t="shared" si="19"/>
        <v>261256.02052862989</v>
      </c>
      <c r="GD7" s="286">
        <f t="shared" si="19"/>
        <v>267810.25173311587</v>
      </c>
      <c r="GE7" s="286">
        <f t="shared" si="19"/>
        <v>265541.79484913877</v>
      </c>
      <c r="GF7" s="286">
        <f t="shared" si="19"/>
        <v>264648.0567892284</v>
      </c>
      <c r="GG7" s="287">
        <f t="shared" si="19"/>
        <v>262226.27081208403</v>
      </c>
      <c r="GH7" s="287">
        <f t="shared" si="19"/>
        <v>261844.7560672033</v>
      </c>
      <c r="GI7" s="287">
        <f t="shared" si="19"/>
        <v>262405.60855048167</v>
      </c>
      <c r="GJ7" s="287">
        <f t="shared" si="19"/>
        <v>258054.49174955752</v>
      </c>
      <c r="GK7" s="287">
        <f t="shared" si="19"/>
        <v>268372.94409619423</v>
      </c>
      <c r="GL7" s="287">
        <f t="shared" si="19"/>
        <v>267040.33229049854</v>
      </c>
      <c r="GM7" s="287">
        <f t="shared" si="19"/>
        <v>261813.50408810659</v>
      </c>
      <c r="GN7" s="287">
        <f t="shared" si="19"/>
        <v>256261.66690710635</v>
      </c>
      <c r="GO7" s="287">
        <f t="shared" si="19"/>
        <v>253693.57752486281</v>
      </c>
      <c r="GP7" s="287">
        <f t="shared" si="19"/>
        <v>259208.25764865251</v>
      </c>
      <c r="GQ7" s="287">
        <f t="shared" si="19"/>
        <v>267514.44290809793</v>
      </c>
      <c r="GR7" s="287">
        <f t="shared" si="19"/>
        <v>278206.11631744652</v>
      </c>
      <c r="GS7" s="287">
        <f t="shared" si="19"/>
        <v>277622.78005875211</v>
      </c>
      <c r="GT7" s="287">
        <f t="shared" si="19"/>
        <v>269756.51848085696</v>
      </c>
      <c r="GU7" s="287">
        <f t="shared" si="19"/>
        <v>259681.66995548198</v>
      </c>
      <c r="GV7" s="287">
        <f t="shared" si="19"/>
        <v>253816.00438201524</v>
      </c>
      <c r="GW7" s="287">
        <f t="shared" si="19"/>
        <v>254847.08453269795</v>
      </c>
      <c r="GX7" s="287">
        <f t="shared" si="19"/>
        <v>255778.05926141414</v>
      </c>
      <c r="GY7" s="287">
        <f t="shared" si="19"/>
        <v>259059.03627469728</v>
      </c>
      <c r="GZ7" s="286">
        <f t="shared" ref="GZ7:HD7" si="21">SUM(GZ8:GZ24)</f>
        <v>61057.233360411497</v>
      </c>
      <c r="HA7" s="286">
        <f t="shared" si="21"/>
        <v>62536.632876828953</v>
      </c>
      <c r="HB7" s="286">
        <f t="shared" si="21"/>
        <v>66012.406128450893</v>
      </c>
      <c r="HC7" s="286">
        <f t="shared" si="21"/>
        <v>68369.096953066648</v>
      </c>
      <c r="HD7" s="286">
        <f t="shared" si="21"/>
        <v>70201.504872880672</v>
      </c>
      <c r="HE7" s="286">
        <f t="shared" si="19"/>
        <v>75052</v>
      </c>
      <c r="HF7" s="286">
        <f t="shared" ref="HF7:JZ7" si="22">+HF6-HF67</f>
        <v>82329</v>
      </c>
      <c r="HG7" s="286">
        <f t="shared" si="22"/>
        <v>86688</v>
      </c>
      <c r="HH7" s="286">
        <f t="shared" si="22"/>
        <v>93737</v>
      </c>
      <c r="HI7" s="286">
        <f t="shared" si="22"/>
        <v>98212.731596900005</v>
      </c>
      <c r="HJ7" s="286">
        <f t="shared" si="22"/>
        <v>106484.5556467</v>
      </c>
      <c r="HK7" s="286">
        <f t="shared" si="22"/>
        <v>116654.7003332</v>
      </c>
      <c r="HL7" s="286">
        <f t="shared" si="22"/>
        <v>124634.9690382</v>
      </c>
      <c r="HM7" s="286">
        <f t="shared" si="22"/>
        <v>127789.8015834</v>
      </c>
      <c r="HN7" s="286">
        <f t="shared" si="22"/>
        <v>131488</v>
      </c>
      <c r="HO7" s="286">
        <f t="shared" si="22"/>
        <v>136766</v>
      </c>
      <c r="HP7" s="286">
        <f t="shared" si="22"/>
        <v>151993</v>
      </c>
      <c r="HQ7" s="286">
        <f t="shared" si="22"/>
        <v>168308</v>
      </c>
      <c r="HR7" s="286">
        <f t="shared" si="22"/>
        <v>191266</v>
      </c>
      <c r="HS7" s="286">
        <f t="shared" si="22"/>
        <v>205724</v>
      </c>
      <c r="HT7" s="286">
        <f t="shared" si="22"/>
        <v>211912</v>
      </c>
      <c r="HU7" s="286">
        <f t="shared" si="22"/>
        <v>228808</v>
      </c>
      <c r="HV7" s="287">
        <f t="shared" si="22"/>
        <v>234372.13289077344</v>
      </c>
      <c r="HW7" s="287">
        <f t="shared" si="22"/>
        <v>244794.48951222023</v>
      </c>
      <c r="HX7" s="287">
        <f t="shared" si="22"/>
        <v>258247.49092135226</v>
      </c>
      <c r="HY7" s="287">
        <f t="shared" si="22"/>
        <v>262799.23867760494</v>
      </c>
      <c r="HZ7" s="287">
        <f t="shared" si="22"/>
        <v>280839.64456053922</v>
      </c>
      <c r="IA7" s="287">
        <f t="shared" si="22"/>
        <v>295925.22444110236</v>
      </c>
      <c r="IB7" s="287">
        <f t="shared" si="22"/>
        <v>299353.66157603892</v>
      </c>
      <c r="IC7" s="287">
        <f t="shared" si="22"/>
        <v>310138.09281828633</v>
      </c>
      <c r="ID7" s="287">
        <f t="shared" si="22"/>
        <v>318346.18975744653</v>
      </c>
      <c r="IE7" s="287">
        <f t="shared" si="22"/>
        <v>332516.95204012655</v>
      </c>
      <c r="IF7" s="287">
        <f t="shared" si="22"/>
        <v>347584.6825320099</v>
      </c>
      <c r="IG7" s="287">
        <f t="shared" si="22"/>
        <v>364830.55484282062</v>
      </c>
      <c r="IH7" s="287">
        <f t="shared" si="22"/>
        <v>361448.15349980834</v>
      </c>
      <c r="II7" s="287">
        <f t="shared" si="22"/>
        <v>350299.62045799295</v>
      </c>
      <c r="IJ7" s="287">
        <f t="shared" si="22"/>
        <v>327683.75407990429</v>
      </c>
      <c r="IK7" s="287">
        <f t="shared" si="22"/>
        <v>316196.21838262607</v>
      </c>
      <c r="IL7" s="287">
        <f t="shared" si="22"/>
        <v>314727.29321390024</v>
      </c>
      <c r="IM7" s="287">
        <f t="shared" si="22"/>
        <v>318560.54847350123</v>
      </c>
      <c r="IN7" s="287">
        <f t="shared" si="22"/>
        <v>327122.77921968745</v>
      </c>
      <c r="IO7" s="286">
        <f t="shared" ref="IO7:IS7" si="23">SUM(IO8:IO24)</f>
        <v>474816.97405676811</v>
      </c>
      <c r="IP7" s="286">
        <f t="shared" si="23"/>
        <v>504167.32003539841</v>
      </c>
      <c r="IQ7" s="286">
        <f t="shared" si="23"/>
        <v>495160.57452523313</v>
      </c>
      <c r="IR7" s="286">
        <f t="shared" si="23"/>
        <v>509246.69023558125</v>
      </c>
      <c r="IS7" s="286">
        <f t="shared" si="23"/>
        <v>502098.79512793839</v>
      </c>
      <c r="IT7" s="286">
        <f t="shared" si="22"/>
        <v>514081</v>
      </c>
      <c r="IU7" s="286">
        <f t="shared" si="22"/>
        <v>526704</v>
      </c>
      <c r="IV7" s="286">
        <f t="shared" si="22"/>
        <v>532972</v>
      </c>
      <c r="IW7" s="286">
        <f t="shared" si="22"/>
        <v>543182</v>
      </c>
      <c r="IX7" s="286">
        <f t="shared" si="22"/>
        <v>541947.63546000002</v>
      </c>
      <c r="IY7" s="286">
        <f t="shared" si="22"/>
        <v>549500.01821999997</v>
      </c>
      <c r="IZ7" s="286">
        <f t="shared" si="22"/>
        <v>571715.74101</v>
      </c>
      <c r="JA7" s="286">
        <f t="shared" si="22"/>
        <v>572533.81593000004</v>
      </c>
      <c r="JB7" s="286">
        <f t="shared" si="22"/>
        <v>569916.75460999995</v>
      </c>
      <c r="JC7" s="286">
        <f t="shared" si="22"/>
        <v>570737</v>
      </c>
      <c r="JD7" s="286">
        <f t="shared" si="22"/>
        <v>577475</v>
      </c>
      <c r="JE7" s="286">
        <f t="shared" si="22"/>
        <v>590651</v>
      </c>
      <c r="JF7" s="286">
        <f t="shared" si="22"/>
        <v>593115</v>
      </c>
      <c r="JG7" s="286">
        <f t="shared" si="22"/>
        <v>593840.82681078627</v>
      </c>
      <c r="JH7" s="286">
        <f t="shared" si="22"/>
        <v>594146.42589459894</v>
      </c>
      <c r="JI7" s="286">
        <f t="shared" si="22"/>
        <v>590641.12684151577</v>
      </c>
      <c r="JJ7" s="286">
        <f t="shared" si="22"/>
        <v>590227.07217421406</v>
      </c>
      <c r="JK7" s="287">
        <f t="shared" si="22"/>
        <v>589155.79616891663</v>
      </c>
      <c r="JL7" s="287">
        <f t="shared" si="22"/>
        <v>583876.65457379876</v>
      </c>
      <c r="JM7" s="287">
        <f t="shared" si="22"/>
        <v>584526.46087464364</v>
      </c>
      <c r="JN7" s="287">
        <f t="shared" si="22"/>
        <v>582506.96221325453</v>
      </c>
      <c r="JO7" s="287">
        <f t="shared" si="22"/>
        <v>590357.20035572816</v>
      </c>
      <c r="JP7" s="287">
        <f t="shared" si="22"/>
        <v>586230.20622670965</v>
      </c>
      <c r="JQ7" s="287">
        <f t="shared" si="22"/>
        <v>575104.89070653648</v>
      </c>
      <c r="JR7" s="287">
        <f t="shared" si="22"/>
        <v>573426.80511659198</v>
      </c>
      <c r="JS7" s="287">
        <f t="shared" si="22"/>
        <v>570796.18694751826</v>
      </c>
      <c r="JT7" s="287">
        <f t="shared" si="22"/>
        <v>571568.05689042341</v>
      </c>
      <c r="JU7" s="287">
        <f t="shared" si="22"/>
        <v>573742.9508991777</v>
      </c>
      <c r="JV7" s="287">
        <f t="shared" si="22"/>
        <v>583992.29479625658</v>
      </c>
      <c r="JW7" s="287">
        <f t="shared" si="22"/>
        <v>572875.30411440891</v>
      </c>
      <c r="JX7" s="287">
        <f t="shared" si="22"/>
        <v>558012.82830839674</v>
      </c>
      <c r="JY7" s="287">
        <f t="shared" si="22"/>
        <v>543815.92300949222</v>
      </c>
      <c r="JZ7" s="287">
        <f t="shared" si="22"/>
        <v>539539.13168131257</v>
      </c>
      <c r="KA7" s="287">
        <f t="shared" ref="KA7:KC7" si="24">+KA6-KA67</f>
        <v>540216.33121858537</v>
      </c>
      <c r="KB7" s="287">
        <f t="shared" si="24"/>
        <v>539232.25381664862</v>
      </c>
      <c r="KC7" s="287">
        <f t="shared" si="24"/>
        <v>548258.33393639151</v>
      </c>
    </row>
    <row r="8" spans="1:289">
      <c r="A8" s="113" t="s">
        <v>129</v>
      </c>
      <c r="B8" s="100"/>
      <c r="C8" s="100"/>
      <c r="D8" s="99"/>
      <c r="E8" s="99"/>
      <c r="F8" s="99"/>
      <c r="G8" s="99"/>
      <c r="H8" s="99"/>
      <c r="I8" s="99"/>
      <c r="J8" s="99"/>
      <c r="K8" s="99"/>
      <c r="L8" s="99"/>
      <c r="M8" s="99"/>
      <c r="N8" s="99"/>
      <c r="O8" s="99"/>
      <c r="P8" s="99"/>
      <c r="Q8" s="99"/>
      <c r="R8" s="99"/>
      <c r="S8" s="99"/>
      <c r="T8" s="99"/>
      <c r="U8" s="99"/>
      <c r="V8" s="99"/>
      <c r="W8" s="99"/>
      <c r="X8" s="546"/>
      <c r="Y8" s="99"/>
      <c r="Z8" s="99"/>
      <c r="AA8" s="99"/>
      <c r="AB8" s="99"/>
      <c r="AC8" s="99"/>
      <c r="AD8" s="99"/>
      <c r="AE8" s="99"/>
      <c r="AF8" s="99"/>
      <c r="AG8" s="99"/>
      <c r="AH8" s="99"/>
      <c r="AI8" s="99"/>
      <c r="AJ8" s="99"/>
      <c r="AK8" s="99"/>
      <c r="AL8" s="99"/>
      <c r="AM8" s="99"/>
      <c r="AN8" s="99"/>
      <c r="AO8" s="99"/>
      <c r="AP8" s="99"/>
      <c r="AQ8" s="99"/>
      <c r="AR8" s="537"/>
      <c r="AS8" s="538"/>
      <c r="AT8" s="538"/>
      <c r="AU8" s="538"/>
      <c r="AV8" s="538"/>
      <c r="AW8" s="538"/>
      <c r="AX8" s="538"/>
      <c r="AY8" s="538"/>
      <c r="AZ8" s="538"/>
      <c r="BA8" s="538"/>
      <c r="BB8" s="538"/>
      <c r="BC8" s="538"/>
      <c r="BD8" s="538"/>
      <c r="BE8" s="538"/>
      <c r="BF8" s="538"/>
      <c r="BG8" s="538"/>
      <c r="BH8" s="538"/>
      <c r="BI8" s="538"/>
      <c r="BJ8" s="538"/>
      <c r="BK8" s="538"/>
      <c r="BL8" s="538"/>
      <c r="BM8" s="538"/>
      <c r="BN8" s="258"/>
      <c r="BO8" s="258"/>
      <c r="BP8" s="258"/>
      <c r="BQ8" s="258"/>
      <c r="BR8" s="258"/>
      <c r="BS8" s="258"/>
      <c r="BT8" s="258"/>
      <c r="BU8" s="258"/>
      <c r="BV8" s="258"/>
      <c r="BW8" s="258"/>
      <c r="BX8" s="258"/>
      <c r="BY8" s="258"/>
      <c r="BZ8" s="258"/>
      <c r="CA8" s="258"/>
      <c r="CB8" s="258"/>
      <c r="CC8" s="99"/>
      <c r="CD8" s="99"/>
      <c r="CE8" s="99"/>
      <c r="CF8" s="99"/>
      <c r="CG8" s="100"/>
      <c r="CH8" s="100"/>
      <c r="CI8" s="99"/>
      <c r="CJ8" s="99"/>
      <c r="CK8" s="99"/>
      <c r="CL8" s="99"/>
      <c r="CM8" s="99"/>
      <c r="CN8" s="99"/>
      <c r="CO8" s="99"/>
      <c r="CP8" s="99"/>
      <c r="CQ8" s="99"/>
      <c r="CR8" s="99"/>
      <c r="CS8" s="99"/>
      <c r="CT8" s="99"/>
      <c r="CU8" s="99"/>
      <c r="CV8" s="99"/>
      <c r="CW8" s="99"/>
      <c r="CX8" s="99"/>
      <c r="CY8" s="99"/>
      <c r="CZ8" s="99"/>
      <c r="DA8" s="99"/>
      <c r="DB8" s="99"/>
      <c r="DC8" s="99"/>
      <c r="DD8" s="99"/>
      <c r="DE8" s="99"/>
      <c r="DF8" s="99"/>
      <c r="DG8" s="99"/>
      <c r="DH8" s="99"/>
      <c r="DI8" s="99"/>
      <c r="DJ8" s="99"/>
      <c r="DK8" s="99"/>
      <c r="DL8" s="99"/>
      <c r="DM8" s="99"/>
      <c r="DN8" s="99"/>
      <c r="DO8" s="99"/>
      <c r="DP8" s="99"/>
      <c r="DQ8" s="99"/>
      <c r="DR8" s="99"/>
      <c r="DS8" s="99"/>
      <c r="DT8" s="99"/>
      <c r="DU8" s="99"/>
      <c r="DV8" s="100"/>
      <c r="DW8" s="100"/>
      <c r="DX8" s="99"/>
      <c r="DY8" s="99"/>
      <c r="DZ8" s="99"/>
      <c r="EA8" s="99"/>
      <c r="EB8" s="99"/>
      <c r="EC8" s="99"/>
      <c r="ED8" s="99"/>
      <c r="EE8" s="99"/>
      <c r="EF8" s="99"/>
      <c r="EG8" s="99"/>
      <c r="EH8" s="99"/>
      <c r="EI8" s="99"/>
      <c r="EJ8" s="99"/>
      <c r="EK8" s="99"/>
      <c r="EL8" s="99"/>
      <c r="EM8" s="99"/>
      <c r="EN8" s="99"/>
      <c r="EO8" s="99"/>
      <c r="EP8" s="99"/>
      <c r="EQ8" s="99"/>
      <c r="ER8" s="99"/>
      <c r="ES8" s="99"/>
      <c r="ET8" s="99"/>
      <c r="EU8" s="99"/>
      <c r="EV8" s="99"/>
      <c r="EW8" s="99"/>
      <c r="EX8" s="99"/>
      <c r="EY8" s="99"/>
      <c r="EZ8" s="99"/>
      <c r="FA8" s="99"/>
      <c r="FB8" s="99"/>
      <c r="FC8" s="99"/>
      <c r="FD8" s="99"/>
      <c r="FE8" s="99"/>
      <c r="FF8" s="99"/>
      <c r="FG8" s="99"/>
      <c r="FH8" s="99"/>
      <c r="FI8" s="99"/>
      <c r="FJ8" s="99"/>
      <c r="FK8" s="100"/>
      <c r="FL8" s="100"/>
      <c r="FM8" s="99"/>
      <c r="FN8" s="99"/>
      <c r="FO8" s="99"/>
      <c r="FP8" s="99"/>
      <c r="FQ8" s="99"/>
      <c r="FR8" s="99"/>
      <c r="FS8" s="99"/>
      <c r="FT8" s="99"/>
      <c r="FU8" s="99"/>
      <c r="FV8" s="99"/>
      <c r="FW8" s="99"/>
      <c r="FX8" s="99"/>
      <c r="FY8" s="99"/>
      <c r="FZ8" s="99"/>
      <c r="GA8" s="99"/>
      <c r="GB8" s="99"/>
      <c r="GC8" s="99"/>
      <c r="GD8" s="99"/>
      <c r="GE8" s="99"/>
      <c r="GF8" s="99"/>
      <c r="GG8" s="99"/>
      <c r="GH8" s="99"/>
      <c r="GI8" s="99"/>
      <c r="GJ8" s="99"/>
      <c r="GK8" s="99"/>
      <c r="GL8" s="99"/>
      <c r="GM8" s="99"/>
      <c r="GN8" s="99"/>
      <c r="GO8" s="99"/>
      <c r="GP8" s="99"/>
      <c r="GQ8" s="99"/>
      <c r="GR8" s="99"/>
      <c r="GS8" s="99"/>
      <c r="GT8" s="99"/>
      <c r="GU8" s="99"/>
      <c r="GV8" s="99"/>
      <c r="GW8" s="99"/>
      <c r="GX8" s="99"/>
      <c r="GY8" s="99"/>
      <c r="GZ8" s="100"/>
      <c r="HA8" s="100"/>
      <c r="HB8" s="99"/>
      <c r="HC8" s="99"/>
      <c r="HD8" s="99"/>
      <c r="HE8" s="99"/>
      <c r="HF8" s="99"/>
      <c r="HG8" s="99"/>
      <c r="HH8" s="99"/>
      <c r="HI8" s="99"/>
      <c r="HJ8" s="99"/>
      <c r="HK8" s="99"/>
      <c r="HL8" s="99"/>
      <c r="HM8" s="99"/>
      <c r="HN8" s="99"/>
      <c r="HO8" s="99"/>
      <c r="HP8" s="99"/>
      <c r="HQ8" s="99"/>
      <c r="HR8" s="99"/>
      <c r="HS8" s="99"/>
      <c r="HT8" s="99"/>
      <c r="HU8" s="99"/>
      <c r="HV8" s="99"/>
      <c r="HW8" s="99"/>
      <c r="HX8" s="99"/>
      <c r="HY8" s="99"/>
      <c r="HZ8" s="99"/>
      <c r="IA8" s="99"/>
      <c r="IB8" s="99"/>
      <c r="IC8" s="99"/>
      <c r="ID8" s="99"/>
      <c r="IE8" s="99"/>
      <c r="IF8" s="99"/>
      <c r="IG8" s="99"/>
      <c r="IH8" s="99"/>
      <c r="II8" s="99"/>
      <c r="IJ8" s="99"/>
      <c r="IK8" s="99"/>
      <c r="IL8" s="99"/>
      <c r="IM8" s="99"/>
      <c r="IN8" s="99"/>
      <c r="IO8" s="100"/>
      <c r="IP8" s="100"/>
      <c r="IQ8" s="99"/>
      <c r="IR8" s="99"/>
      <c r="IS8" s="99"/>
      <c r="IT8" s="99"/>
      <c r="IU8" s="99"/>
      <c r="IV8" s="99"/>
      <c r="IW8" s="99"/>
      <c r="IX8" s="99"/>
      <c r="IY8" s="99"/>
      <c r="IZ8" s="99"/>
      <c r="JA8" s="99"/>
      <c r="JB8" s="99"/>
      <c r="JC8" s="99"/>
      <c r="JD8" s="99"/>
      <c r="JE8" s="99"/>
      <c r="JF8" s="99"/>
      <c r="JG8" s="99"/>
      <c r="JH8" s="99"/>
      <c r="JI8" s="99"/>
      <c r="JJ8" s="99"/>
      <c r="JK8" s="99"/>
      <c r="JL8" s="99"/>
      <c r="JM8" s="99"/>
      <c r="JN8" s="99"/>
      <c r="JO8" s="99"/>
      <c r="JP8" s="99"/>
      <c r="JQ8" s="99"/>
      <c r="JR8" s="99"/>
      <c r="JS8" s="99"/>
      <c r="JT8" s="99"/>
      <c r="JU8" s="99"/>
      <c r="JV8" s="99"/>
      <c r="JW8" s="99"/>
      <c r="JX8" s="99"/>
      <c r="JY8" s="99"/>
      <c r="JZ8" s="99"/>
      <c r="KA8" s="99"/>
      <c r="KB8" s="99"/>
      <c r="KC8" s="99"/>
    </row>
    <row r="9" spans="1:289">
      <c r="A9" s="173" t="s">
        <v>33</v>
      </c>
      <c r="B9" s="100">
        <v>38680</v>
      </c>
      <c r="C9" s="100">
        <v>36007</v>
      </c>
      <c r="D9" s="99">
        <v>34447</v>
      </c>
      <c r="E9" s="99">
        <v>36268</v>
      </c>
      <c r="F9" s="99">
        <v>35043</v>
      </c>
      <c r="G9" s="99">
        <v>35611</v>
      </c>
      <c r="H9" s="100">
        <v>38089</v>
      </c>
      <c r="I9" s="99">
        <v>36244</v>
      </c>
      <c r="J9" s="99">
        <v>37798</v>
      </c>
      <c r="K9" s="99">
        <v>37082</v>
      </c>
      <c r="L9" s="99">
        <v>35887</v>
      </c>
      <c r="M9" s="99">
        <v>36741</v>
      </c>
      <c r="N9" s="99">
        <v>36464</v>
      </c>
      <c r="O9" s="99">
        <v>37453</v>
      </c>
      <c r="P9" s="99">
        <v>37918</v>
      </c>
      <c r="Q9" s="99">
        <v>38912</v>
      </c>
      <c r="R9" s="99">
        <v>41346</v>
      </c>
      <c r="S9" s="99">
        <v>42082</v>
      </c>
      <c r="T9" s="99">
        <v>43166</v>
      </c>
      <c r="U9" s="99">
        <v>46035</v>
      </c>
      <c r="V9" s="99">
        <v>45394</v>
      </c>
      <c r="W9" s="99">
        <v>44233</v>
      </c>
      <c r="X9" s="546">
        <v>48150</v>
      </c>
      <c r="Y9" s="180">
        <v>44427.225181014954</v>
      </c>
      <c r="Z9" s="180">
        <v>45471.406424961642</v>
      </c>
      <c r="AA9" s="180">
        <v>44784.977436368761</v>
      </c>
      <c r="AB9" s="180">
        <v>44570.767621913277</v>
      </c>
      <c r="AC9" s="180">
        <v>45388.88647087221</v>
      </c>
      <c r="AD9" s="181">
        <v>44617.788325903661</v>
      </c>
      <c r="AE9" s="180">
        <v>43393.509431799401</v>
      </c>
      <c r="AF9" s="180">
        <v>42623.087242445406</v>
      </c>
      <c r="AG9" s="180">
        <v>42467.994797556123</v>
      </c>
      <c r="AH9" s="180">
        <v>42627.103912109909</v>
      </c>
      <c r="AI9" s="180">
        <v>43104.280884352178</v>
      </c>
      <c r="AJ9" s="181">
        <v>44533.005132418853</v>
      </c>
      <c r="AK9" s="180">
        <v>45012.948987825504</v>
      </c>
      <c r="AL9" s="180">
        <v>43555.104627767112</v>
      </c>
      <c r="AM9" s="180">
        <v>41709.873841437075</v>
      </c>
      <c r="AN9" s="180">
        <v>41094.190234710666</v>
      </c>
      <c r="AO9" s="180">
        <v>40523.392396154391</v>
      </c>
      <c r="AP9" s="180">
        <v>40401.734918243186</v>
      </c>
      <c r="AQ9" s="180">
        <v>41266.117760319416</v>
      </c>
      <c r="AR9" s="533">
        <f t="shared" ref="AR9:AR25" si="25">+CG9+DV9</f>
        <v>619</v>
      </c>
      <c r="AS9" s="534">
        <f t="shared" ref="AS9:AS25" si="26">+CH9+DW9</f>
        <v>599</v>
      </c>
      <c r="AT9" s="534">
        <f t="shared" ref="AT9:AT25" si="27">+CI9+DX9</f>
        <v>588</v>
      </c>
      <c r="AU9" s="534">
        <f t="shared" ref="AU9:AU25" si="28">+CJ9+DY9</f>
        <v>684</v>
      </c>
      <c r="AV9" s="534">
        <f t="shared" ref="AV9:AV25" si="29">+CK9+DZ9</f>
        <v>681</v>
      </c>
      <c r="AW9" s="534">
        <f t="shared" ref="AW9:AW25" si="30">+CL9+EA9</f>
        <v>716</v>
      </c>
      <c r="AX9" s="534">
        <f t="shared" ref="AX9:AX25" si="31">+CM9+EB9</f>
        <v>833</v>
      </c>
      <c r="AY9" s="534">
        <f t="shared" ref="AY9:AY25" si="32">+CN9+EC9</f>
        <v>904</v>
      </c>
      <c r="AZ9" s="534">
        <f t="shared" ref="AZ9:AZ25" si="33">+CO9+ED9</f>
        <v>828</v>
      </c>
      <c r="BA9" s="534">
        <f t="shared" ref="BA9:BA25" si="34">+CP9+EE9</f>
        <v>785</v>
      </c>
      <c r="BB9" s="534">
        <f t="shared" ref="BB9:BB25" si="35">+CQ9+EF9</f>
        <v>806</v>
      </c>
      <c r="BC9" s="534">
        <f t="shared" ref="BC9:BC25" si="36">+CR9+EG9</f>
        <v>801</v>
      </c>
      <c r="BD9" s="534">
        <f t="shared" ref="BD9:BD25" si="37">+CS9+EH9</f>
        <v>707</v>
      </c>
      <c r="BE9" s="534">
        <f t="shared" ref="BE9:BE25" si="38">+CT9+EI9</f>
        <v>824</v>
      </c>
      <c r="BF9" s="534">
        <f t="shared" ref="BF9:BF25" si="39">+CU9+EJ9</f>
        <v>734</v>
      </c>
      <c r="BG9" s="534">
        <f t="shared" ref="BG9:BG25" si="40">+CV9+EK9</f>
        <v>753</v>
      </c>
      <c r="BH9" s="534">
        <f t="shared" ref="BH9:BH25" si="41">+CW9+EL9</f>
        <v>911</v>
      </c>
      <c r="BI9" s="534">
        <f t="shared" ref="BI9:BI25" si="42">+CX9+EM9</f>
        <v>970</v>
      </c>
      <c r="BJ9" s="534">
        <f t="shared" ref="BJ9:BJ25" si="43">+CY9+EN9</f>
        <v>1013</v>
      </c>
      <c r="BK9" s="534">
        <f t="shared" ref="BK9:BK25" si="44">+CZ9+EO9</f>
        <v>1028.1045015781283</v>
      </c>
      <c r="BL9" s="534">
        <f t="shared" ref="BL9:BL25" si="45">+DA9+EP9</f>
        <v>1074.423925758422</v>
      </c>
      <c r="BM9" s="534">
        <f t="shared" ref="BM9:BM25" si="46">+DB9+EQ9</f>
        <v>1084.4334554650859</v>
      </c>
      <c r="BN9" s="186">
        <f t="shared" ref="BN9:BN25" si="47">+DC9+ER9</f>
        <v>1104.847080128475</v>
      </c>
      <c r="BO9" s="186">
        <f t="shared" ref="BO9:BO25" si="48">+DD9+ES9</f>
        <v>1092.165435518152</v>
      </c>
      <c r="BP9" s="186">
        <f t="shared" ref="BP9:BP25" si="49">+DE9+ET9</f>
        <v>1128.3690481515041</v>
      </c>
      <c r="BQ9" s="186">
        <f t="shared" ref="BQ9:BQ25" si="50">+DF9+EU9</f>
        <v>1123.1161497086825</v>
      </c>
      <c r="BR9" s="186">
        <f t="shared" ref="BR9:BR25" si="51">+DG9+EV9</f>
        <v>1244.9478447886668</v>
      </c>
      <c r="BS9" s="186">
        <f t="shared" ref="BS9:BS25" si="52">+DH9+EW9</f>
        <v>1184.1928839421403</v>
      </c>
      <c r="BT9" s="186">
        <f t="shared" ref="BT9:BT25" si="53">+DI9+EX9</f>
        <v>1207.9896560727589</v>
      </c>
      <c r="BU9" s="186">
        <f t="shared" ref="BU9:BU25" si="54">+DJ9+EY9</f>
        <v>1294.3318263667945</v>
      </c>
      <c r="BV9" s="186">
        <f t="shared" ref="BV9:BV25" si="55">+DK9+EZ9</f>
        <v>1366.8571969072577</v>
      </c>
      <c r="BW9" s="186">
        <f t="shared" ref="BW9:BW25" si="56">+DL9+FA9</f>
        <v>1347.8911944957183</v>
      </c>
      <c r="BX9" s="186">
        <f t="shared" ref="BX9:BX25" si="57">+DM9+FB9</f>
        <v>1337.740700473581</v>
      </c>
      <c r="BY9" s="186">
        <f t="shared" ref="BY9:BY25" si="58">+DN9+FC9</f>
        <v>1469.788791906398</v>
      </c>
      <c r="BZ9" s="186">
        <f t="shared" ref="BZ9:BZ25" si="59">+DO9+FD9</f>
        <v>1524.1409430837859</v>
      </c>
      <c r="CA9" s="186">
        <f t="shared" ref="CA9:CA25" si="60">+DP9+FE9</f>
        <v>1625.8955658702457</v>
      </c>
      <c r="CB9" s="186">
        <f t="shared" ref="CB9:CB25" si="61">+DQ9+FF9</f>
        <v>1575.6446212783981</v>
      </c>
      <c r="CC9" s="186">
        <f t="shared" ref="CC9:CC25" si="62">+DR9+FG9</f>
        <v>1584.4760875538966</v>
      </c>
      <c r="CD9" s="186">
        <f t="shared" ref="CD9:CD25" si="63">+DS9+FH9</f>
        <v>1677.8725592344849</v>
      </c>
      <c r="CE9" s="186">
        <f t="shared" ref="CE9:CE25" si="64">+DT9+FI9</f>
        <v>1577.5710115237171</v>
      </c>
      <c r="CF9" s="186">
        <f t="shared" ref="CF9:CF25" si="65">+DU9+FJ9</f>
        <v>1603.7128548599756</v>
      </c>
      <c r="CG9" s="100">
        <v>416</v>
      </c>
      <c r="CH9" s="100">
        <v>383</v>
      </c>
      <c r="CI9" s="99">
        <v>347</v>
      </c>
      <c r="CJ9" s="99">
        <v>433</v>
      </c>
      <c r="CK9" s="99">
        <v>446</v>
      </c>
      <c r="CL9" s="99">
        <v>462</v>
      </c>
      <c r="CM9" s="100">
        <v>492</v>
      </c>
      <c r="CN9" s="99">
        <v>663</v>
      </c>
      <c r="CO9" s="99">
        <v>465</v>
      </c>
      <c r="CP9" s="99">
        <v>437</v>
      </c>
      <c r="CQ9" s="99">
        <v>459</v>
      </c>
      <c r="CR9" s="99">
        <v>417</v>
      </c>
      <c r="CS9" s="99">
        <v>339</v>
      </c>
      <c r="CT9" s="99">
        <v>404</v>
      </c>
      <c r="CU9" s="99">
        <v>343</v>
      </c>
      <c r="CV9" s="99">
        <v>342</v>
      </c>
      <c r="CW9" s="99">
        <v>437</v>
      </c>
      <c r="CX9" s="99">
        <v>461</v>
      </c>
      <c r="CY9" s="99">
        <v>407</v>
      </c>
      <c r="CZ9" s="99">
        <v>492.49861752796846</v>
      </c>
      <c r="DA9" s="99">
        <v>467.0613713932201</v>
      </c>
      <c r="DB9" s="99">
        <v>487.55850429560303</v>
      </c>
      <c r="DC9" s="180">
        <v>462.17811070567853</v>
      </c>
      <c r="DD9" s="180">
        <v>418.77387456542829</v>
      </c>
      <c r="DE9" s="180">
        <v>472.34660217377007</v>
      </c>
      <c r="DF9" s="180">
        <v>473.66094855716585</v>
      </c>
      <c r="DG9" s="180">
        <v>478.24317829754892</v>
      </c>
      <c r="DH9" s="181">
        <v>452.72362965275295</v>
      </c>
      <c r="DI9" s="180">
        <v>497.81623096018814</v>
      </c>
      <c r="DJ9" s="180">
        <v>486.61422729765513</v>
      </c>
      <c r="DK9" s="180">
        <v>491.61038200923548</v>
      </c>
      <c r="DL9" s="180">
        <v>489.57962729256536</v>
      </c>
      <c r="DM9" s="180">
        <v>494.39397340697434</v>
      </c>
      <c r="DN9" s="181">
        <v>523.3220479758927</v>
      </c>
      <c r="DO9" s="180">
        <v>521.58593289276882</v>
      </c>
      <c r="DP9" s="180">
        <v>567.91949548708396</v>
      </c>
      <c r="DQ9" s="180">
        <v>550.052981162116</v>
      </c>
      <c r="DR9" s="180">
        <v>524.82682808621939</v>
      </c>
      <c r="DS9" s="180">
        <v>551.94748599482466</v>
      </c>
      <c r="DT9" s="180">
        <v>554.2653672169439</v>
      </c>
      <c r="DU9" s="180">
        <v>471.29463406501981</v>
      </c>
      <c r="DV9" s="100">
        <v>203</v>
      </c>
      <c r="DW9" s="100">
        <v>216</v>
      </c>
      <c r="DX9" s="99">
        <v>241</v>
      </c>
      <c r="DY9" s="99">
        <v>251</v>
      </c>
      <c r="DZ9" s="99">
        <v>235</v>
      </c>
      <c r="EA9" s="99">
        <v>254</v>
      </c>
      <c r="EB9" s="100">
        <v>341</v>
      </c>
      <c r="EC9" s="99">
        <v>241</v>
      </c>
      <c r="ED9" s="99">
        <v>363</v>
      </c>
      <c r="EE9" s="99">
        <v>348</v>
      </c>
      <c r="EF9" s="99">
        <v>347</v>
      </c>
      <c r="EG9" s="99">
        <v>384</v>
      </c>
      <c r="EH9" s="99">
        <v>368</v>
      </c>
      <c r="EI9" s="99">
        <v>420</v>
      </c>
      <c r="EJ9" s="99">
        <v>391</v>
      </c>
      <c r="EK9" s="99">
        <v>411</v>
      </c>
      <c r="EL9" s="99">
        <v>474</v>
      </c>
      <c r="EM9" s="99">
        <v>509</v>
      </c>
      <c r="EN9" s="99">
        <v>606</v>
      </c>
      <c r="EO9" s="99">
        <v>535.60588405015972</v>
      </c>
      <c r="EP9" s="99">
        <v>607.36255436520185</v>
      </c>
      <c r="EQ9" s="99">
        <v>596.87495116948276</v>
      </c>
      <c r="ER9" s="180">
        <v>642.66896942279641</v>
      </c>
      <c r="ES9" s="180">
        <v>673.39156095272369</v>
      </c>
      <c r="ET9" s="180">
        <v>656.02244597773415</v>
      </c>
      <c r="EU9" s="180">
        <v>649.45520115151669</v>
      </c>
      <c r="EV9" s="180">
        <v>766.70466649111779</v>
      </c>
      <c r="EW9" s="181">
        <v>731.46925428938744</v>
      </c>
      <c r="EX9" s="180">
        <v>710.17342511257073</v>
      </c>
      <c r="EY9" s="180">
        <v>807.7175990691394</v>
      </c>
      <c r="EZ9" s="180">
        <v>875.24681489802231</v>
      </c>
      <c r="FA9" s="180">
        <v>858.311567203153</v>
      </c>
      <c r="FB9" s="180">
        <v>843.34672706660672</v>
      </c>
      <c r="FC9" s="181">
        <v>946.46674393050534</v>
      </c>
      <c r="FD9" s="180">
        <v>1002.5550101910171</v>
      </c>
      <c r="FE9" s="180">
        <v>1057.9760703831616</v>
      </c>
      <c r="FF9" s="180">
        <v>1025.591640116282</v>
      </c>
      <c r="FG9" s="180">
        <v>1059.6492594676772</v>
      </c>
      <c r="FH9" s="180">
        <v>1125.9250732396602</v>
      </c>
      <c r="FI9" s="180">
        <v>1023.3056443067733</v>
      </c>
      <c r="FJ9" s="180">
        <v>1132.4182207949557</v>
      </c>
      <c r="FK9" s="100">
        <v>12028</v>
      </c>
      <c r="FL9" s="100">
        <v>10599</v>
      </c>
      <c r="FM9" s="99">
        <v>10394</v>
      </c>
      <c r="FN9" s="99">
        <v>10637</v>
      </c>
      <c r="FO9" s="99">
        <v>10424</v>
      </c>
      <c r="FP9" s="99">
        <v>10670</v>
      </c>
      <c r="FQ9" s="100">
        <v>11590</v>
      </c>
      <c r="FR9" s="99">
        <v>11496</v>
      </c>
      <c r="FS9" s="99">
        <v>12562</v>
      </c>
      <c r="FT9" s="99">
        <v>11986</v>
      </c>
      <c r="FU9" s="99">
        <v>11374</v>
      </c>
      <c r="FV9" s="99">
        <v>11500</v>
      </c>
      <c r="FW9" s="99">
        <v>11483</v>
      </c>
      <c r="FX9" s="99">
        <v>11803</v>
      </c>
      <c r="FY9" s="99">
        <v>12026</v>
      </c>
      <c r="FZ9" s="99">
        <v>12546</v>
      </c>
      <c r="GA9" s="99">
        <v>13343</v>
      </c>
      <c r="GB9" s="99">
        <v>13884</v>
      </c>
      <c r="GC9" s="99">
        <v>14558</v>
      </c>
      <c r="GD9" s="99">
        <v>15836.222865880782</v>
      </c>
      <c r="GE9" s="99">
        <v>15332.556198926954</v>
      </c>
      <c r="GF9" s="99">
        <v>14758.432524029329</v>
      </c>
      <c r="GG9" s="180">
        <v>14718.694011448924</v>
      </c>
      <c r="GH9" s="180">
        <v>15038.234492409123</v>
      </c>
      <c r="GI9" s="180">
        <v>14603.842270521374</v>
      </c>
      <c r="GJ9" s="180">
        <v>14368.496210227824</v>
      </c>
      <c r="GK9" s="180">
        <v>14745.349485747292</v>
      </c>
      <c r="GL9" s="181">
        <v>14373.42387707759</v>
      </c>
      <c r="GM9" s="180">
        <v>13832.255096396899</v>
      </c>
      <c r="GN9" s="180">
        <v>13117.862354075114</v>
      </c>
      <c r="GO9" s="180">
        <v>13137.257894856999</v>
      </c>
      <c r="GP9" s="180">
        <v>12992.518859118523</v>
      </c>
      <c r="GQ9" s="180">
        <v>13502.883093135446</v>
      </c>
      <c r="GR9" s="181">
        <v>14158.81392612482</v>
      </c>
      <c r="GS9" s="180">
        <v>14322.836148158916</v>
      </c>
      <c r="GT9" s="180">
        <v>13807.313956790744</v>
      </c>
      <c r="GU9" s="180">
        <v>13022.915543930792</v>
      </c>
      <c r="GV9" s="180">
        <v>12841.993436844254</v>
      </c>
      <c r="GW9" s="180">
        <v>12956.742853432257</v>
      </c>
      <c r="GX9" s="180">
        <v>12826.041303388449</v>
      </c>
      <c r="GY9" s="180">
        <v>13051.451018423337</v>
      </c>
      <c r="GZ9" s="100">
        <v>88</v>
      </c>
      <c r="HA9" s="100">
        <v>85</v>
      </c>
      <c r="HB9" s="99">
        <v>86</v>
      </c>
      <c r="HC9" s="99">
        <v>131</v>
      </c>
      <c r="HD9" s="99">
        <v>103</v>
      </c>
      <c r="HE9" s="99">
        <v>118</v>
      </c>
      <c r="HF9" s="100">
        <v>155</v>
      </c>
      <c r="HG9" s="99">
        <v>163</v>
      </c>
      <c r="HH9" s="99">
        <v>223</v>
      </c>
      <c r="HI9" s="99">
        <v>238</v>
      </c>
      <c r="HJ9" s="99">
        <v>245</v>
      </c>
      <c r="HK9" s="99">
        <v>313</v>
      </c>
      <c r="HL9" s="99">
        <v>325</v>
      </c>
      <c r="HM9" s="99">
        <v>404</v>
      </c>
      <c r="HN9" s="99">
        <v>478</v>
      </c>
      <c r="HO9" s="99">
        <v>580</v>
      </c>
      <c r="HP9" s="99">
        <v>684</v>
      </c>
      <c r="HQ9" s="99">
        <v>799</v>
      </c>
      <c r="HR9" s="99">
        <v>976</v>
      </c>
      <c r="HS9" s="99">
        <v>1213</v>
      </c>
      <c r="HT9" s="99">
        <v>1206</v>
      </c>
      <c r="HU9" s="99">
        <v>1338</v>
      </c>
      <c r="HV9" s="180">
        <v>1452.9488013610028</v>
      </c>
      <c r="HW9" s="180">
        <v>1579.2483775084647</v>
      </c>
      <c r="HX9" s="180">
        <v>1712.013084792281</v>
      </c>
      <c r="HY9" s="180">
        <v>1842.7416184525102</v>
      </c>
      <c r="HZ9" s="180">
        <v>2035.2642170008041</v>
      </c>
      <c r="IA9" s="181">
        <v>2225.6911510021414</v>
      </c>
      <c r="IB9" s="180">
        <v>2243.2491758313854</v>
      </c>
      <c r="IC9" s="180">
        <v>2487.3413714817375</v>
      </c>
      <c r="ID9" s="180">
        <v>2561.5314678587656</v>
      </c>
      <c r="IE9" s="180">
        <v>2656.5884382852009</v>
      </c>
      <c r="IF9" s="180">
        <v>2978.594307478902</v>
      </c>
      <c r="IG9" s="181">
        <v>3356.9243137202479</v>
      </c>
      <c r="IH9" s="180">
        <v>3678.2985032192628</v>
      </c>
      <c r="II9" s="180">
        <v>3476.8243789965759</v>
      </c>
      <c r="IJ9" s="180">
        <v>3199.7295064496188</v>
      </c>
      <c r="IK9" s="180">
        <v>2944.2159158977547</v>
      </c>
      <c r="IL9" s="180">
        <v>2590.013113736286</v>
      </c>
      <c r="IM9" s="180">
        <v>2667.0425300404972</v>
      </c>
      <c r="IN9" s="180">
        <v>2672.1215481232812</v>
      </c>
      <c r="IO9" s="100">
        <v>25945</v>
      </c>
      <c r="IP9" s="100">
        <v>24724</v>
      </c>
      <c r="IQ9" s="99">
        <v>23379</v>
      </c>
      <c r="IR9" s="99">
        <v>24816</v>
      </c>
      <c r="IS9" s="99">
        <v>23835</v>
      </c>
      <c r="IT9" s="99">
        <v>24107</v>
      </c>
      <c r="IU9" s="100">
        <v>25511</v>
      </c>
      <c r="IV9" s="99">
        <v>23681</v>
      </c>
      <c r="IW9" s="99">
        <v>24185</v>
      </c>
      <c r="IX9" s="99">
        <v>24073</v>
      </c>
      <c r="IY9" s="99">
        <v>23462</v>
      </c>
      <c r="IZ9" s="99">
        <v>24127</v>
      </c>
      <c r="JA9" s="99">
        <v>23949</v>
      </c>
      <c r="JB9" s="99">
        <v>24391</v>
      </c>
      <c r="JC9" s="99">
        <v>24680</v>
      </c>
      <c r="JD9" s="99">
        <v>25004</v>
      </c>
      <c r="JE9" s="99">
        <v>26375</v>
      </c>
      <c r="JF9" s="99">
        <v>26380</v>
      </c>
      <c r="JG9" s="99">
        <v>26569</v>
      </c>
      <c r="JH9" s="99">
        <v>27957.672632541093</v>
      </c>
      <c r="JI9" s="99">
        <v>27781.019875314625</v>
      </c>
      <c r="JJ9" s="99">
        <v>27052.134020505586</v>
      </c>
      <c r="JK9" s="180">
        <v>27142.608241280883</v>
      </c>
      <c r="JL9" s="180">
        <v>27764.026182841917</v>
      </c>
      <c r="JM9" s="180">
        <v>27379.857560871154</v>
      </c>
      <c r="JN9" s="180">
        <v>27308.101672155248</v>
      </c>
      <c r="JO9" s="180">
        <v>27421.313514183465</v>
      </c>
      <c r="JP9" s="181">
        <v>26904.522079568815</v>
      </c>
      <c r="JQ9" s="180">
        <v>26223.071511507482</v>
      </c>
      <c r="JR9" s="180">
        <v>25914.789540105558</v>
      </c>
      <c r="JS9" s="180">
        <v>25631.078649810312</v>
      </c>
      <c r="JT9" s="180">
        <v>25905.761667822298</v>
      </c>
      <c r="JU9" s="180">
        <v>25546.036087757067</v>
      </c>
      <c r="JV9" s="181">
        <v>25838.189603654901</v>
      </c>
      <c r="JW9" s="180">
        <v>25895.26307028607</v>
      </c>
      <c r="JX9" s="180">
        <v>25083.520203501852</v>
      </c>
      <c r="JY9" s="180">
        <v>24312.568439651877</v>
      </c>
      <c r="JZ9" s="180">
        <v>24122.10316363072</v>
      </c>
      <c r="KA9" s="180">
        <v>23782.548903850209</v>
      </c>
      <c r="KB9" s="180">
        <v>23765.920380829099</v>
      </c>
      <c r="KC9" s="180">
        <v>24341.953227053287</v>
      </c>
    </row>
    <row r="10" spans="1:289">
      <c r="A10" s="173" t="s">
        <v>34</v>
      </c>
      <c r="B10" s="100">
        <v>25845</v>
      </c>
      <c r="C10" s="100">
        <v>25655</v>
      </c>
      <c r="D10" s="99">
        <v>24990</v>
      </c>
      <c r="E10" s="99">
        <v>24636</v>
      </c>
      <c r="F10" s="99">
        <v>25094</v>
      </c>
      <c r="G10" s="99">
        <v>25146</v>
      </c>
      <c r="H10" s="100">
        <v>26855</v>
      </c>
      <c r="I10" s="99">
        <v>26896</v>
      </c>
      <c r="J10" s="99">
        <v>27335</v>
      </c>
      <c r="K10" s="99">
        <v>27100</v>
      </c>
      <c r="L10" s="99">
        <v>26984</v>
      </c>
      <c r="M10" s="99">
        <v>27555</v>
      </c>
      <c r="N10" s="99">
        <v>27181</v>
      </c>
      <c r="O10" s="99">
        <v>26621</v>
      </c>
      <c r="P10" s="99">
        <v>28790</v>
      </c>
      <c r="Q10" s="99">
        <v>27166</v>
      </c>
      <c r="R10" s="99">
        <v>28725</v>
      </c>
      <c r="S10" s="99">
        <v>28057</v>
      </c>
      <c r="T10" s="99">
        <v>28276</v>
      </c>
      <c r="U10" s="99">
        <v>28205</v>
      </c>
      <c r="V10" s="99">
        <v>28419</v>
      </c>
      <c r="W10" s="99">
        <v>28928</v>
      </c>
      <c r="X10" s="546">
        <v>32280</v>
      </c>
      <c r="Y10" s="180">
        <v>29553.492679011</v>
      </c>
      <c r="Z10" s="180">
        <v>29844.269210663999</v>
      </c>
      <c r="AA10" s="180">
        <v>29649.776696520621</v>
      </c>
      <c r="AB10" s="180">
        <v>29434.137741025992</v>
      </c>
      <c r="AC10" s="180">
        <v>29852.719474770965</v>
      </c>
      <c r="AD10" s="181">
        <v>30102.486362340362</v>
      </c>
      <c r="AE10" s="180">
        <v>29981.648563719929</v>
      </c>
      <c r="AF10" s="180">
        <v>29562.131500654606</v>
      </c>
      <c r="AG10" s="180">
        <v>29658.215763666904</v>
      </c>
      <c r="AH10" s="180">
        <v>29454.007006844855</v>
      </c>
      <c r="AI10" s="180">
        <v>29314.359244247291</v>
      </c>
      <c r="AJ10" s="181">
        <v>31341.592296761657</v>
      </c>
      <c r="AK10" s="180">
        <v>30735.236500048501</v>
      </c>
      <c r="AL10" s="180">
        <v>29907.642978157593</v>
      </c>
      <c r="AM10" s="180">
        <v>28810.424017796024</v>
      </c>
      <c r="AN10" s="180">
        <v>28883.41774836303</v>
      </c>
      <c r="AO10" s="180">
        <v>28768.899136346634</v>
      </c>
      <c r="AP10" s="180">
        <v>28381.052573605532</v>
      </c>
      <c r="AQ10" s="180">
        <v>28857.947776306286</v>
      </c>
      <c r="AR10" s="533">
        <f t="shared" si="25"/>
        <v>237</v>
      </c>
      <c r="AS10" s="534">
        <f t="shared" si="26"/>
        <v>302</v>
      </c>
      <c r="AT10" s="534">
        <f t="shared" si="27"/>
        <v>338</v>
      </c>
      <c r="AU10" s="534">
        <f t="shared" si="28"/>
        <v>325.843671958546</v>
      </c>
      <c r="AV10" s="534">
        <f t="shared" si="29"/>
        <v>331.90132749341421</v>
      </c>
      <c r="AW10" s="534">
        <f t="shared" si="30"/>
        <v>333</v>
      </c>
      <c r="AX10" s="534">
        <f t="shared" si="31"/>
        <v>362</v>
      </c>
      <c r="AY10" s="534">
        <f t="shared" si="32"/>
        <v>380</v>
      </c>
      <c r="AZ10" s="534">
        <f t="shared" si="33"/>
        <v>438</v>
      </c>
      <c r="BA10" s="534">
        <f t="shared" si="34"/>
        <v>421</v>
      </c>
      <c r="BB10" s="534">
        <f t="shared" si="35"/>
        <v>441</v>
      </c>
      <c r="BC10" s="534">
        <f t="shared" si="36"/>
        <v>461</v>
      </c>
      <c r="BD10" s="534">
        <f t="shared" si="37"/>
        <v>514</v>
      </c>
      <c r="BE10" s="534">
        <f t="shared" si="38"/>
        <v>551</v>
      </c>
      <c r="BF10" s="534">
        <f t="shared" si="39"/>
        <v>639</v>
      </c>
      <c r="BG10" s="534">
        <f t="shared" si="40"/>
        <v>603</v>
      </c>
      <c r="BH10" s="534">
        <f t="shared" si="41"/>
        <v>698</v>
      </c>
      <c r="BI10" s="534">
        <f t="shared" si="42"/>
        <v>647</v>
      </c>
      <c r="BJ10" s="534">
        <f t="shared" si="43"/>
        <v>730.73281341682491</v>
      </c>
      <c r="BK10" s="534">
        <f t="shared" si="44"/>
        <v>749.51891756750933</v>
      </c>
      <c r="BL10" s="534">
        <f t="shared" si="45"/>
        <v>665.74235356422457</v>
      </c>
      <c r="BM10" s="534">
        <f t="shared" si="46"/>
        <v>703.45661668983621</v>
      </c>
      <c r="BN10" s="186">
        <f t="shared" si="47"/>
        <v>734.67855698147275</v>
      </c>
      <c r="BO10" s="186">
        <f t="shared" si="48"/>
        <v>803.75336774926575</v>
      </c>
      <c r="BP10" s="186">
        <f t="shared" si="49"/>
        <v>786.06808393327879</v>
      </c>
      <c r="BQ10" s="186">
        <f t="shared" si="50"/>
        <v>792.17397405785118</v>
      </c>
      <c r="BR10" s="186">
        <f t="shared" si="51"/>
        <v>843.47941530156731</v>
      </c>
      <c r="BS10" s="186">
        <f t="shared" si="52"/>
        <v>839.5725345439057</v>
      </c>
      <c r="BT10" s="186">
        <f t="shared" si="53"/>
        <v>804.8728761335874</v>
      </c>
      <c r="BU10" s="186">
        <f t="shared" si="54"/>
        <v>868.80322022619112</v>
      </c>
      <c r="BV10" s="186">
        <f t="shared" si="55"/>
        <v>893.79951397272987</v>
      </c>
      <c r="BW10" s="186">
        <f t="shared" si="56"/>
        <v>887.76076484409873</v>
      </c>
      <c r="BX10" s="186">
        <f t="shared" si="57"/>
        <v>836.14157312370503</v>
      </c>
      <c r="BY10" s="186">
        <f t="shared" si="58"/>
        <v>906.68733374122758</v>
      </c>
      <c r="BZ10" s="186">
        <f t="shared" si="59"/>
        <v>948.7742276852365</v>
      </c>
      <c r="CA10" s="186">
        <f t="shared" si="60"/>
        <v>896.23269657220806</v>
      </c>
      <c r="CB10" s="186">
        <f t="shared" si="61"/>
        <v>875.30492653070894</v>
      </c>
      <c r="CC10" s="186">
        <f t="shared" si="62"/>
        <v>1009.4253914705176</v>
      </c>
      <c r="CD10" s="186">
        <f t="shared" si="63"/>
        <v>1193.7891748778541</v>
      </c>
      <c r="CE10" s="186">
        <f t="shared" si="64"/>
        <v>1409.6904544385243</v>
      </c>
      <c r="CF10" s="186">
        <f t="shared" si="65"/>
        <v>1452.5966377951836</v>
      </c>
      <c r="CG10" s="100">
        <v>57</v>
      </c>
      <c r="CH10" s="100">
        <v>73</v>
      </c>
      <c r="CI10" s="99">
        <v>90</v>
      </c>
      <c r="CJ10" s="99">
        <v>81.873299467678535</v>
      </c>
      <c r="CK10" s="99">
        <v>83.395379803617686</v>
      </c>
      <c r="CL10" s="99">
        <v>84</v>
      </c>
      <c r="CM10" s="100">
        <v>92</v>
      </c>
      <c r="CN10" s="99">
        <v>92</v>
      </c>
      <c r="CO10" s="99">
        <v>123</v>
      </c>
      <c r="CP10" s="99">
        <v>119</v>
      </c>
      <c r="CQ10" s="99">
        <v>118</v>
      </c>
      <c r="CR10" s="99">
        <v>129</v>
      </c>
      <c r="CS10" s="99">
        <v>154</v>
      </c>
      <c r="CT10" s="99">
        <v>165</v>
      </c>
      <c r="CU10" s="99">
        <v>172</v>
      </c>
      <c r="CV10" s="99">
        <v>154</v>
      </c>
      <c r="CW10" s="99">
        <v>185</v>
      </c>
      <c r="CX10" s="99">
        <v>205</v>
      </c>
      <c r="CY10" s="99">
        <v>172.82508228323138</v>
      </c>
      <c r="CZ10" s="99">
        <v>218.10602657543126</v>
      </c>
      <c r="DA10" s="99">
        <v>174.03858993368652</v>
      </c>
      <c r="DB10" s="99">
        <v>182.83829189022148</v>
      </c>
      <c r="DC10" s="180">
        <v>185.25480940483871</v>
      </c>
      <c r="DD10" s="180">
        <v>204.50862545721316</v>
      </c>
      <c r="DE10" s="180">
        <v>189.15789798602819</v>
      </c>
      <c r="DF10" s="180">
        <v>190.51121971196821</v>
      </c>
      <c r="DG10" s="180">
        <v>183.57301073714257</v>
      </c>
      <c r="DH10" s="181">
        <v>175.76878884452753</v>
      </c>
      <c r="DI10" s="180">
        <v>155.01799764404149</v>
      </c>
      <c r="DJ10" s="180">
        <v>158.84881477736027</v>
      </c>
      <c r="DK10" s="180">
        <v>159.80046408899534</v>
      </c>
      <c r="DL10" s="180">
        <v>137.28534225083774</v>
      </c>
      <c r="DM10" s="180">
        <v>135.07756726582195</v>
      </c>
      <c r="DN10" s="181">
        <v>156.08266200554294</v>
      </c>
      <c r="DO10" s="180">
        <v>165.88373555938085</v>
      </c>
      <c r="DP10" s="180">
        <v>131.91015989048455</v>
      </c>
      <c r="DQ10" s="180">
        <v>166.79277522258903</v>
      </c>
      <c r="DR10" s="180">
        <v>166.59569558142968</v>
      </c>
      <c r="DS10" s="180">
        <v>181.9111258989488</v>
      </c>
      <c r="DT10" s="180">
        <v>172.18061457780817</v>
      </c>
      <c r="DU10" s="180">
        <v>163.95538248831659</v>
      </c>
      <c r="DV10" s="100">
        <v>180</v>
      </c>
      <c r="DW10" s="100">
        <v>229</v>
      </c>
      <c r="DX10" s="99">
        <v>248</v>
      </c>
      <c r="DY10" s="99">
        <v>243.97037249086745</v>
      </c>
      <c r="DZ10" s="99">
        <v>248.50594768979656</v>
      </c>
      <c r="EA10" s="99">
        <v>249</v>
      </c>
      <c r="EB10" s="100">
        <v>270</v>
      </c>
      <c r="EC10" s="99">
        <v>288</v>
      </c>
      <c r="ED10" s="99">
        <v>315</v>
      </c>
      <c r="EE10" s="99">
        <v>302</v>
      </c>
      <c r="EF10" s="99">
        <v>323</v>
      </c>
      <c r="EG10" s="99">
        <v>332</v>
      </c>
      <c r="EH10" s="99">
        <v>360</v>
      </c>
      <c r="EI10" s="99">
        <v>386</v>
      </c>
      <c r="EJ10" s="99">
        <v>467</v>
      </c>
      <c r="EK10" s="99">
        <v>449</v>
      </c>
      <c r="EL10" s="99">
        <v>513</v>
      </c>
      <c r="EM10" s="99">
        <v>442</v>
      </c>
      <c r="EN10" s="99">
        <v>557.90773113359353</v>
      </c>
      <c r="EO10" s="99">
        <v>531.41289099207802</v>
      </c>
      <c r="EP10" s="99">
        <v>491.70376363053805</v>
      </c>
      <c r="EQ10" s="99">
        <v>520.6183247996147</v>
      </c>
      <c r="ER10" s="180">
        <v>549.42374757663401</v>
      </c>
      <c r="ES10" s="180">
        <v>599.24474229205259</v>
      </c>
      <c r="ET10" s="180">
        <v>596.91018594725062</v>
      </c>
      <c r="EU10" s="180">
        <v>601.66275434588295</v>
      </c>
      <c r="EV10" s="180">
        <v>659.90640456442475</v>
      </c>
      <c r="EW10" s="181">
        <v>663.80374569937817</v>
      </c>
      <c r="EX10" s="180">
        <v>649.85487848954585</v>
      </c>
      <c r="EY10" s="180">
        <v>709.95440544883081</v>
      </c>
      <c r="EZ10" s="180">
        <v>733.99904988373453</v>
      </c>
      <c r="FA10" s="180">
        <v>750.47542259326099</v>
      </c>
      <c r="FB10" s="180">
        <v>701.0640058578831</v>
      </c>
      <c r="FC10" s="181">
        <v>750.60467173568463</v>
      </c>
      <c r="FD10" s="180">
        <v>782.89049212585564</v>
      </c>
      <c r="FE10" s="180">
        <v>764.32253668172348</v>
      </c>
      <c r="FF10" s="180">
        <v>708.51215130811988</v>
      </c>
      <c r="FG10" s="180">
        <v>842.82969588908793</v>
      </c>
      <c r="FH10" s="180">
        <v>1011.8780489789053</v>
      </c>
      <c r="FI10" s="180">
        <v>1237.5098398607161</v>
      </c>
      <c r="FJ10" s="180">
        <v>1288.6412553068669</v>
      </c>
      <c r="FK10" s="100">
        <v>5483</v>
      </c>
      <c r="FL10" s="100">
        <v>5695</v>
      </c>
      <c r="FM10" s="99">
        <v>5299</v>
      </c>
      <c r="FN10" s="99">
        <v>5381.0511317871942</v>
      </c>
      <c r="FO10" s="99">
        <v>5481.088533084423</v>
      </c>
      <c r="FP10" s="99">
        <v>5492</v>
      </c>
      <c r="FQ10" s="100">
        <v>5962</v>
      </c>
      <c r="FR10" s="99">
        <v>5854</v>
      </c>
      <c r="FS10" s="99">
        <v>5782</v>
      </c>
      <c r="FT10" s="99">
        <v>5697</v>
      </c>
      <c r="FU10" s="99">
        <v>5779</v>
      </c>
      <c r="FV10" s="99">
        <v>5747</v>
      </c>
      <c r="FW10" s="99">
        <v>5596</v>
      </c>
      <c r="FX10" s="99">
        <v>5509</v>
      </c>
      <c r="FY10" s="99">
        <v>5951</v>
      </c>
      <c r="FZ10" s="99">
        <v>5534</v>
      </c>
      <c r="GA10" s="99">
        <v>6132</v>
      </c>
      <c r="GB10" s="99">
        <v>5939</v>
      </c>
      <c r="GC10" s="99">
        <v>6003.6079872279724</v>
      </c>
      <c r="GD10" s="99">
        <v>6074.6471006446418</v>
      </c>
      <c r="GE10" s="99">
        <v>6028.3206489598333</v>
      </c>
      <c r="GF10" s="99">
        <v>6096.8248342085308</v>
      </c>
      <c r="GG10" s="180">
        <v>6162.4477317477895</v>
      </c>
      <c r="GH10" s="180">
        <v>6210.7744030276326</v>
      </c>
      <c r="GI10" s="180">
        <v>6167.6623052128443</v>
      </c>
      <c r="GJ10" s="180">
        <v>5839.7391122372919</v>
      </c>
      <c r="GK10" s="180">
        <v>6021.497825296341</v>
      </c>
      <c r="GL10" s="181">
        <v>6051.5144139001977</v>
      </c>
      <c r="GM10" s="180">
        <v>5945.5668442544429</v>
      </c>
      <c r="GN10" s="180">
        <v>5658.0852727577194</v>
      </c>
      <c r="GO10" s="180">
        <v>5628.5713309787225</v>
      </c>
      <c r="GP10" s="180">
        <v>5651.866257404401</v>
      </c>
      <c r="GQ10" s="180">
        <v>5510.709785145481</v>
      </c>
      <c r="GR10" s="181">
        <v>6101.1366670228945</v>
      </c>
      <c r="GS10" s="180">
        <v>6068.8163109500056</v>
      </c>
      <c r="GT10" s="180">
        <v>5747.3123349932139</v>
      </c>
      <c r="GU10" s="180">
        <v>5501.0635913567312</v>
      </c>
      <c r="GV10" s="180">
        <v>5362.8130251076991</v>
      </c>
      <c r="GW10" s="180">
        <v>5453.4405038784953</v>
      </c>
      <c r="GX10" s="180">
        <v>5429.2484713976974</v>
      </c>
      <c r="GY10" s="180">
        <v>5414.1361578189508</v>
      </c>
      <c r="GZ10" s="100">
        <v>121</v>
      </c>
      <c r="HA10" s="100">
        <v>149</v>
      </c>
      <c r="HB10" s="99">
        <v>167</v>
      </c>
      <c r="HC10" s="99">
        <v>242.60751079562471</v>
      </c>
      <c r="HD10" s="99">
        <v>247.11774946847729</v>
      </c>
      <c r="HE10" s="99">
        <v>248</v>
      </c>
      <c r="HF10" s="100">
        <v>333</v>
      </c>
      <c r="HG10" s="99">
        <v>390</v>
      </c>
      <c r="HH10" s="99">
        <v>508</v>
      </c>
      <c r="HI10" s="99">
        <v>528</v>
      </c>
      <c r="HJ10" s="99">
        <v>626</v>
      </c>
      <c r="HK10" s="99">
        <v>788</v>
      </c>
      <c r="HL10" s="99">
        <v>795</v>
      </c>
      <c r="HM10" s="99">
        <v>998</v>
      </c>
      <c r="HN10" s="99">
        <v>1183</v>
      </c>
      <c r="HO10" s="99">
        <v>1121</v>
      </c>
      <c r="HP10" s="99">
        <v>1421</v>
      </c>
      <c r="HQ10" s="99">
        <v>1599</v>
      </c>
      <c r="HR10" s="99">
        <v>1849</v>
      </c>
      <c r="HS10" s="99">
        <v>2096</v>
      </c>
      <c r="HT10" s="99">
        <v>2220</v>
      </c>
      <c r="HU10" s="99">
        <v>2413</v>
      </c>
      <c r="HV10" s="180">
        <v>2576.1758097398847</v>
      </c>
      <c r="HW10" s="180">
        <v>2793.6988205093808</v>
      </c>
      <c r="HX10" s="180">
        <v>2954.8296640226949</v>
      </c>
      <c r="HY10" s="180">
        <v>3024.1864343346119</v>
      </c>
      <c r="HZ10" s="180">
        <v>3307.7543893168386</v>
      </c>
      <c r="IA10" s="181">
        <v>3430.6791231300635</v>
      </c>
      <c r="IB10" s="180">
        <v>3773.0392308370283</v>
      </c>
      <c r="IC10" s="180">
        <v>3926.5445532536423</v>
      </c>
      <c r="ID10" s="180">
        <v>4079.0718421691327</v>
      </c>
      <c r="IE10" s="180">
        <v>4175.2325286043688</v>
      </c>
      <c r="IF10" s="180">
        <v>4479.1615276286666</v>
      </c>
      <c r="IG10" s="181">
        <v>4884.0581582866253</v>
      </c>
      <c r="IH10" s="180">
        <v>4756.2577264596766</v>
      </c>
      <c r="II10" s="180">
        <v>4552.5055727858262</v>
      </c>
      <c r="IJ10" s="180">
        <v>4322.351777621142</v>
      </c>
      <c r="IK10" s="180">
        <v>4232.1343289737533</v>
      </c>
      <c r="IL10" s="180">
        <v>4150.7155037673583</v>
      </c>
      <c r="IM10" s="180">
        <v>4134.0951127630979</v>
      </c>
      <c r="IN10" s="180">
        <v>4128.507414093212</v>
      </c>
      <c r="IO10" s="100">
        <v>20004</v>
      </c>
      <c r="IP10" s="100">
        <v>19509</v>
      </c>
      <c r="IQ10" s="99">
        <v>19186</v>
      </c>
      <c r="IR10" s="99">
        <v>18686.497685458635</v>
      </c>
      <c r="IS10" s="99">
        <v>19033.892389953686</v>
      </c>
      <c r="IT10" s="99">
        <v>19073</v>
      </c>
      <c r="IU10" s="100">
        <v>20198</v>
      </c>
      <c r="IV10" s="99">
        <v>20272</v>
      </c>
      <c r="IW10" s="99">
        <v>20607</v>
      </c>
      <c r="IX10" s="99">
        <v>20454</v>
      </c>
      <c r="IY10" s="99">
        <v>20138</v>
      </c>
      <c r="IZ10" s="99">
        <v>20559</v>
      </c>
      <c r="JA10" s="99">
        <v>20276</v>
      </c>
      <c r="JB10" s="99">
        <v>19563</v>
      </c>
      <c r="JC10" s="99">
        <v>21017</v>
      </c>
      <c r="JD10" s="99">
        <v>19449</v>
      </c>
      <c r="JE10" s="99">
        <v>20474</v>
      </c>
      <c r="JF10" s="99">
        <v>19872</v>
      </c>
      <c r="JG10" s="99">
        <v>19692.659199355203</v>
      </c>
      <c r="JH10" s="99">
        <v>19284.833981787848</v>
      </c>
      <c r="JI10" s="99">
        <v>19504.936997475943</v>
      </c>
      <c r="JJ10" s="99">
        <v>19714.718549101632</v>
      </c>
      <c r="JK10" s="180">
        <v>20054.164921990796</v>
      </c>
      <c r="JL10" s="180">
        <v>19989.0133374385</v>
      </c>
      <c r="JM10" s="180">
        <v>19689.625848267799</v>
      </c>
      <c r="JN10" s="180">
        <v>19766.082813337438</v>
      </c>
      <c r="JO10" s="180">
        <v>19667.202973390496</v>
      </c>
      <c r="JP10" s="181">
        <v>19777.632544634416</v>
      </c>
      <c r="JQ10" s="180">
        <v>19485.594879117776</v>
      </c>
      <c r="JR10" s="180">
        <v>19170.41344553851</v>
      </c>
      <c r="JS10" s="180">
        <v>19146.284567517079</v>
      </c>
      <c r="JT10" s="180">
        <v>18848.785020514108</v>
      </c>
      <c r="JU10" s="180">
        <v>18644.7724308283</v>
      </c>
      <c r="JV10" s="181">
        <v>19600.910715391932</v>
      </c>
      <c r="JW10" s="180">
        <v>19218.116300362621</v>
      </c>
      <c r="JX10" s="180">
        <v>18926.482867465391</v>
      </c>
      <c r="JY10" s="180">
        <v>18263.012438116286</v>
      </c>
      <c r="JZ10" s="180">
        <v>18362.081816608064</v>
      </c>
      <c r="KA10" s="180">
        <v>18110.622464453023</v>
      </c>
      <c r="KB10" s="180">
        <v>17664.272207311707</v>
      </c>
      <c r="KC10" s="180">
        <v>18104.226088657066</v>
      </c>
    </row>
    <row r="11" spans="1:289">
      <c r="A11" s="173" t="s">
        <v>35</v>
      </c>
      <c r="B11" s="100">
        <v>5325</v>
      </c>
      <c r="C11" s="100">
        <v>5492</v>
      </c>
      <c r="D11" s="99">
        <v>5230</v>
      </c>
      <c r="E11" s="99">
        <v>5234</v>
      </c>
      <c r="F11" s="99">
        <v>5609</v>
      </c>
      <c r="G11" s="99">
        <v>5953</v>
      </c>
      <c r="H11" s="100">
        <v>6439</v>
      </c>
      <c r="I11" s="99">
        <v>6484</v>
      </c>
      <c r="J11" s="99">
        <v>6107</v>
      </c>
      <c r="K11" s="99">
        <v>6614</v>
      </c>
      <c r="L11" s="99">
        <v>6482</v>
      </c>
      <c r="M11" s="99">
        <v>6817</v>
      </c>
      <c r="N11" s="99">
        <v>6951</v>
      </c>
      <c r="O11" s="99">
        <v>6934</v>
      </c>
      <c r="P11" s="99">
        <v>7275</v>
      </c>
      <c r="Q11" s="99">
        <v>7205</v>
      </c>
      <c r="R11" s="99">
        <v>7388</v>
      </c>
      <c r="S11" s="99">
        <v>7839</v>
      </c>
      <c r="T11" s="99">
        <v>8133</v>
      </c>
      <c r="U11" s="99">
        <v>8043</v>
      </c>
      <c r="V11" s="99">
        <v>8247</v>
      </c>
      <c r="W11" s="99">
        <v>8070</v>
      </c>
      <c r="X11" s="546">
        <v>9640</v>
      </c>
      <c r="Y11" s="180">
        <v>8231.006669253693</v>
      </c>
      <c r="Z11" s="180">
        <v>8102.9830045308918</v>
      </c>
      <c r="AA11" s="180">
        <v>7982.5408501612219</v>
      </c>
      <c r="AB11" s="180">
        <v>8155.5946276098102</v>
      </c>
      <c r="AC11" s="180">
        <v>8401.1880080810915</v>
      </c>
      <c r="AD11" s="181">
        <v>8423.230066177468</v>
      </c>
      <c r="AE11" s="180">
        <v>8524.4990296208507</v>
      </c>
      <c r="AF11" s="180">
        <v>8859.1971333061956</v>
      </c>
      <c r="AG11" s="180">
        <v>8771.5032740311381</v>
      </c>
      <c r="AH11" s="180">
        <v>8939.0400289694826</v>
      </c>
      <c r="AI11" s="180">
        <v>9199.4791469213596</v>
      </c>
      <c r="AJ11" s="181">
        <v>9087.6713040255418</v>
      </c>
      <c r="AK11" s="180">
        <v>9213.5034500315542</v>
      </c>
      <c r="AL11" s="180">
        <v>8818.3617939049655</v>
      </c>
      <c r="AM11" s="180">
        <v>8656.638295860148</v>
      </c>
      <c r="AN11" s="180">
        <v>8561.6687631386358</v>
      </c>
      <c r="AO11" s="180">
        <v>8369.1919044038241</v>
      </c>
      <c r="AP11" s="180">
        <v>8240.1837238901044</v>
      </c>
      <c r="AQ11" s="180">
        <v>8349.587981628858</v>
      </c>
      <c r="AR11" s="533">
        <f t="shared" si="25"/>
        <v>132</v>
      </c>
      <c r="AS11" s="534">
        <f t="shared" si="26"/>
        <v>126</v>
      </c>
      <c r="AT11" s="534">
        <f t="shared" si="27"/>
        <v>144</v>
      </c>
      <c r="AU11" s="534">
        <f t="shared" si="28"/>
        <v>140</v>
      </c>
      <c r="AV11" s="534">
        <f t="shared" si="29"/>
        <v>146</v>
      </c>
      <c r="AW11" s="534">
        <f t="shared" si="30"/>
        <v>151</v>
      </c>
      <c r="AX11" s="534">
        <f t="shared" si="31"/>
        <v>166</v>
      </c>
      <c r="AY11" s="534">
        <f t="shared" si="32"/>
        <v>176</v>
      </c>
      <c r="AZ11" s="534">
        <f t="shared" si="33"/>
        <v>179</v>
      </c>
      <c r="BA11" s="534">
        <f t="shared" si="34"/>
        <v>210</v>
      </c>
      <c r="BB11" s="534">
        <f t="shared" si="35"/>
        <v>200</v>
      </c>
      <c r="BC11" s="534">
        <f t="shared" si="36"/>
        <v>230</v>
      </c>
      <c r="BD11" s="534">
        <f t="shared" si="37"/>
        <v>230</v>
      </c>
      <c r="BE11" s="534">
        <f t="shared" si="38"/>
        <v>256</v>
      </c>
      <c r="BF11" s="534">
        <f t="shared" si="39"/>
        <v>266</v>
      </c>
      <c r="BG11" s="534">
        <f t="shared" si="40"/>
        <v>264</v>
      </c>
      <c r="BH11" s="534">
        <f t="shared" si="41"/>
        <v>262</v>
      </c>
      <c r="BI11" s="534">
        <f t="shared" si="42"/>
        <v>277</v>
      </c>
      <c r="BJ11" s="534">
        <f t="shared" si="43"/>
        <v>335</v>
      </c>
      <c r="BK11" s="534">
        <f t="shared" si="44"/>
        <v>312.58223008788411</v>
      </c>
      <c r="BL11" s="534">
        <f t="shared" si="45"/>
        <v>375.50707297332241</v>
      </c>
      <c r="BM11" s="534">
        <f t="shared" si="46"/>
        <v>320.0914804420002</v>
      </c>
      <c r="BN11" s="186">
        <f t="shared" si="47"/>
        <v>352.55102034952336</v>
      </c>
      <c r="BO11" s="186">
        <f t="shared" si="48"/>
        <v>349.28745036691686</v>
      </c>
      <c r="BP11" s="186">
        <f t="shared" si="49"/>
        <v>349.56015370281648</v>
      </c>
      <c r="BQ11" s="186">
        <f t="shared" si="50"/>
        <v>356.65281197076376</v>
      </c>
      <c r="BR11" s="186">
        <f t="shared" si="51"/>
        <v>410.95396839518389</v>
      </c>
      <c r="BS11" s="186">
        <f t="shared" si="52"/>
        <v>421.38222045991677</v>
      </c>
      <c r="BT11" s="186">
        <f t="shared" si="53"/>
        <v>467.23974305247629</v>
      </c>
      <c r="BU11" s="186">
        <f t="shared" si="54"/>
        <v>464.57321683598377</v>
      </c>
      <c r="BV11" s="186">
        <f t="shared" si="55"/>
        <v>467.29421750932323</v>
      </c>
      <c r="BW11" s="186">
        <f t="shared" si="56"/>
        <v>503.16711343320151</v>
      </c>
      <c r="BX11" s="186">
        <f t="shared" si="57"/>
        <v>506.79306207790887</v>
      </c>
      <c r="BY11" s="186">
        <f t="shared" si="58"/>
        <v>477.2461706136308</v>
      </c>
      <c r="BZ11" s="186">
        <f t="shared" si="59"/>
        <v>510.09004619195161</v>
      </c>
      <c r="CA11" s="186">
        <f t="shared" si="60"/>
        <v>496.92177372473145</v>
      </c>
      <c r="CB11" s="186">
        <f t="shared" si="61"/>
        <v>489.35990179159785</v>
      </c>
      <c r="CC11" s="186">
        <f t="shared" si="62"/>
        <v>529.5933327594347</v>
      </c>
      <c r="CD11" s="186">
        <f t="shared" si="63"/>
        <v>530.32083646404658</v>
      </c>
      <c r="CE11" s="186">
        <f t="shared" si="64"/>
        <v>493.64313691086949</v>
      </c>
      <c r="CF11" s="186">
        <f t="shared" si="65"/>
        <v>583.69600716837726</v>
      </c>
      <c r="CG11" s="100">
        <v>7</v>
      </c>
      <c r="CH11" s="100">
        <v>3</v>
      </c>
      <c r="CI11" s="99">
        <v>26</v>
      </c>
      <c r="CJ11" s="99">
        <v>12</v>
      </c>
      <c r="CK11" s="99">
        <v>14</v>
      </c>
      <c r="CL11" s="99">
        <v>17</v>
      </c>
      <c r="CM11" s="100">
        <v>13</v>
      </c>
      <c r="CN11" s="99">
        <v>12</v>
      </c>
      <c r="CO11" s="99">
        <v>11</v>
      </c>
      <c r="CP11" s="99">
        <v>15</v>
      </c>
      <c r="CQ11" s="99">
        <v>15</v>
      </c>
      <c r="CR11" s="99">
        <v>15</v>
      </c>
      <c r="CS11" s="99">
        <v>20</v>
      </c>
      <c r="CT11" s="99">
        <v>30</v>
      </c>
      <c r="CU11" s="99">
        <v>20</v>
      </c>
      <c r="CV11" s="99">
        <v>27</v>
      </c>
      <c r="CW11" s="99">
        <v>26</v>
      </c>
      <c r="CX11" s="99">
        <v>31</v>
      </c>
      <c r="CY11" s="99">
        <v>26</v>
      </c>
      <c r="CZ11" s="99">
        <v>36.159840370477951</v>
      </c>
      <c r="DA11" s="99">
        <v>33.234277090605666</v>
      </c>
      <c r="DB11" s="99">
        <v>26.19833083913251</v>
      </c>
      <c r="DC11" s="180">
        <v>35.29521024968107</v>
      </c>
      <c r="DD11" s="180">
        <v>26.945464300636122</v>
      </c>
      <c r="DE11" s="180">
        <v>35.435340474020684</v>
      </c>
      <c r="DF11" s="180">
        <v>33.496895441631551</v>
      </c>
      <c r="DG11" s="180">
        <v>41.193126832482911</v>
      </c>
      <c r="DH11" s="181">
        <v>45.131676886949457</v>
      </c>
      <c r="DI11" s="180">
        <v>55.1655420678958</v>
      </c>
      <c r="DJ11" s="180">
        <v>58.979603520357983</v>
      </c>
      <c r="DK11" s="180">
        <v>51.989609260377243</v>
      </c>
      <c r="DL11" s="180">
        <v>54.931040148151205</v>
      </c>
      <c r="DM11" s="180">
        <v>49.618407825955906</v>
      </c>
      <c r="DN11" s="181">
        <v>47.626136850548107</v>
      </c>
      <c r="DO11" s="180">
        <v>39.395404021376223</v>
      </c>
      <c r="DP11" s="180">
        <v>36.847332299701328</v>
      </c>
      <c r="DQ11" s="180">
        <v>28.317976645029752</v>
      </c>
      <c r="DR11" s="180">
        <v>43.229472813017992</v>
      </c>
      <c r="DS11" s="180">
        <v>21.169591946788323</v>
      </c>
      <c r="DT11" s="180">
        <v>20.534152074687857</v>
      </c>
      <c r="DU11" s="180">
        <v>20.325234320796486</v>
      </c>
      <c r="DV11" s="100">
        <v>125</v>
      </c>
      <c r="DW11" s="100">
        <v>123</v>
      </c>
      <c r="DX11" s="99">
        <v>118</v>
      </c>
      <c r="DY11" s="99">
        <v>128</v>
      </c>
      <c r="DZ11" s="99">
        <v>132</v>
      </c>
      <c r="EA11" s="99">
        <v>134</v>
      </c>
      <c r="EB11" s="100">
        <v>153</v>
      </c>
      <c r="EC11" s="99">
        <v>164</v>
      </c>
      <c r="ED11" s="99">
        <v>168</v>
      </c>
      <c r="EE11" s="99">
        <v>195</v>
      </c>
      <c r="EF11" s="99">
        <v>185</v>
      </c>
      <c r="EG11" s="99">
        <v>215</v>
      </c>
      <c r="EH11" s="99">
        <v>210</v>
      </c>
      <c r="EI11" s="99">
        <v>226</v>
      </c>
      <c r="EJ11" s="99">
        <v>246</v>
      </c>
      <c r="EK11" s="99">
        <v>237</v>
      </c>
      <c r="EL11" s="99">
        <v>236</v>
      </c>
      <c r="EM11" s="99">
        <v>246</v>
      </c>
      <c r="EN11" s="99">
        <v>309</v>
      </c>
      <c r="EO11" s="99">
        <v>276.42238971740613</v>
      </c>
      <c r="EP11" s="99">
        <v>342.27279588271676</v>
      </c>
      <c r="EQ11" s="99">
        <v>293.89314960286771</v>
      </c>
      <c r="ER11" s="180">
        <v>317.25581009984228</v>
      </c>
      <c r="ES11" s="180">
        <v>322.34198606628075</v>
      </c>
      <c r="ET11" s="180">
        <v>314.1248132287958</v>
      </c>
      <c r="EU11" s="180">
        <v>323.15591652913224</v>
      </c>
      <c r="EV11" s="180">
        <v>369.76084156270099</v>
      </c>
      <c r="EW11" s="181">
        <v>376.25054357296733</v>
      </c>
      <c r="EX11" s="180">
        <v>412.0742009845805</v>
      </c>
      <c r="EY11" s="180">
        <v>405.59361331562576</v>
      </c>
      <c r="EZ11" s="180">
        <v>415.30460824894601</v>
      </c>
      <c r="FA11" s="180">
        <v>448.23607328505028</v>
      </c>
      <c r="FB11" s="180">
        <v>457.17465425195297</v>
      </c>
      <c r="FC11" s="181">
        <v>429.62003376308269</v>
      </c>
      <c r="FD11" s="180">
        <v>470.69464217057538</v>
      </c>
      <c r="FE11" s="180">
        <v>460.0744414250301</v>
      </c>
      <c r="FF11" s="180">
        <v>461.04192514656808</v>
      </c>
      <c r="FG11" s="180">
        <v>486.36385994641671</v>
      </c>
      <c r="FH11" s="180">
        <v>509.15124451725825</v>
      </c>
      <c r="FI11" s="180">
        <v>473.10898483618161</v>
      </c>
      <c r="FJ11" s="180">
        <v>563.37077284758072</v>
      </c>
      <c r="FK11" s="100">
        <v>1152</v>
      </c>
      <c r="FL11" s="100">
        <v>1181</v>
      </c>
      <c r="FM11" s="99">
        <v>1171</v>
      </c>
      <c r="FN11" s="99">
        <v>1247</v>
      </c>
      <c r="FO11" s="99">
        <v>1362</v>
      </c>
      <c r="FP11" s="99">
        <v>1417</v>
      </c>
      <c r="FQ11" s="100">
        <v>1659</v>
      </c>
      <c r="FR11" s="99">
        <v>1665</v>
      </c>
      <c r="FS11" s="99">
        <v>1510</v>
      </c>
      <c r="FT11" s="99">
        <v>1661</v>
      </c>
      <c r="FU11" s="99">
        <v>1683</v>
      </c>
      <c r="FV11" s="99">
        <v>1760</v>
      </c>
      <c r="FW11" s="99">
        <v>1858</v>
      </c>
      <c r="FX11" s="99">
        <v>1970</v>
      </c>
      <c r="FY11" s="99">
        <v>2002</v>
      </c>
      <c r="FZ11" s="99">
        <v>2034</v>
      </c>
      <c r="GA11" s="99">
        <v>2104</v>
      </c>
      <c r="GB11" s="99">
        <v>2438</v>
      </c>
      <c r="GC11" s="99">
        <v>2507</v>
      </c>
      <c r="GD11" s="99">
        <v>2501.7532207730837</v>
      </c>
      <c r="GE11" s="99">
        <v>2562.5636991932729</v>
      </c>
      <c r="GF11" s="99">
        <v>2576.8712468235303</v>
      </c>
      <c r="GG11" s="180">
        <v>2546.5829952501131</v>
      </c>
      <c r="GH11" s="180">
        <v>2582.5997182601591</v>
      </c>
      <c r="GI11" s="180">
        <v>2482.9727051044456</v>
      </c>
      <c r="GJ11" s="180">
        <v>2496.3647936488742</v>
      </c>
      <c r="GK11" s="180">
        <v>2649.2311283145641</v>
      </c>
      <c r="GL11" s="181">
        <v>2629.2685835877546</v>
      </c>
      <c r="GM11" s="180">
        <v>2566.7382610769187</v>
      </c>
      <c r="GN11" s="180">
        <v>2589.798330555765</v>
      </c>
      <c r="GO11" s="180">
        <v>2628.6368821031365</v>
      </c>
      <c r="GP11" s="180">
        <v>2616.5842914527616</v>
      </c>
      <c r="GQ11" s="180">
        <v>2572.1032688679452</v>
      </c>
      <c r="GR11" s="181">
        <v>2633.0887258048397</v>
      </c>
      <c r="GS11" s="180">
        <v>2800.3257829575023</v>
      </c>
      <c r="GT11" s="180">
        <v>2774.8494332510054</v>
      </c>
      <c r="GU11" s="180">
        <v>2649.0168765974445</v>
      </c>
      <c r="GV11" s="180">
        <v>2601.9356557124506</v>
      </c>
      <c r="GW11" s="180">
        <v>2496.2565956777808</v>
      </c>
      <c r="GX11" s="180">
        <v>2553.38231659951</v>
      </c>
      <c r="GY11" s="180">
        <v>2457.0469254214072</v>
      </c>
      <c r="GZ11" s="100">
        <v>103</v>
      </c>
      <c r="HA11" s="100">
        <v>135</v>
      </c>
      <c r="HB11" s="99">
        <v>137</v>
      </c>
      <c r="HC11" s="99">
        <v>135</v>
      </c>
      <c r="HD11" s="99">
        <v>152</v>
      </c>
      <c r="HE11" s="99">
        <v>295</v>
      </c>
      <c r="HF11" s="100">
        <v>219</v>
      </c>
      <c r="HG11" s="99">
        <v>200</v>
      </c>
      <c r="HH11" s="99">
        <v>181</v>
      </c>
      <c r="HI11" s="99">
        <v>208</v>
      </c>
      <c r="HJ11" s="99">
        <v>241</v>
      </c>
      <c r="HK11" s="99">
        <v>269</v>
      </c>
      <c r="HL11" s="99">
        <v>297</v>
      </c>
      <c r="HM11" s="99">
        <v>322</v>
      </c>
      <c r="HN11" s="99">
        <v>361</v>
      </c>
      <c r="HO11" s="99">
        <v>424</v>
      </c>
      <c r="HP11" s="99">
        <v>459</v>
      </c>
      <c r="HQ11" s="99">
        <v>522</v>
      </c>
      <c r="HR11" s="99">
        <v>594</v>
      </c>
      <c r="HS11" s="99">
        <v>702</v>
      </c>
      <c r="HT11" s="99">
        <v>680</v>
      </c>
      <c r="HU11" s="99">
        <v>805</v>
      </c>
      <c r="HV11" s="180">
        <v>864.1617921786966</v>
      </c>
      <c r="HW11" s="180">
        <v>872.32741309076232</v>
      </c>
      <c r="HX11" s="180">
        <v>916.02435918507865</v>
      </c>
      <c r="HY11" s="180">
        <v>1026.3014448642784</v>
      </c>
      <c r="HZ11" s="180">
        <v>1097.8243930890717</v>
      </c>
      <c r="IA11" s="181">
        <v>1125.3227518716503</v>
      </c>
      <c r="IB11" s="180">
        <v>1299.9620485850182</v>
      </c>
      <c r="IC11" s="180">
        <v>1430.726671028895</v>
      </c>
      <c r="ID11" s="180">
        <v>1416.0837281367619</v>
      </c>
      <c r="IE11" s="180">
        <v>1617.1889820598417</v>
      </c>
      <c r="IF11" s="180">
        <v>1669.496620234617</v>
      </c>
      <c r="IG11" s="181">
        <v>1639.4809012113976</v>
      </c>
      <c r="IH11" s="180">
        <v>1686.4033385855887</v>
      </c>
      <c r="II11" s="180">
        <v>1507.7090026605374</v>
      </c>
      <c r="IJ11" s="180">
        <v>1302.1129149262304</v>
      </c>
      <c r="IK11" s="180">
        <v>1276.7876380755572</v>
      </c>
      <c r="IL11" s="180">
        <v>1220.2241905195012</v>
      </c>
      <c r="IM11" s="180">
        <v>1223.4845660166036</v>
      </c>
      <c r="IN11" s="180">
        <v>1398.7303157034933</v>
      </c>
      <c r="IO11" s="100">
        <v>3938</v>
      </c>
      <c r="IP11" s="100">
        <v>4050</v>
      </c>
      <c r="IQ11" s="99">
        <v>3778</v>
      </c>
      <c r="IR11" s="99">
        <v>3712</v>
      </c>
      <c r="IS11" s="99">
        <v>3949</v>
      </c>
      <c r="IT11" s="99">
        <v>4090</v>
      </c>
      <c r="IU11" s="100">
        <v>4395</v>
      </c>
      <c r="IV11" s="99">
        <v>4443</v>
      </c>
      <c r="IW11" s="99">
        <v>4237</v>
      </c>
      <c r="IX11" s="99">
        <v>4400</v>
      </c>
      <c r="IY11" s="99">
        <v>4358</v>
      </c>
      <c r="IZ11" s="99">
        <v>4557</v>
      </c>
      <c r="JA11" s="99">
        <v>4566</v>
      </c>
      <c r="JB11" s="99">
        <v>4386</v>
      </c>
      <c r="JC11" s="99">
        <v>4646</v>
      </c>
      <c r="JD11" s="99">
        <v>4483</v>
      </c>
      <c r="JE11" s="99">
        <v>4514</v>
      </c>
      <c r="JF11" s="99">
        <v>4602</v>
      </c>
      <c r="JG11" s="99">
        <v>4697</v>
      </c>
      <c r="JH11" s="99">
        <v>4520.6645491390318</v>
      </c>
      <c r="JI11" s="99">
        <v>4622.9292278334051</v>
      </c>
      <c r="JJ11" s="99">
        <v>4362.0372727344693</v>
      </c>
      <c r="JK11" s="180">
        <v>4466.0421308224986</v>
      </c>
      <c r="JL11" s="180">
        <v>4302.3891006388685</v>
      </c>
      <c r="JM11" s="180">
        <v>4229.8418128102312</v>
      </c>
      <c r="JN11" s="180">
        <v>4265.5836811779454</v>
      </c>
      <c r="JO11" s="180">
        <v>4241.9846731641128</v>
      </c>
      <c r="JP11" s="181">
        <v>4254.3329001534075</v>
      </c>
      <c r="JQ11" s="180">
        <v>4219.2565127834896</v>
      </c>
      <c r="JR11" s="180">
        <v>4408.0327711398686</v>
      </c>
      <c r="JS11" s="180">
        <v>4289.1948088108857</v>
      </c>
      <c r="JT11" s="180">
        <v>4252.3780103247163</v>
      </c>
      <c r="JU11" s="180">
        <v>4518.1339454790768</v>
      </c>
      <c r="JV11" s="181">
        <v>4388.379191239128</v>
      </c>
      <c r="JW11" s="180">
        <v>4325.5265141487043</v>
      </c>
      <c r="JX11" s="180">
        <v>4135.3988997316237</v>
      </c>
      <c r="JY11" s="180">
        <v>4241.1722533063721</v>
      </c>
      <c r="JZ11" s="180">
        <v>4179.5547521711678</v>
      </c>
      <c r="KA11" s="180">
        <v>4119.169608232698</v>
      </c>
      <c r="KB11" s="180">
        <v>3978.5321870316907</v>
      </c>
      <c r="KC11" s="180">
        <v>3952.6194687771563</v>
      </c>
    </row>
    <row r="12" spans="1:289">
      <c r="A12" s="173" t="s">
        <v>36</v>
      </c>
      <c r="B12" s="100">
        <v>93674</v>
      </c>
      <c r="C12" s="100">
        <v>89428</v>
      </c>
      <c r="D12" s="99">
        <v>88032</v>
      </c>
      <c r="E12" s="99">
        <v>89827</v>
      </c>
      <c r="F12" s="99">
        <v>89242</v>
      </c>
      <c r="G12" s="99">
        <v>98082</v>
      </c>
      <c r="H12" s="100">
        <v>98498</v>
      </c>
      <c r="I12" s="99">
        <v>102386</v>
      </c>
      <c r="J12" s="99">
        <v>106708</v>
      </c>
      <c r="K12" s="99">
        <v>111112</v>
      </c>
      <c r="L12" s="99">
        <v>119537</v>
      </c>
      <c r="M12" s="99">
        <v>127484</v>
      </c>
      <c r="N12" s="99">
        <v>131418</v>
      </c>
      <c r="O12" s="99">
        <v>133318</v>
      </c>
      <c r="P12" s="99">
        <v>134686</v>
      </c>
      <c r="Q12" s="99">
        <v>142284</v>
      </c>
      <c r="R12" s="99">
        <v>149046</v>
      </c>
      <c r="S12" s="99">
        <v>153461</v>
      </c>
      <c r="T12" s="99">
        <v>156130</v>
      </c>
      <c r="U12" s="99">
        <v>155493</v>
      </c>
      <c r="V12" s="99">
        <v>151964</v>
      </c>
      <c r="W12" s="99">
        <v>158029</v>
      </c>
      <c r="X12" s="546">
        <v>180540</v>
      </c>
      <c r="Y12" s="180">
        <v>161365.01957240255</v>
      </c>
      <c r="Z12" s="180">
        <v>162574.1626766299</v>
      </c>
      <c r="AA12" s="180">
        <v>160287.13006013012</v>
      </c>
      <c r="AB12" s="180">
        <v>160813.89468030358</v>
      </c>
      <c r="AC12" s="180">
        <v>164578.92916528953</v>
      </c>
      <c r="AD12" s="181">
        <v>165917.36353563762</v>
      </c>
      <c r="AE12" s="180">
        <v>161634.07616566867</v>
      </c>
      <c r="AF12" s="180">
        <v>161867.03926324882</v>
      </c>
      <c r="AG12" s="180">
        <v>163684.08381240352</v>
      </c>
      <c r="AH12" s="180">
        <v>167216.79605268594</v>
      </c>
      <c r="AI12" s="180">
        <v>171053.78623485821</v>
      </c>
      <c r="AJ12" s="181">
        <v>176520.05671061901</v>
      </c>
      <c r="AK12" s="180">
        <v>171608.25969168675</v>
      </c>
      <c r="AL12" s="180">
        <v>163640.00185082984</v>
      </c>
      <c r="AM12" s="180">
        <v>158112.50856828626</v>
      </c>
      <c r="AN12" s="180">
        <v>157048.25496625452</v>
      </c>
      <c r="AO12" s="180">
        <v>157234.41879644373</v>
      </c>
      <c r="AP12" s="180">
        <v>158984.57679212987</v>
      </c>
      <c r="AQ12" s="180">
        <v>162277.03101830269</v>
      </c>
      <c r="AR12" s="533">
        <f t="shared" si="25"/>
        <v>2441</v>
      </c>
      <c r="AS12" s="534">
        <f t="shared" si="26"/>
        <v>2423</v>
      </c>
      <c r="AT12" s="534">
        <f t="shared" si="27"/>
        <v>2588</v>
      </c>
      <c r="AU12" s="534">
        <f t="shared" si="28"/>
        <v>2629</v>
      </c>
      <c r="AV12" s="534">
        <f t="shared" si="29"/>
        <v>2650</v>
      </c>
      <c r="AW12" s="534">
        <f t="shared" si="30"/>
        <v>2855</v>
      </c>
      <c r="AX12" s="534">
        <f t="shared" si="31"/>
        <v>2944</v>
      </c>
      <c r="AY12" s="534">
        <f t="shared" si="32"/>
        <v>3098</v>
      </c>
      <c r="AZ12" s="534">
        <f t="shared" si="33"/>
        <v>3303</v>
      </c>
      <c r="BA12" s="534">
        <f t="shared" si="34"/>
        <v>3356</v>
      </c>
      <c r="BB12" s="534">
        <f t="shared" si="35"/>
        <v>3648</v>
      </c>
      <c r="BC12" s="534">
        <f t="shared" si="36"/>
        <v>3717</v>
      </c>
      <c r="BD12" s="534">
        <f t="shared" si="37"/>
        <v>4036</v>
      </c>
      <c r="BE12" s="534">
        <f t="shared" si="38"/>
        <v>4275</v>
      </c>
      <c r="BF12" s="534">
        <f t="shared" si="39"/>
        <v>4452</v>
      </c>
      <c r="BG12" s="534">
        <f t="shared" si="40"/>
        <v>4639</v>
      </c>
      <c r="BH12" s="534">
        <f t="shared" si="41"/>
        <v>4698</v>
      </c>
      <c r="BI12" s="534">
        <f t="shared" si="42"/>
        <v>4887</v>
      </c>
      <c r="BJ12" s="534">
        <f t="shared" si="43"/>
        <v>5042</v>
      </c>
      <c r="BK12" s="534">
        <f t="shared" si="44"/>
        <v>5161.9377756193344</v>
      </c>
      <c r="BL12" s="534">
        <f t="shared" si="45"/>
        <v>5319.9115068616729</v>
      </c>
      <c r="BM12" s="534">
        <f t="shared" si="46"/>
        <v>5627.4579982252353</v>
      </c>
      <c r="BN12" s="186">
        <f t="shared" si="47"/>
        <v>5723.148226676115</v>
      </c>
      <c r="BO12" s="186">
        <f t="shared" si="48"/>
        <v>6119.5897398652669</v>
      </c>
      <c r="BP12" s="186">
        <f t="shared" si="49"/>
        <v>6003.855019934168</v>
      </c>
      <c r="BQ12" s="186">
        <f t="shared" si="50"/>
        <v>6026.6254280945104</v>
      </c>
      <c r="BR12" s="186">
        <f t="shared" si="51"/>
        <v>6457.0783174572771</v>
      </c>
      <c r="BS12" s="186">
        <f t="shared" si="52"/>
        <v>6728.8471585484185</v>
      </c>
      <c r="BT12" s="186">
        <f t="shared" si="53"/>
        <v>6742.4701420299489</v>
      </c>
      <c r="BU12" s="186">
        <f t="shared" si="54"/>
        <v>7030.4000823145198</v>
      </c>
      <c r="BV12" s="186">
        <f t="shared" si="55"/>
        <v>7235.8930100740581</v>
      </c>
      <c r="BW12" s="186">
        <f t="shared" si="56"/>
        <v>7296.2281165246204</v>
      </c>
      <c r="BX12" s="186">
        <f t="shared" si="57"/>
        <v>7354.2317387350658</v>
      </c>
      <c r="BY12" s="186">
        <f t="shared" si="58"/>
        <v>7515.3667084164335</v>
      </c>
      <c r="BZ12" s="186">
        <f t="shared" si="59"/>
        <v>7637.5923426926602</v>
      </c>
      <c r="CA12" s="186">
        <f t="shared" si="60"/>
        <v>7405.5107154170473</v>
      </c>
      <c r="CB12" s="186">
        <f t="shared" si="61"/>
        <v>6946.9197331842879</v>
      </c>
      <c r="CC12" s="186">
        <f t="shared" si="62"/>
        <v>7144.5206976539357</v>
      </c>
      <c r="CD12" s="186">
        <f t="shared" si="63"/>
        <v>7287.2054232930841</v>
      </c>
      <c r="CE12" s="186">
        <f t="shared" si="64"/>
        <v>7099.0445799546469</v>
      </c>
      <c r="CF12" s="186">
        <f t="shared" si="65"/>
        <v>7298.148754437816</v>
      </c>
      <c r="CG12" s="100">
        <v>179</v>
      </c>
      <c r="CH12" s="100">
        <v>157</v>
      </c>
      <c r="CI12" s="99">
        <v>151</v>
      </c>
      <c r="CJ12" s="99">
        <v>171</v>
      </c>
      <c r="CK12" s="99">
        <v>182</v>
      </c>
      <c r="CL12" s="99">
        <v>220</v>
      </c>
      <c r="CM12" s="100">
        <v>194</v>
      </c>
      <c r="CN12" s="99">
        <v>242</v>
      </c>
      <c r="CO12" s="99">
        <v>236</v>
      </c>
      <c r="CP12" s="99">
        <v>288</v>
      </c>
      <c r="CQ12" s="99">
        <v>303</v>
      </c>
      <c r="CR12" s="99">
        <v>363</v>
      </c>
      <c r="CS12" s="99">
        <v>491</v>
      </c>
      <c r="CT12" s="99">
        <v>551</v>
      </c>
      <c r="CU12" s="99">
        <v>434</v>
      </c>
      <c r="CV12" s="99">
        <v>405</v>
      </c>
      <c r="CW12" s="99">
        <v>443</v>
      </c>
      <c r="CX12" s="99">
        <v>451</v>
      </c>
      <c r="CY12" s="99">
        <v>502</v>
      </c>
      <c r="CZ12" s="99">
        <v>615.22449429863116</v>
      </c>
      <c r="DA12" s="99">
        <v>615.33561612685185</v>
      </c>
      <c r="DB12" s="99">
        <v>651.75359862066159</v>
      </c>
      <c r="DC12" s="180">
        <v>596.32673517048261</v>
      </c>
      <c r="DD12" s="180">
        <v>660.92524114034359</v>
      </c>
      <c r="DE12" s="180">
        <v>734.58560851774769</v>
      </c>
      <c r="DF12" s="180">
        <v>698.25676223936773</v>
      </c>
      <c r="DG12" s="180">
        <v>710.10451489355319</v>
      </c>
      <c r="DH12" s="181">
        <v>712.88040114786008</v>
      </c>
      <c r="DI12" s="180">
        <v>728.34043748150816</v>
      </c>
      <c r="DJ12" s="180">
        <v>692.95117774193488</v>
      </c>
      <c r="DK12" s="180">
        <v>616.14882669198175</v>
      </c>
      <c r="DL12" s="180">
        <v>533.58140368553541</v>
      </c>
      <c r="DM12" s="180">
        <v>576.84542516118734</v>
      </c>
      <c r="DN12" s="181">
        <v>608.62840322717057</v>
      </c>
      <c r="DO12" s="180">
        <v>528.53338254324183</v>
      </c>
      <c r="DP12" s="180">
        <v>470.95432439339635</v>
      </c>
      <c r="DQ12" s="180">
        <v>294.06011656821477</v>
      </c>
      <c r="DR12" s="180">
        <v>319.27148360589763</v>
      </c>
      <c r="DS12" s="180">
        <v>314.48111110826062</v>
      </c>
      <c r="DT12" s="180">
        <v>292.97925545753776</v>
      </c>
      <c r="DU12" s="180">
        <v>318.95897103828156</v>
      </c>
      <c r="DV12" s="100">
        <v>2262</v>
      </c>
      <c r="DW12" s="100">
        <v>2266</v>
      </c>
      <c r="DX12" s="99">
        <v>2437</v>
      </c>
      <c r="DY12" s="99">
        <v>2458</v>
      </c>
      <c r="DZ12" s="99">
        <v>2468</v>
      </c>
      <c r="EA12" s="99">
        <v>2635</v>
      </c>
      <c r="EB12" s="100">
        <v>2750</v>
      </c>
      <c r="EC12" s="99">
        <v>2856</v>
      </c>
      <c r="ED12" s="99">
        <v>3067</v>
      </c>
      <c r="EE12" s="99">
        <v>3068</v>
      </c>
      <c r="EF12" s="99">
        <v>3345</v>
      </c>
      <c r="EG12" s="99">
        <v>3354</v>
      </c>
      <c r="EH12" s="99">
        <v>3545</v>
      </c>
      <c r="EI12" s="99">
        <v>3724</v>
      </c>
      <c r="EJ12" s="99">
        <v>4018</v>
      </c>
      <c r="EK12" s="99">
        <v>4234</v>
      </c>
      <c r="EL12" s="99">
        <v>4255</v>
      </c>
      <c r="EM12" s="99">
        <v>4436</v>
      </c>
      <c r="EN12" s="99">
        <v>4540</v>
      </c>
      <c r="EO12" s="99">
        <v>4546.7132813207036</v>
      </c>
      <c r="EP12" s="99">
        <v>4704.5758907348209</v>
      </c>
      <c r="EQ12" s="99">
        <v>4975.7043996045741</v>
      </c>
      <c r="ER12" s="180">
        <v>5126.8214915056324</v>
      </c>
      <c r="ES12" s="180">
        <v>5458.6644987249238</v>
      </c>
      <c r="ET12" s="180">
        <v>5269.2694114164206</v>
      </c>
      <c r="EU12" s="180">
        <v>5328.3686658551424</v>
      </c>
      <c r="EV12" s="180">
        <v>5746.9738025637243</v>
      </c>
      <c r="EW12" s="181">
        <v>6015.9667574005589</v>
      </c>
      <c r="EX12" s="180">
        <v>6014.1297045484407</v>
      </c>
      <c r="EY12" s="180">
        <v>6337.448904572585</v>
      </c>
      <c r="EZ12" s="180">
        <v>6619.7441833820767</v>
      </c>
      <c r="FA12" s="180">
        <v>6762.646712839085</v>
      </c>
      <c r="FB12" s="180">
        <v>6777.3863135738784</v>
      </c>
      <c r="FC12" s="181">
        <v>6906.738305189263</v>
      </c>
      <c r="FD12" s="180">
        <v>7109.0589601494185</v>
      </c>
      <c r="FE12" s="180">
        <v>6934.5563910236506</v>
      </c>
      <c r="FF12" s="180">
        <v>6652.8596166160733</v>
      </c>
      <c r="FG12" s="180">
        <v>6825.2492140480381</v>
      </c>
      <c r="FH12" s="180">
        <v>6972.7243121848232</v>
      </c>
      <c r="FI12" s="180">
        <v>6806.065324497109</v>
      </c>
      <c r="FJ12" s="180">
        <v>6979.1897833995345</v>
      </c>
      <c r="FK12" s="100">
        <v>19262</v>
      </c>
      <c r="FL12" s="100">
        <v>18259</v>
      </c>
      <c r="FM12" s="99">
        <v>17910</v>
      </c>
      <c r="FN12" s="99">
        <v>18501</v>
      </c>
      <c r="FO12" s="99">
        <v>18792</v>
      </c>
      <c r="FP12" s="99">
        <v>20331</v>
      </c>
      <c r="FQ12" s="100">
        <v>21051</v>
      </c>
      <c r="FR12" s="99">
        <v>21651</v>
      </c>
      <c r="FS12" s="99">
        <v>22595</v>
      </c>
      <c r="FT12" s="99">
        <v>23608</v>
      </c>
      <c r="FU12" s="99">
        <v>24960</v>
      </c>
      <c r="FV12" s="99">
        <v>25835</v>
      </c>
      <c r="FW12" s="99">
        <v>26342</v>
      </c>
      <c r="FX12" s="99">
        <v>26569</v>
      </c>
      <c r="FY12" s="99">
        <v>26759</v>
      </c>
      <c r="FZ12" s="99">
        <v>28099</v>
      </c>
      <c r="GA12" s="99">
        <v>30239</v>
      </c>
      <c r="GB12" s="99">
        <v>32167</v>
      </c>
      <c r="GC12" s="99">
        <v>33748</v>
      </c>
      <c r="GD12" s="99">
        <v>33598.174002972759</v>
      </c>
      <c r="GE12" s="99">
        <v>31824.073560354631</v>
      </c>
      <c r="GF12" s="99">
        <v>33648.076565500502</v>
      </c>
      <c r="GG12" s="180">
        <v>34541.2052820842</v>
      </c>
      <c r="GH12" s="180">
        <v>34969.128318345211</v>
      </c>
      <c r="GI12" s="180">
        <v>34144.646163652134</v>
      </c>
      <c r="GJ12" s="180">
        <v>34516.019460468648</v>
      </c>
      <c r="GK12" s="180">
        <v>35890.012621498492</v>
      </c>
      <c r="GL12" s="181">
        <v>36326.627206515266</v>
      </c>
      <c r="GM12" s="180">
        <v>35408.569660949397</v>
      </c>
      <c r="GN12" s="180">
        <v>35150.526499474712</v>
      </c>
      <c r="GO12" s="180">
        <v>35180.148725522333</v>
      </c>
      <c r="GP12" s="180">
        <v>36712.961943952723</v>
      </c>
      <c r="GQ12" s="180">
        <v>37673.927454971708</v>
      </c>
      <c r="GR12" s="181">
        <v>39577.409759738417</v>
      </c>
      <c r="GS12" s="180">
        <v>39085.482428468305</v>
      </c>
      <c r="GT12" s="180">
        <v>38257.775460189609</v>
      </c>
      <c r="GU12" s="180">
        <v>37331.774623626756</v>
      </c>
      <c r="GV12" s="180">
        <v>36860.37603132231</v>
      </c>
      <c r="GW12" s="180">
        <v>37187.775148669563</v>
      </c>
      <c r="GX12" s="180">
        <v>36961.069761550898</v>
      </c>
      <c r="GY12" s="180">
        <v>37092.174032581919</v>
      </c>
      <c r="GZ12" s="100">
        <v>11503</v>
      </c>
      <c r="HA12" s="100">
        <v>11812</v>
      </c>
      <c r="HB12" s="99">
        <v>12375</v>
      </c>
      <c r="HC12" s="99">
        <v>12882</v>
      </c>
      <c r="HD12" s="99">
        <v>13178</v>
      </c>
      <c r="HE12" s="99">
        <v>13644</v>
      </c>
      <c r="HF12" s="100">
        <v>14104</v>
      </c>
      <c r="HG12" s="99">
        <v>15013</v>
      </c>
      <c r="HH12" s="99">
        <v>16092</v>
      </c>
      <c r="HI12" s="99">
        <v>17943</v>
      </c>
      <c r="HJ12" s="99">
        <v>20067</v>
      </c>
      <c r="HK12" s="99">
        <v>22041</v>
      </c>
      <c r="HL12" s="99">
        <v>23925</v>
      </c>
      <c r="HM12" s="99">
        <v>25330</v>
      </c>
      <c r="HN12" s="99">
        <v>26495</v>
      </c>
      <c r="HO12" s="99">
        <v>28861</v>
      </c>
      <c r="HP12" s="99">
        <v>31721</v>
      </c>
      <c r="HQ12" s="99">
        <v>34079</v>
      </c>
      <c r="HR12" s="99">
        <v>36397</v>
      </c>
      <c r="HS12" s="99">
        <v>38614</v>
      </c>
      <c r="HT12" s="99">
        <v>38183</v>
      </c>
      <c r="HU12" s="99">
        <v>42010</v>
      </c>
      <c r="HV12" s="180">
        <v>44019.684744738632</v>
      </c>
      <c r="HW12" s="180">
        <v>45844.436783514902</v>
      </c>
      <c r="HX12" s="180">
        <v>46789.893797250923</v>
      </c>
      <c r="HY12" s="180">
        <v>48317.651022295911</v>
      </c>
      <c r="HZ12" s="180">
        <v>50650.239053938254</v>
      </c>
      <c r="IA12" s="181">
        <v>52624.262927135191</v>
      </c>
      <c r="IB12" s="180">
        <v>52609.493688537106</v>
      </c>
      <c r="IC12" s="180">
        <v>54496.620951646015</v>
      </c>
      <c r="ID12" s="180">
        <v>56489.14406876592</v>
      </c>
      <c r="IE12" s="180">
        <v>59020.140490539052</v>
      </c>
      <c r="IF12" s="180">
        <v>62603.947098599863</v>
      </c>
      <c r="IG12" s="181">
        <v>66571.499169182964</v>
      </c>
      <c r="IH12" s="180">
        <v>62238.671456670614</v>
      </c>
      <c r="II12" s="180">
        <v>58014.84580148846</v>
      </c>
      <c r="IJ12" s="180">
        <v>55412.648983057086</v>
      </c>
      <c r="IK12" s="180">
        <v>54550.009414991051</v>
      </c>
      <c r="IL12" s="180">
        <v>54043.575225865054</v>
      </c>
      <c r="IM12" s="180">
        <v>55299.880889999986</v>
      </c>
      <c r="IN12" s="180">
        <v>57692.938148054527</v>
      </c>
      <c r="IO12" s="100">
        <v>60468</v>
      </c>
      <c r="IP12" s="100">
        <v>56934</v>
      </c>
      <c r="IQ12" s="99">
        <v>55159</v>
      </c>
      <c r="IR12" s="99">
        <v>55815</v>
      </c>
      <c r="IS12" s="99">
        <v>54622</v>
      </c>
      <c r="IT12" s="99">
        <v>61252</v>
      </c>
      <c r="IU12" s="100">
        <v>60399</v>
      </c>
      <c r="IV12" s="99">
        <v>62624</v>
      </c>
      <c r="IW12" s="99">
        <v>64718</v>
      </c>
      <c r="IX12" s="99">
        <v>66205</v>
      </c>
      <c r="IY12" s="99">
        <v>70862</v>
      </c>
      <c r="IZ12" s="99">
        <v>75891</v>
      </c>
      <c r="JA12" s="99">
        <v>77115</v>
      </c>
      <c r="JB12" s="99">
        <v>77144</v>
      </c>
      <c r="JC12" s="99">
        <v>76980</v>
      </c>
      <c r="JD12" s="99">
        <v>78413</v>
      </c>
      <c r="JE12" s="99">
        <v>79596</v>
      </c>
      <c r="JF12" s="99">
        <v>78933</v>
      </c>
      <c r="JG12" s="99">
        <v>77375</v>
      </c>
      <c r="JH12" s="99">
        <v>78118.888221407906</v>
      </c>
      <c r="JI12" s="99">
        <v>76637.014932783699</v>
      </c>
      <c r="JJ12" s="99">
        <v>76743.465436274259</v>
      </c>
      <c r="JK12" s="180">
        <v>76818.044100215862</v>
      </c>
      <c r="JL12" s="180">
        <v>76044.642450666623</v>
      </c>
      <c r="JM12" s="180">
        <v>74698.178217115303</v>
      </c>
      <c r="JN12" s="180">
        <v>73991.172045062471</v>
      </c>
      <c r="JO12" s="180">
        <v>74323.693931090136</v>
      </c>
      <c r="JP12" s="181">
        <v>73830.9837695311</v>
      </c>
      <c r="JQ12" s="180">
        <v>71399.267268300697</v>
      </c>
      <c r="JR12" s="180">
        <v>70907.967494530283</v>
      </c>
      <c r="JS12" s="180">
        <v>71660.640687274528</v>
      </c>
      <c r="JT12" s="180">
        <v>72145.267916147975</v>
      </c>
      <c r="JU12" s="180">
        <v>72857.846351549262</v>
      </c>
      <c r="JV12" s="181">
        <v>73954.277868513411</v>
      </c>
      <c r="JW12" s="180">
        <v>71975.997503410515</v>
      </c>
      <c r="JX12" s="180">
        <v>68601.105901561226</v>
      </c>
      <c r="JY12" s="180">
        <v>66681.912956448621</v>
      </c>
      <c r="JZ12" s="180">
        <v>65990.567994516619</v>
      </c>
      <c r="KA12" s="180">
        <v>65880.14415049275</v>
      </c>
      <c r="KB12" s="180">
        <v>66888.911851557568</v>
      </c>
      <c r="KC12" s="180">
        <v>68399.27875507412</v>
      </c>
    </row>
    <row r="13" spans="1:289">
      <c r="A13" s="173" t="s">
        <v>37</v>
      </c>
      <c r="B13" s="100"/>
      <c r="C13" s="100">
        <v>57602</v>
      </c>
      <c r="D13" s="99">
        <v>56356</v>
      </c>
      <c r="E13" s="99">
        <v>56660</v>
      </c>
      <c r="F13" s="99">
        <v>56271</v>
      </c>
      <c r="G13" s="99">
        <v>58996</v>
      </c>
      <c r="H13" s="100">
        <v>58525</v>
      </c>
      <c r="I13" s="99">
        <v>59227</v>
      </c>
      <c r="J13" s="99">
        <v>62563</v>
      </c>
      <c r="K13" s="99">
        <v>62499</v>
      </c>
      <c r="L13" s="99">
        <v>65983</v>
      </c>
      <c r="M13" s="99">
        <v>66890</v>
      </c>
      <c r="N13" s="99">
        <v>68550</v>
      </c>
      <c r="O13" s="99">
        <v>70834</v>
      </c>
      <c r="P13" s="99">
        <v>73498</v>
      </c>
      <c r="Q13" s="99">
        <v>77829</v>
      </c>
      <c r="R13" s="99">
        <v>83505</v>
      </c>
      <c r="S13" s="99">
        <v>88003</v>
      </c>
      <c r="T13" s="99">
        <v>91561</v>
      </c>
      <c r="U13" s="99">
        <v>92338</v>
      </c>
      <c r="V13" s="99">
        <v>90582</v>
      </c>
      <c r="W13" s="99">
        <v>92416</v>
      </c>
      <c r="X13" s="546">
        <v>113160</v>
      </c>
      <c r="Y13" s="180">
        <v>94767.452627445091</v>
      </c>
      <c r="Z13" s="180">
        <v>95649.447068392546</v>
      </c>
      <c r="AA13" s="180">
        <v>96670.956872227893</v>
      </c>
      <c r="AB13" s="180">
        <v>96766.604978486008</v>
      </c>
      <c r="AC13" s="180">
        <v>99540.373482023337</v>
      </c>
      <c r="AD13" s="181">
        <v>101122.596365982</v>
      </c>
      <c r="AE13" s="180">
        <v>99677.422197929031</v>
      </c>
      <c r="AF13" s="180">
        <v>98406.400114597403</v>
      </c>
      <c r="AG13" s="180">
        <v>99144.594893308022</v>
      </c>
      <c r="AH13" s="180">
        <v>100295.25493527246</v>
      </c>
      <c r="AI13" s="180">
        <v>102641.51417122936</v>
      </c>
      <c r="AJ13" s="181">
        <v>105070.60636674115</v>
      </c>
      <c r="AK13" s="180">
        <v>103085.11387318616</v>
      </c>
      <c r="AL13" s="180">
        <v>99254.776260681581</v>
      </c>
      <c r="AM13" s="180">
        <v>93758.6439314132</v>
      </c>
      <c r="AN13" s="180">
        <v>92506.543929779233</v>
      </c>
      <c r="AO13" s="180">
        <v>91132.947402348815</v>
      </c>
      <c r="AP13" s="180">
        <v>90172.669674002507</v>
      </c>
      <c r="AQ13" s="180">
        <v>91685.831962165554</v>
      </c>
      <c r="AR13" s="533" t="e">
        <f t="shared" si="25"/>
        <v>#VALUE!</v>
      </c>
      <c r="AS13" s="534">
        <f t="shared" si="26"/>
        <v>1045</v>
      </c>
      <c r="AT13" s="534">
        <f t="shared" si="27"/>
        <v>1182</v>
      </c>
      <c r="AU13" s="534">
        <f t="shared" si="28"/>
        <v>1129</v>
      </c>
      <c r="AV13" s="534">
        <f t="shared" si="29"/>
        <v>1054</v>
      </c>
      <c r="AW13" s="534">
        <f t="shared" si="30"/>
        <v>1269</v>
      </c>
      <c r="AX13" s="534">
        <f t="shared" si="31"/>
        <v>1457</v>
      </c>
      <c r="AY13" s="534">
        <f t="shared" si="32"/>
        <v>1588</v>
      </c>
      <c r="AZ13" s="534">
        <f t="shared" si="33"/>
        <v>1798</v>
      </c>
      <c r="BA13" s="534">
        <f t="shared" si="34"/>
        <v>2070</v>
      </c>
      <c r="BB13" s="534">
        <f t="shared" si="35"/>
        <v>2232</v>
      </c>
      <c r="BC13" s="534">
        <f t="shared" si="36"/>
        <v>2258</v>
      </c>
      <c r="BD13" s="534">
        <f t="shared" si="37"/>
        <v>2348</v>
      </c>
      <c r="BE13" s="534">
        <f t="shared" si="38"/>
        <v>2430</v>
      </c>
      <c r="BF13" s="534">
        <f t="shared" si="39"/>
        <v>2707</v>
      </c>
      <c r="BG13" s="534">
        <f t="shared" si="40"/>
        <v>2892</v>
      </c>
      <c r="BH13" s="534">
        <f t="shared" si="41"/>
        <v>3013</v>
      </c>
      <c r="BI13" s="534">
        <f t="shared" si="42"/>
        <v>3241</v>
      </c>
      <c r="BJ13" s="534">
        <f t="shared" si="43"/>
        <v>3706.4056449634008</v>
      </c>
      <c r="BK13" s="534">
        <f t="shared" si="44"/>
        <v>3810.8130345985915</v>
      </c>
      <c r="BL13" s="534">
        <f t="shared" si="45"/>
        <v>3921.7591850158915</v>
      </c>
      <c r="BM13" s="534">
        <f t="shared" si="46"/>
        <v>4099.0182206292329</v>
      </c>
      <c r="BN13" s="186">
        <f t="shared" si="47"/>
        <v>4311.3498051544921</v>
      </c>
      <c r="BO13" s="186">
        <f t="shared" si="48"/>
        <v>4490.4157702055427</v>
      </c>
      <c r="BP13" s="186">
        <f t="shared" si="49"/>
        <v>4591.0726578700969</v>
      </c>
      <c r="BQ13" s="186">
        <f t="shared" si="50"/>
        <v>4604.6503064410017</v>
      </c>
      <c r="BR13" s="186">
        <f t="shared" si="51"/>
        <v>4932.2735029095984</v>
      </c>
      <c r="BS13" s="186">
        <f t="shared" si="52"/>
        <v>5228.4739620358032</v>
      </c>
      <c r="BT13" s="186">
        <f t="shared" si="53"/>
        <v>5353.6340781117806</v>
      </c>
      <c r="BU13" s="186">
        <f t="shared" si="54"/>
        <v>5663.1180303747024</v>
      </c>
      <c r="BV13" s="186">
        <f t="shared" si="55"/>
        <v>5897.6376678569522</v>
      </c>
      <c r="BW13" s="186">
        <f t="shared" si="56"/>
        <v>5954.1369625878506</v>
      </c>
      <c r="BX13" s="186">
        <f t="shared" si="57"/>
        <v>6036.6622441898153</v>
      </c>
      <c r="BY13" s="186">
        <f t="shared" si="58"/>
        <v>6309.8373169079232</v>
      </c>
      <c r="BZ13" s="186">
        <f t="shared" si="59"/>
        <v>6436.6303350799471</v>
      </c>
      <c r="CA13" s="186">
        <f t="shared" si="60"/>
        <v>6434.4889872416361</v>
      </c>
      <c r="CB13" s="186">
        <f t="shared" si="61"/>
        <v>6234.0566766783668</v>
      </c>
      <c r="CC13" s="186">
        <f t="shared" si="62"/>
        <v>6573.0694520772986</v>
      </c>
      <c r="CD13" s="186">
        <f t="shared" si="63"/>
        <v>6747.3965184302197</v>
      </c>
      <c r="CE13" s="186">
        <f t="shared" si="64"/>
        <v>6502.0969910261956</v>
      </c>
      <c r="CF13" s="186">
        <f t="shared" si="65"/>
        <v>7022.1915041375851</v>
      </c>
      <c r="CG13" s="100" t="s">
        <v>326</v>
      </c>
      <c r="CH13" s="100">
        <v>83</v>
      </c>
      <c r="CI13" s="99">
        <v>77</v>
      </c>
      <c r="CJ13" s="99">
        <v>66</v>
      </c>
      <c r="CK13" s="99">
        <v>35</v>
      </c>
      <c r="CL13" s="99">
        <v>73</v>
      </c>
      <c r="CM13" s="100">
        <v>77</v>
      </c>
      <c r="CN13" s="99">
        <v>70</v>
      </c>
      <c r="CO13" s="99">
        <v>89</v>
      </c>
      <c r="CP13" s="99">
        <v>82</v>
      </c>
      <c r="CQ13" s="99">
        <v>81</v>
      </c>
      <c r="CR13" s="99">
        <v>81</v>
      </c>
      <c r="CS13" s="99">
        <v>98</v>
      </c>
      <c r="CT13" s="99">
        <v>88</v>
      </c>
      <c r="CU13" s="99">
        <v>82</v>
      </c>
      <c r="CV13" s="99">
        <v>94</v>
      </c>
      <c r="CW13" s="99">
        <v>145</v>
      </c>
      <c r="CX13" s="99">
        <v>140</v>
      </c>
      <c r="CY13" s="99">
        <v>230.46068752747649</v>
      </c>
      <c r="CZ13" s="99">
        <v>237.52346809668686</v>
      </c>
      <c r="DA13" s="99">
        <v>231.35338447324227</v>
      </c>
      <c r="DB13" s="99">
        <v>213.68866313006691</v>
      </c>
      <c r="DC13" s="180">
        <v>217.17396075578785</v>
      </c>
      <c r="DD13" s="180">
        <v>235.83005020267831</v>
      </c>
      <c r="DE13" s="180">
        <v>243.60122161010437</v>
      </c>
      <c r="DF13" s="180">
        <v>249.14739219800219</v>
      </c>
      <c r="DG13" s="180">
        <v>251.9636539476875</v>
      </c>
      <c r="DH13" s="181">
        <v>238.24062175046049</v>
      </c>
      <c r="DI13" s="180">
        <v>275.70612592522872</v>
      </c>
      <c r="DJ13" s="180">
        <v>273.91397113665602</v>
      </c>
      <c r="DK13" s="180">
        <v>301.937680502104</v>
      </c>
      <c r="DL13" s="180">
        <v>284.06340392261558</v>
      </c>
      <c r="DM13" s="180">
        <v>304.24267573992728</v>
      </c>
      <c r="DN13" s="181">
        <v>346.57464689823274</v>
      </c>
      <c r="DO13" s="180">
        <v>221.99649107885043</v>
      </c>
      <c r="DP13" s="180">
        <v>264.02842034780565</v>
      </c>
      <c r="DQ13" s="180">
        <v>267.15867110388217</v>
      </c>
      <c r="DR13" s="180">
        <v>222.66960820136413</v>
      </c>
      <c r="DS13" s="180">
        <v>234.27870663159339</v>
      </c>
      <c r="DT13" s="180">
        <v>213.72138069653082</v>
      </c>
      <c r="DU13" s="180">
        <v>241.41108174993434</v>
      </c>
      <c r="DV13" s="100" t="s">
        <v>326</v>
      </c>
      <c r="DW13" s="100">
        <v>962</v>
      </c>
      <c r="DX13" s="99">
        <v>1105</v>
      </c>
      <c r="DY13" s="99">
        <v>1063</v>
      </c>
      <c r="DZ13" s="99">
        <v>1019</v>
      </c>
      <c r="EA13" s="99">
        <v>1196</v>
      </c>
      <c r="EB13" s="100">
        <v>1380</v>
      </c>
      <c r="EC13" s="99">
        <v>1518</v>
      </c>
      <c r="ED13" s="99">
        <v>1709</v>
      </c>
      <c r="EE13" s="99">
        <v>1988</v>
      </c>
      <c r="EF13" s="99">
        <v>2151</v>
      </c>
      <c r="EG13" s="99">
        <v>2177</v>
      </c>
      <c r="EH13" s="99">
        <v>2250</v>
      </c>
      <c r="EI13" s="99">
        <v>2342</v>
      </c>
      <c r="EJ13" s="99">
        <v>2625</v>
      </c>
      <c r="EK13" s="99">
        <v>2798</v>
      </c>
      <c r="EL13" s="99">
        <v>2868</v>
      </c>
      <c r="EM13" s="99">
        <v>3101</v>
      </c>
      <c r="EN13" s="99">
        <v>3475.9449574359242</v>
      </c>
      <c r="EO13" s="99">
        <v>3573.2895665019046</v>
      </c>
      <c r="EP13" s="99">
        <v>3690.4058005426491</v>
      </c>
      <c r="EQ13" s="99">
        <v>3885.3295574991657</v>
      </c>
      <c r="ER13" s="180">
        <v>4094.1758443987046</v>
      </c>
      <c r="ES13" s="180">
        <v>4254.585720002864</v>
      </c>
      <c r="ET13" s="180">
        <v>4347.4714362599925</v>
      </c>
      <c r="EU13" s="180">
        <v>4355.5029142429994</v>
      </c>
      <c r="EV13" s="180">
        <v>4680.3098489619106</v>
      </c>
      <c r="EW13" s="181">
        <v>4990.2333402853428</v>
      </c>
      <c r="EX13" s="180">
        <v>5077.9279521865519</v>
      </c>
      <c r="EY13" s="180">
        <v>5389.2040592380463</v>
      </c>
      <c r="EZ13" s="180">
        <v>5595.6999873548484</v>
      </c>
      <c r="FA13" s="180">
        <v>5670.0735586652354</v>
      </c>
      <c r="FB13" s="180">
        <v>5732.4195684498882</v>
      </c>
      <c r="FC13" s="181">
        <v>5963.2626700096907</v>
      </c>
      <c r="FD13" s="180">
        <v>6214.6338440010968</v>
      </c>
      <c r="FE13" s="180">
        <v>6170.4605668938302</v>
      </c>
      <c r="FF13" s="180">
        <v>5966.8980055744851</v>
      </c>
      <c r="FG13" s="180">
        <v>6350.3998438759345</v>
      </c>
      <c r="FH13" s="180">
        <v>6513.1178117986265</v>
      </c>
      <c r="FI13" s="180">
        <v>6288.3756103296646</v>
      </c>
      <c r="FJ13" s="180">
        <v>6780.780422387651</v>
      </c>
      <c r="FK13" s="100" t="s">
        <v>326</v>
      </c>
      <c r="FL13" s="100">
        <v>18938</v>
      </c>
      <c r="FM13" s="99">
        <v>18350</v>
      </c>
      <c r="FN13" s="99">
        <v>18273</v>
      </c>
      <c r="FO13" s="99">
        <v>18331</v>
      </c>
      <c r="FP13" s="99">
        <v>19434</v>
      </c>
      <c r="FQ13" s="100">
        <v>18515</v>
      </c>
      <c r="FR13" s="99">
        <v>18773</v>
      </c>
      <c r="FS13" s="99">
        <v>20180</v>
      </c>
      <c r="FT13" s="99">
        <v>19795</v>
      </c>
      <c r="FU13" s="99">
        <v>21357</v>
      </c>
      <c r="FV13" s="99">
        <v>21266</v>
      </c>
      <c r="FW13" s="99">
        <v>22030</v>
      </c>
      <c r="FX13" s="99">
        <v>23034</v>
      </c>
      <c r="FY13" s="99">
        <v>24829</v>
      </c>
      <c r="FZ13" s="99">
        <v>26195</v>
      </c>
      <c r="GA13" s="99">
        <v>29010</v>
      </c>
      <c r="GB13" s="99">
        <v>31949</v>
      </c>
      <c r="GC13" s="99">
        <v>34167.518210747745</v>
      </c>
      <c r="GD13" s="99">
        <v>34738.117523294874</v>
      </c>
      <c r="GE13" s="99">
        <v>33574.390744912162</v>
      </c>
      <c r="GF13" s="99">
        <v>33811.081857585137</v>
      </c>
      <c r="GG13" s="180">
        <v>34318.371873982396</v>
      </c>
      <c r="GH13" s="180">
        <v>34326.703057852232</v>
      </c>
      <c r="GI13" s="180">
        <v>34770.1159205148</v>
      </c>
      <c r="GJ13" s="180">
        <v>34686.720882255169</v>
      </c>
      <c r="GK13" s="180">
        <v>35933.898320753848</v>
      </c>
      <c r="GL13" s="181">
        <v>36450.365200171807</v>
      </c>
      <c r="GM13" s="180">
        <v>35485.205787833867</v>
      </c>
      <c r="GN13" s="180">
        <v>34771.609179266627</v>
      </c>
      <c r="GO13" s="180">
        <v>34896.703845988857</v>
      </c>
      <c r="GP13" s="180">
        <v>35753.239733836665</v>
      </c>
      <c r="GQ13" s="180">
        <v>37439.030678540563</v>
      </c>
      <c r="GR13" s="181">
        <v>39490.470411022645</v>
      </c>
      <c r="GS13" s="180">
        <v>39082.043749094148</v>
      </c>
      <c r="GT13" s="180">
        <v>37369.051805173003</v>
      </c>
      <c r="GU13" s="180">
        <v>35941.390144057528</v>
      </c>
      <c r="GV13" s="180">
        <v>34821.759593348288</v>
      </c>
      <c r="GW13" s="180">
        <v>34647.158947811637</v>
      </c>
      <c r="GX13" s="180">
        <v>34738.551235101193</v>
      </c>
      <c r="GY13" s="180">
        <v>35215.492500621171</v>
      </c>
      <c r="GZ13" s="100" t="s">
        <v>326</v>
      </c>
      <c r="HA13" s="100">
        <v>541</v>
      </c>
      <c r="HB13" s="99">
        <v>606</v>
      </c>
      <c r="HC13" s="99">
        <v>658</v>
      </c>
      <c r="HD13" s="99">
        <v>983</v>
      </c>
      <c r="HE13" s="99">
        <v>831</v>
      </c>
      <c r="HF13" s="100">
        <v>870</v>
      </c>
      <c r="HG13" s="99">
        <v>983</v>
      </c>
      <c r="HH13" s="99">
        <v>1085</v>
      </c>
      <c r="HI13" s="99">
        <v>1281</v>
      </c>
      <c r="HJ13" s="99">
        <v>1593</v>
      </c>
      <c r="HK13" s="99">
        <v>1867</v>
      </c>
      <c r="HL13" s="99">
        <v>2122</v>
      </c>
      <c r="HM13" s="99">
        <v>2590</v>
      </c>
      <c r="HN13" s="99">
        <v>3003</v>
      </c>
      <c r="HO13" s="99">
        <v>3515</v>
      </c>
      <c r="HP13" s="99">
        <v>4309</v>
      </c>
      <c r="HQ13" s="99">
        <v>5052</v>
      </c>
      <c r="HR13" s="99">
        <v>6649</v>
      </c>
      <c r="HS13" s="99">
        <v>7272</v>
      </c>
      <c r="HT13" s="99">
        <v>7359</v>
      </c>
      <c r="HU13" s="99">
        <v>8275</v>
      </c>
      <c r="HV13" s="180">
        <v>8924.8079897113348</v>
      </c>
      <c r="HW13" s="180">
        <v>9733.4615322976515</v>
      </c>
      <c r="HX13" s="180">
        <v>10146.782723296221</v>
      </c>
      <c r="HY13" s="180">
        <v>10681.354129634761</v>
      </c>
      <c r="HZ13" s="180">
        <v>11636.896213786344</v>
      </c>
      <c r="IA13" s="181">
        <v>12864.906410188043</v>
      </c>
      <c r="IB13" s="180">
        <v>13395.59898580888</v>
      </c>
      <c r="IC13" s="180">
        <v>13503.699719723229</v>
      </c>
      <c r="ID13" s="180">
        <v>14061.71270710426</v>
      </c>
      <c r="IE13" s="180">
        <v>14884.606223145451</v>
      </c>
      <c r="IF13" s="180">
        <v>15673.876461822427</v>
      </c>
      <c r="IG13" s="181">
        <v>16270.933034976264</v>
      </c>
      <c r="IH13" s="180">
        <v>17587.675751800562</v>
      </c>
      <c r="II13" s="180">
        <v>16658.916675063247</v>
      </c>
      <c r="IJ13" s="180">
        <v>14279.685905186478</v>
      </c>
      <c r="IK13" s="180">
        <v>12521.689621221303</v>
      </c>
      <c r="IL13" s="180">
        <v>11734.065894270623</v>
      </c>
      <c r="IM13" s="180">
        <v>11452.748523333168</v>
      </c>
      <c r="IN13" s="180">
        <v>11612.640186446284</v>
      </c>
      <c r="IO13" s="100"/>
      <c r="IP13" s="100">
        <v>37078</v>
      </c>
      <c r="IQ13" s="99">
        <v>36218</v>
      </c>
      <c r="IR13" s="99">
        <v>36600</v>
      </c>
      <c r="IS13" s="99">
        <v>35903</v>
      </c>
      <c r="IT13" s="99">
        <v>37462</v>
      </c>
      <c r="IU13" s="100">
        <v>37683</v>
      </c>
      <c r="IV13" s="99">
        <v>37883</v>
      </c>
      <c r="IW13" s="99">
        <v>39500</v>
      </c>
      <c r="IX13" s="99">
        <v>39353</v>
      </c>
      <c r="IY13" s="99">
        <v>40801</v>
      </c>
      <c r="IZ13" s="99">
        <v>41499</v>
      </c>
      <c r="JA13" s="99">
        <v>41289</v>
      </c>
      <c r="JB13" s="99">
        <v>41903</v>
      </c>
      <c r="JC13" s="99">
        <v>42959</v>
      </c>
      <c r="JD13" s="99">
        <v>43936</v>
      </c>
      <c r="JE13" s="99">
        <v>45701</v>
      </c>
      <c r="JF13" s="99">
        <v>45921</v>
      </c>
      <c r="JG13" s="99">
        <v>47038.076144288854</v>
      </c>
      <c r="JH13" s="99">
        <v>46517.069442106535</v>
      </c>
      <c r="JI13" s="99">
        <v>45726.850070071945</v>
      </c>
      <c r="JJ13" s="99">
        <v>46230.899921785633</v>
      </c>
      <c r="JK13" s="180">
        <v>47177.246390847191</v>
      </c>
      <c r="JL13" s="180">
        <v>47474.951495338755</v>
      </c>
      <c r="JM13" s="180">
        <v>47587.127121593447</v>
      </c>
      <c r="JN13" s="180">
        <v>47212.841787695877</v>
      </c>
      <c r="JO13" s="180">
        <v>47660.086102003144</v>
      </c>
      <c r="JP13" s="181">
        <v>47383.57731600944</v>
      </c>
      <c r="JQ13" s="180">
        <v>46569.967579708209</v>
      </c>
      <c r="JR13" s="180">
        <v>45901.304772915035</v>
      </c>
      <c r="JS13" s="180">
        <v>46031.175621789233</v>
      </c>
      <c r="JT13" s="180">
        <v>45637.491420535654</v>
      </c>
      <c r="JU13" s="180">
        <v>45673.656400798463</v>
      </c>
      <c r="JV13" s="181">
        <v>45541.843195760506</v>
      </c>
      <c r="JW13" s="180">
        <v>42669.752547447577</v>
      </c>
      <c r="JX13" s="180">
        <v>41413.575671723054</v>
      </c>
      <c r="JY13" s="180">
        <v>39899.128777402286</v>
      </c>
      <c r="JZ13" s="180">
        <v>39407.677747773232</v>
      </c>
      <c r="KA13" s="180">
        <v>39224.910950636855</v>
      </c>
      <c r="KB13" s="180">
        <v>38634.100559191225</v>
      </c>
      <c r="KC13" s="180">
        <v>39106.856422652956</v>
      </c>
    </row>
    <row r="14" spans="1:289">
      <c r="A14" s="173" t="s">
        <v>38</v>
      </c>
      <c r="B14" s="100">
        <v>34945</v>
      </c>
      <c r="C14" s="100">
        <v>36736.095281645816</v>
      </c>
      <c r="D14" s="99">
        <v>38850.686393674769</v>
      </c>
      <c r="E14" s="99">
        <v>38014.144854850128</v>
      </c>
      <c r="F14" s="99">
        <v>36641</v>
      </c>
      <c r="G14" s="99">
        <v>36941</v>
      </c>
      <c r="H14" s="100">
        <v>37270</v>
      </c>
      <c r="I14" s="99">
        <v>37046</v>
      </c>
      <c r="J14" s="99">
        <v>36830</v>
      </c>
      <c r="K14" s="99">
        <v>36957</v>
      </c>
      <c r="L14" s="99">
        <v>36337</v>
      </c>
      <c r="M14" s="99">
        <v>37654</v>
      </c>
      <c r="N14" s="99">
        <v>37787</v>
      </c>
      <c r="O14" s="99">
        <v>38399</v>
      </c>
      <c r="P14" s="99">
        <v>38449</v>
      </c>
      <c r="Q14" s="99">
        <v>39099</v>
      </c>
      <c r="R14" s="100">
        <v>39339</v>
      </c>
      <c r="S14" s="100">
        <v>41851</v>
      </c>
      <c r="T14" s="100">
        <v>42664</v>
      </c>
      <c r="U14" s="100">
        <v>43031</v>
      </c>
      <c r="V14" s="100">
        <v>42642</v>
      </c>
      <c r="W14" s="99">
        <v>42888</v>
      </c>
      <c r="X14" s="546">
        <v>45150</v>
      </c>
      <c r="Y14" s="180">
        <v>42692.426776711683</v>
      </c>
      <c r="Z14" s="180">
        <v>41956.378265655985</v>
      </c>
      <c r="AA14" s="180">
        <v>42245.285340293682</v>
      </c>
      <c r="AB14" s="180">
        <v>41592.280929072695</v>
      </c>
      <c r="AC14" s="180">
        <v>42511.579252156138</v>
      </c>
      <c r="AD14" s="181">
        <v>42585.210672196103</v>
      </c>
      <c r="AE14" s="180">
        <v>41097.071089522062</v>
      </c>
      <c r="AF14" s="180">
        <v>41363.888262259141</v>
      </c>
      <c r="AG14" s="180">
        <v>41088.61681905813</v>
      </c>
      <c r="AH14" s="180">
        <v>40240.445927519962</v>
      </c>
      <c r="AI14" s="180">
        <v>41298.380277465076</v>
      </c>
      <c r="AJ14" s="181">
        <v>42184.677860357886</v>
      </c>
      <c r="AK14" s="180">
        <v>42054.439080280594</v>
      </c>
      <c r="AL14" s="180">
        <v>41359.797289261194</v>
      </c>
      <c r="AM14" s="180">
        <v>39909.867438899193</v>
      </c>
      <c r="AN14" s="180">
        <v>39588.367685686302</v>
      </c>
      <c r="AO14" s="180">
        <v>39909.090158823492</v>
      </c>
      <c r="AP14" s="180">
        <v>39911.59738742101</v>
      </c>
      <c r="AQ14" s="180">
        <v>40241.054374049047</v>
      </c>
      <c r="AR14" s="533">
        <f t="shared" si="25"/>
        <v>260</v>
      </c>
      <c r="AS14" s="534">
        <f t="shared" si="26"/>
        <v>464.88213915101767</v>
      </c>
      <c r="AT14" s="534">
        <f t="shared" si="27"/>
        <v>491.64153293125145</v>
      </c>
      <c r="AU14" s="534">
        <f t="shared" si="28"/>
        <v>481.055399128082</v>
      </c>
      <c r="AV14" s="534">
        <f t="shared" si="29"/>
        <v>554</v>
      </c>
      <c r="AW14" s="534">
        <f t="shared" si="30"/>
        <v>575</v>
      </c>
      <c r="AX14" s="534">
        <f t="shared" si="31"/>
        <v>485</v>
      </c>
      <c r="AY14" s="534">
        <f t="shared" si="32"/>
        <v>465</v>
      </c>
      <c r="AZ14" s="534">
        <f t="shared" si="33"/>
        <v>794</v>
      </c>
      <c r="BA14" s="534">
        <f t="shared" si="34"/>
        <v>309</v>
      </c>
      <c r="BB14" s="534">
        <f t="shared" si="35"/>
        <v>381</v>
      </c>
      <c r="BC14" s="534">
        <f t="shared" si="36"/>
        <v>373</v>
      </c>
      <c r="BD14" s="534">
        <f t="shared" si="37"/>
        <v>397</v>
      </c>
      <c r="BE14" s="534">
        <f t="shared" si="38"/>
        <v>469</v>
      </c>
      <c r="BF14" s="534">
        <f t="shared" si="39"/>
        <v>445</v>
      </c>
      <c r="BG14" s="534">
        <f t="shared" si="40"/>
        <v>456</v>
      </c>
      <c r="BH14" s="534">
        <f t="shared" si="41"/>
        <v>443</v>
      </c>
      <c r="BI14" s="534">
        <f t="shared" si="42"/>
        <v>461.16105894999998</v>
      </c>
      <c r="BJ14" s="534">
        <f t="shared" si="43"/>
        <v>584</v>
      </c>
      <c r="BK14" s="534">
        <f t="shared" si="44"/>
        <v>538.83516572944427</v>
      </c>
      <c r="BL14" s="534">
        <f t="shared" si="45"/>
        <v>622.60879370075224</v>
      </c>
      <c r="BM14" s="534">
        <f t="shared" si="46"/>
        <v>703.6003974382968</v>
      </c>
      <c r="BN14" s="186">
        <f t="shared" si="47"/>
        <v>707.76696287734728</v>
      </c>
      <c r="BO14" s="186">
        <f t="shared" si="48"/>
        <v>731.47134299263939</v>
      </c>
      <c r="BP14" s="186">
        <f t="shared" si="49"/>
        <v>743.3967685931259</v>
      </c>
      <c r="BQ14" s="186">
        <f t="shared" si="50"/>
        <v>773.83822056743486</v>
      </c>
      <c r="BR14" s="186">
        <f t="shared" si="51"/>
        <v>920.41124876742447</v>
      </c>
      <c r="BS14" s="186">
        <f t="shared" si="52"/>
        <v>986.23525245995245</v>
      </c>
      <c r="BT14" s="186">
        <f t="shared" si="53"/>
        <v>914.48358311990842</v>
      </c>
      <c r="BU14" s="186">
        <f t="shared" si="54"/>
        <v>1075.0903559250562</v>
      </c>
      <c r="BV14" s="186">
        <f t="shared" si="55"/>
        <v>1142.0564698327082</v>
      </c>
      <c r="BW14" s="186">
        <f t="shared" si="56"/>
        <v>1089.2244963120561</v>
      </c>
      <c r="BX14" s="186">
        <f t="shared" si="57"/>
        <v>1141.6472104683476</v>
      </c>
      <c r="BY14" s="186">
        <f t="shared" si="58"/>
        <v>1172.4765155351351</v>
      </c>
      <c r="BZ14" s="186">
        <f t="shared" si="59"/>
        <v>1191.2721829455234</v>
      </c>
      <c r="CA14" s="186">
        <f t="shared" si="60"/>
        <v>1310.7431364404345</v>
      </c>
      <c r="CB14" s="186">
        <f t="shared" si="61"/>
        <v>1286.9687860900281</v>
      </c>
      <c r="CC14" s="186">
        <f t="shared" si="62"/>
        <v>1404.0979574880525</v>
      </c>
      <c r="CD14" s="186">
        <f t="shared" si="63"/>
        <v>1502.441619861163</v>
      </c>
      <c r="CE14" s="186">
        <f t="shared" si="64"/>
        <v>1381.6035342221571</v>
      </c>
      <c r="CF14" s="186">
        <f t="shared" si="65"/>
        <v>1536.9616852285558</v>
      </c>
      <c r="CG14" s="100">
        <v>22</v>
      </c>
      <c r="CH14" s="100">
        <v>216.34356295648851</v>
      </c>
      <c r="CI14" s="99">
        <v>228.79666043092351</v>
      </c>
      <c r="CJ14" s="99">
        <v>223.87016033114702</v>
      </c>
      <c r="CK14" s="99">
        <v>294</v>
      </c>
      <c r="CL14" s="99">
        <v>339</v>
      </c>
      <c r="CM14" s="100">
        <v>261</v>
      </c>
      <c r="CN14" s="99">
        <v>252</v>
      </c>
      <c r="CO14" s="99">
        <v>555</v>
      </c>
      <c r="CP14" s="99">
        <v>40</v>
      </c>
      <c r="CQ14" s="99">
        <v>31</v>
      </c>
      <c r="CR14" s="99">
        <v>45</v>
      </c>
      <c r="CS14" s="99">
        <v>50</v>
      </c>
      <c r="CT14" s="99">
        <v>60</v>
      </c>
      <c r="CU14" s="99">
        <v>56</v>
      </c>
      <c r="CV14" s="99">
        <v>51</v>
      </c>
      <c r="CW14" s="100">
        <v>53</v>
      </c>
      <c r="CX14" s="100">
        <v>44.161058949999997</v>
      </c>
      <c r="CY14" s="100">
        <v>51</v>
      </c>
      <c r="CZ14" s="100">
        <v>48.347616785771869</v>
      </c>
      <c r="DA14" s="100">
        <v>51.484523860906776</v>
      </c>
      <c r="DB14" s="99">
        <v>119.89760832041175</v>
      </c>
      <c r="DC14" s="180">
        <v>76.918078226445346</v>
      </c>
      <c r="DD14" s="180">
        <v>70.443394017624414</v>
      </c>
      <c r="DE14" s="180">
        <v>75.733145243652316</v>
      </c>
      <c r="DF14" s="180">
        <v>64.276521282376464</v>
      </c>
      <c r="DG14" s="180">
        <v>93.214826550221446</v>
      </c>
      <c r="DH14" s="181">
        <v>65.999124781588179</v>
      </c>
      <c r="DI14" s="180">
        <v>63.984906585060777</v>
      </c>
      <c r="DJ14" s="180">
        <v>66.893176940991097</v>
      </c>
      <c r="DK14" s="180">
        <v>61.598489687142958</v>
      </c>
      <c r="DL14" s="180">
        <v>58.402509942357973</v>
      </c>
      <c r="DM14" s="180">
        <v>57.61294438677168</v>
      </c>
      <c r="DN14" s="181">
        <v>56.96398416460859</v>
      </c>
      <c r="DO14" s="180">
        <v>50.136164759318099</v>
      </c>
      <c r="DP14" s="180">
        <v>45.0886248699113</v>
      </c>
      <c r="DQ14" s="180">
        <v>64.803208427742206</v>
      </c>
      <c r="DR14" s="180">
        <v>52.28266384405044</v>
      </c>
      <c r="DS14" s="180">
        <v>45.206449036343329</v>
      </c>
      <c r="DT14" s="180">
        <v>42.060765532093292</v>
      </c>
      <c r="DU14" s="180">
        <v>50.627313766018332</v>
      </c>
      <c r="DV14" s="100">
        <v>238</v>
      </c>
      <c r="DW14" s="100">
        <v>248.53857619452913</v>
      </c>
      <c r="DX14" s="99">
        <v>262.84487250032794</v>
      </c>
      <c r="DY14" s="99">
        <v>257.18523879693498</v>
      </c>
      <c r="DZ14" s="99">
        <v>260</v>
      </c>
      <c r="EA14" s="99">
        <v>236</v>
      </c>
      <c r="EB14" s="100">
        <v>224</v>
      </c>
      <c r="EC14" s="99">
        <v>213</v>
      </c>
      <c r="ED14" s="99">
        <v>239</v>
      </c>
      <c r="EE14" s="99">
        <v>269</v>
      </c>
      <c r="EF14" s="99">
        <v>350</v>
      </c>
      <c r="EG14" s="99">
        <v>328</v>
      </c>
      <c r="EH14" s="99">
        <v>347</v>
      </c>
      <c r="EI14" s="99">
        <v>409</v>
      </c>
      <c r="EJ14" s="99">
        <v>389</v>
      </c>
      <c r="EK14" s="99">
        <v>405</v>
      </c>
      <c r="EL14" s="100">
        <v>390</v>
      </c>
      <c r="EM14" s="100">
        <v>417</v>
      </c>
      <c r="EN14" s="100">
        <v>533</v>
      </c>
      <c r="EO14" s="100">
        <v>490.48754894367238</v>
      </c>
      <c r="EP14" s="100">
        <v>571.12426983984551</v>
      </c>
      <c r="EQ14" s="99">
        <v>583.702789117885</v>
      </c>
      <c r="ER14" s="180">
        <v>630.84888465090194</v>
      </c>
      <c r="ES14" s="180">
        <v>661.02794897501497</v>
      </c>
      <c r="ET14" s="180">
        <v>667.6636233494736</v>
      </c>
      <c r="EU14" s="180">
        <v>709.56169928505835</v>
      </c>
      <c r="EV14" s="180">
        <v>827.19642221720301</v>
      </c>
      <c r="EW14" s="181">
        <v>920.23612767836426</v>
      </c>
      <c r="EX14" s="180">
        <v>850.49867653484762</v>
      </c>
      <c r="EY14" s="180">
        <v>1008.1971789840651</v>
      </c>
      <c r="EZ14" s="180">
        <v>1080.4579801455652</v>
      </c>
      <c r="FA14" s="180">
        <v>1030.8219863696982</v>
      </c>
      <c r="FB14" s="180">
        <v>1084.0342660815759</v>
      </c>
      <c r="FC14" s="181">
        <v>1115.5125313705266</v>
      </c>
      <c r="FD14" s="180">
        <v>1141.1360181862053</v>
      </c>
      <c r="FE14" s="180">
        <v>1265.6545115705233</v>
      </c>
      <c r="FF14" s="180">
        <v>1222.1655776622858</v>
      </c>
      <c r="FG14" s="180">
        <v>1351.8152936440022</v>
      </c>
      <c r="FH14" s="180">
        <v>1457.2351708248195</v>
      </c>
      <c r="FI14" s="180">
        <v>1339.5427686900639</v>
      </c>
      <c r="FJ14" s="180">
        <v>1486.3343714625375</v>
      </c>
      <c r="FK14" s="100">
        <v>2883</v>
      </c>
      <c r="FL14" s="100">
        <v>3019.6539865408449</v>
      </c>
      <c r="FM14" s="99">
        <v>3193.4703225555304</v>
      </c>
      <c r="FN14" s="99">
        <v>3124.7078160002702</v>
      </c>
      <c r="FO14" s="99">
        <v>2989</v>
      </c>
      <c r="FP14" s="99">
        <v>3048</v>
      </c>
      <c r="FQ14" s="100">
        <v>3007</v>
      </c>
      <c r="FR14" s="99">
        <v>3016</v>
      </c>
      <c r="FS14" s="99">
        <v>2902</v>
      </c>
      <c r="FT14" s="99">
        <v>2995</v>
      </c>
      <c r="FU14" s="99">
        <v>3151</v>
      </c>
      <c r="FV14" s="99">
        <v>3124</v>
      </c>
      <c r="FW14" s="99">
        <v>3387</v>
      </c>
      <c r="FX14" s="99">
        <v>3527</v>
      </c>
      <c r="FY14" s="99">
        <v>3505</v>
      </c>
      <c r="FZ14" s="99">
        <v>3687</v>
      </c>
      <c r="GA14" s="100">
        <v>3769</v>
      </c>
      <c r="GB14" s="100">
        <v>4213</v>
      </c>
      <c r="GC14" s="100">
        <v>4573</v>
      </c>
      <c r="GD14" s="100">
        <v>4574.3693631483757</v>
      </c>
      <c r="GE14" s="100">
        <v>4554.0056991492247</v>
      </c>
      <c r="GF14" s="99">
        <v>4637.0329951472995</v>
      </c>
      <c r="GG14" s="180">
        <v>4331.1051423604504</v>
      </c>
      <c r="GH14" s="180">
        <v>4381.9297212324445</v>
      </c>
      <c r="GI14" s="180">
        <v>4581.829763217931</v>
      </c>
      <c r="GJ14" s="180">
        <v>4460.0922606498343</v>
      </c>
      <c r="GK14" s="180">
        <v>4733.6951827583325</v>
      </c>
      <c r="GL14" s="181">
        <v>4731.7631274732485</v>
      </c>
      <c r="GM14" s="180">
        <v>4743.8847061763945</v>
      </c>
      <c r="GN14" s="180">
        <v>4634.5898530471632</v>
      </c>
      <c r="GO14" s="180">
        <v>4506.6571850655046</v>
      </c>
      <c r="GP14" s="180">
        <v>4479.6880850551042</v>
      </c>
      <c r="GQ14" s="180">
        <v>4719.171917899379</v>
      </c>
      <c r="GR14" s="181">
        <v>4919.5326304444352</v>
      </c>
      <c r="GS14" s="180">
        <v>5035.0001596461916</v>
      </c>
      <c r="GT14" s="180">
        <v>5014.0155822375891</v>
      </c>
      <c r="GU14" s="180">
        <v>4801.3794046258336</v>
      </c>
      <c r="GV14" s="180">
        <v>4757.5864463996058</v>
      </c>
      <c r="GW14" s="180">
        <v>4647.8673943588365</v>
      </c>
      <c r="GX14" s="180">
        <v>4788.633957555453</v>
      </c>
      <c r="GY14" s="180">
        <v>4910.1645539716919</v>
      </c>
      <c r="GZ14" s="100">
        <v>93</v>
      </c>
      <c r="HA14" s="100">
        <v>129.77177188979223</v>
      </c>
      <c r="HB14" s="99">
        <v>137.24165221666266</v>
      </c>
      <c r="HC14" s="99">
        <v>134.28653472471393</v>
      </c>
      <c r="HD14" s="99">
        <v>143</v>
      </c>
      <c r="HE14" s="99">
        <v>150</v>
      </c>
      <c r="HF14" s="100">
        <v>171</v>
      </c>
      <c r="HG14" s="99">
        <v>89</v>
      </c>
      <c r="HH14" s="99">
        <v>197</v>
      </c>
      <c r="HI14" s="99">
        <v>232</v>
      </c>
      <c r="HJ14" s="99">
        <v>249</v>
      </c>
      <c r="HK14" s="99">
        <v>385</v>
      </c>
      <c r="HL14" s="99">
        <v>586</v>
      </c>
      <c r="HM14" s="99">
        <v>406</v>
      </c>
      <c r="HN14" s="99">
        <v>469</v>
      </c>
      <c r="HO14" s="99">
        <v>491</v>
      </c>
      <c r="HP14" s="100">
        <v>585</v>
      </c>
      <c r="HQ14" s="100">
        <v>710</v>
      </c>
      <c r="HR14" s="100">
        <v>835</v>
      </c>
      <c r="HS14" s="100">
        <v>966</v>
      </c>
      <c r="HT14" s="100">
        <v>1053</v>
      </c>
      <c r="HU14" s="99">
        <v>1236</v>
      </c>
      <c r="HV14" s="180">
        <v>1294.6845198244191</v>
      </c>
      <c r="HW14" s="180">
        <v>1506.3691517156506</v>
      </c>
      <c r="HX14" s="180">
        <v>1648.8641528180383</v>
      </c>
      <c r="HY14" s="180">
        <v>1818.8999081266418</v>
      </c>
      <c r="HZ14" s="180">
        <v>2063.0110218778709</v>
      </c>
      <c r="IA14" s="181">
        <v>2486.0621538506971</v>
      </c>
      <c r="IB14" s="180">
        <v>2719.1639918803407</v>
      </c>
      <c r="IC14" s="180">
        <v>3025.6584427462381</v>
      </c>
      <c r="ID14" s="180">
        <v>3202.051729541226</v>
      </c>
      <c r="IE14" s="180">
        <v>3556.4499574062179</v>
      </c>
      <c r="IF14" s="180">
        <v>4331.6956275935881</v>
      </c>
      <c r="IG14" s="181">
        <v>4800.1135654155005</v>
      </c>
      <c r="IH14" s="180">
        <v>4428.9017145636435</v>
      </c>
      <c r="II14" s="180">
        <v>4499.1504140610414</v>
      </c>
      <c r="IJ14" s="180">
        <v>4316.63947130013</v>
      </c>
      <c r="IK14" s="180">
        <v>4244.0779432749432</v>
      </c>
      <c r="IL14" s="180">
        <v>4164.3755181069082</v>
      </c>
      <c r="IM14" s="180">
        <v>4090.8556048522369</v>
      </c>
      <c r="IN14" s="180">
        <v>4278.07789448113</v>
      </c>
      <c r="IO14" s="100">
        <v>31709</v>
      </c>
      <c r="IP14" s="100">
        <v>33121.787384064162</v>
      </c>
      <c r="IQ14" s="99">
        <v>35028.332885971322</v>
      </c>
      <c r="IR14" s="99">
        <v>34274.095104997061</v>
      </c>
      <c r="IS14" s="99">
        <v>32955</v>
      </c>
      <c r="IT14" s="99">
        <v>33168</v>
      </c>
      <c r="IU14" s="100">
        <v>33607</v>
      </c>
      <c r="IV14" s="99">
        <v>33476</v>
      </c>
      <c r="IW14" s="99">
        <v>32937</v>
      </c>
      <c r="IX14" s="99">
        <v>33421</v>
      </c>
      <c r="IY14" s="99">
        <v>32556</v>
      </c>
      <c r="IZ14" s="99">
        <v>33772</v>
      </c>
      <c r="JA14" s="99">
        <v>33385</v>
      </c>
      <c r="JB14" s="99">
        <v>33984</v>
      </c>
      <c r="JC14" s="99">
        <v>33095</v>
      </c>
      <c r="JD14" s="99">
        <v>33566</v>
      </c>
      <c r="JE14" s="100">
        <v>34185</v>
      </c>
      <c r="JF14" s="100">
        <v>36044</v>
      </c>
      <c r="JG14" s="100">
        <v>36672</v>
      </c>
      <c r="JH14" s="100">
        <v>36951.795471122183</v>
      </c>
      <c r="JI14" s="100">
        <v>36412.385507150022</v>
      </c>
      <c r="JJ14" s="99">
        <v>36311.366607414406</v>
      </c>
      <c r="JK14" s="180">
        <v>36427.882257101825</v>
      </c>
      <c r="JL14" s="180">
        <v>35531.517530940218</v>
      </c>
      <c r="JM14" s="180">
        <v>35556.399568228226</v>
      </c>
      <c r="JN14" s="180">
        <v>34921.839710188084</v>
      </c>
      <c r="JO14" s="180">
        <v>35352.817020514827</v>
      </c>
      <c r="JP14" s="181">
        <v>35170.083628481501</v>
      </c>
      <c r="JQ14" s="180">
        <v>33698.426332193441</v>
      </c>
      <c r="JR14" s="180">
        <v>33868.65772383639</v>
      </c>
      <c r="JS14" s="180">
        <v>33693.309591899837</v>
      </c>
      <c r="JT14" s="180">
        <v>32822.970267821343</v>
      </c>
      <c r="JU14" s="180">
        <v>33288.815519541495</v>
      </c>
      <c r="JV14" s="181">
        <v>33948.581552605523</v>
      </c>
      <c r="JW14" s="180">
        <v>33752.859238984056</v>
      </c>
      <c r="JX14" s="180">
        <v>32999.823368233767</v>
      </c>
      <c r="JY14" s="180">
        <v>31874.770925794524</v>
      </c>
      <c r="JZ14" s="180">
        <v>31546.77366387831</v>
      </c>
      <c r="KA14" s="180">
        <v>31930.689178705634</v>
      </c>
      <c r="KB14" s="180">
        <v>31913.981984262322</v>
      </c>
      <c r="KC14" s="180">
        <v>31959.766420596654</v>
      </c>
    </row>
    <row r="15" spans="1:289" ht="13.5" customHeight="1">
      <c r="A15" s="173" t="s">
        <v>39</v>
      </c>
      <c r="B15" s="100">
        <v>32247</v>
      </c>
      <c r="C15" s="100">
        <v>33682</v>
      </c>
      <c r="D15" s="99">
        <v>34822</v>
      </c>
      <c r="E15" s="99">
        <v>36766</v>
      </c>
      <c r="F15" s="99">
        <v>37192</v>
      </c>
      <c r="G15" s="99">
        <v>36495</v>
      </c>
      <c r="H15" s="100">
        <v>38030</v>
      </c>
      <c r="I15" s="99">
        <v>37802</v>
      </c>
      <c r="J15" s="99">
        <v>38430</v>
      </c>
      <c r="K15" s="99">
        <v>38314</v>
      </c>
      <c r="L15" s="99">
        <v>37905</v>
      </c>
      <c r="M15" s="99">
        <v>37610</v>
      </c>
      <c r="N15" s="99">
        <v>37019</v>
      </c>
      <c r="O15" s="99">
        <v>36009</v>
      </c>
      <c r="P15" s="99">
        <v>33275</v>
      </c>
      <c r="Q15" s="99">
        <v>34274</v>
      </c>
      <c r="R15" s="99">
        <v>34401</v>
      </c>
      <c r="S15" s="99">
        <v>35622</v>
      </c>
      <c r="T15" s="99">
        <v>36573</v>
      </c>
      <c r="U15" s="99">
        <v>35844</v>
      </c>
      <c r="V15" s="99">
        <v>36675</v>
      </c>
      <c r="W15" s="99">
        <v>37508</v>
      </c>
      <c r="X15" s="546">
        <v>43030</v>
      </c>
      <c r="Y15" s="180">
        <v>38448.101510578032</v>
      </c>
      <c r="Z15" s="180">
        <v>37559.215188685987</v>
      </c>
      <c r="AA15" s="180">
        <v>38836.091725115446</v>
      </c>
      <c r="AB15" s="180">
        <v>38180.223575938471</v>
      </c>
      <c r="AC15" s="180">
        <v>40234.999046806683</v>
      </c>
      <c r="AD15" s="181">
        <v>39518.598669354236</v>
      </c>
      <c r="AE15" s="180">
        <v>39595.014995403733</v>
      </c>
      <c r="AF15" s="180">
        <v>38805.115695863678</v>
      </c>
      <c r="AG15" s="180">
        <v>38250.485123832244</v>
      </c>
      <c r="AH15" s="180">
        <v>38752.792771373257</v>
      </c>
      <c r="AI15" s="180">
        <v>39558.232312692096</v>
      </c>
      <c r="AJ15" s="181">
        <v>40949.023701392034</v>
      </c>
      <c r="AK15" s="180">
        <v>40036.652288021731</v>
      </c>
      <c r="AL15" s="180">
        <v>39947.890245513947</v>
      </c>
      <c r="AM15" s="180">
        <v>38652.561959579427</v>
      </c>
      <c r="AN15" s="180">
        <v>38270.925006437137</v>
      </c>
      <c r="AO15" s="180">
        <v>38661.848903352751</v>
      </c>
      <c r="AP15" s="180">
        <v>38983.659387598826</v>
      </c>
      <c r="AQ15" s="180">
        <v>39809.953124527106</v>
      </c>
      <c r="AR15" s="533">
        <f t="shared" si="25"/>
        <v>544</v>
      </c>
      <c r="AS15" s="534">
        <f t="shared" si="26"/>
        <v>684</v>
      </c>
      <c r="AT15" s="534">
        <f t="shared" si="27"/>
        <v>689</v>
      </c>
      <c r="AU15" s="534">
        <f t="shared" si="28"/>
        <v>771</v>
      </c>
      <c r="AV15" s="534">
        <f t="shared" si="29"/>
        <v>749</v>
      </c>
      <c r="AW15" s="534">
        <f t="shared" si="30"/>
        <v>801</v>
      </c>
      <c r="AX15" s="534">
        <f t="shared" si="31"/>
        <v>756</v>
      </c>
      <c r="AY15" s="534">
        <f t="shared" si="32"/>
        <v>800</v>
      </c>
      <c r="AZ15" s="534">
        <f t="shared" si="33"/>
        <v>869</v>
      </c>
      <c r="BA15" s="534">
        <f t="shared" si="34"/>
        <v>886</v>
      </c>
      <c r="BB15" s="534">
        <f t="shared" si="35"/>
        <v>847</v>
      </c>
      <c r="BC15" s="534">
        <f t="shared" si="36"/>
        <v>856</v>
      </c>
      <c r="BD15" s="534">
        <f t="shared" si="37"/>
        <v>906</v>
      </c>
      <c r="BE15" s="534">
        <f t="shared" si="38"/>
        <v>932</v>
      </c>
      <c r="BF15" s="534">
        <f t="shared" si="39"/>
        <v>863</v>
      </c>
      <c r="BG15" s="534">
        <f t="shared" si="40"/>
        <v>900</v>
      </c>
      <c r="BH15" s="534">
        <f t="shared" si="41"/>
        <v>860</v>
      </c>
      <c r="BI15" s="534">
        <f t="shared" si="42"/>
        <v>969</v>
      </c>
      <c r="BJ15" s="534">
        <f t="shared" si="43"/>
        <v>966</v>
      </c>
      <c r="BK15" s="534">
        <f t="shared" si="44"/>
        <v>963.94556743863882</v>
      </c>
      <c r="BL15" s="534">
        <f t="shared" si="45"/>
        <v>987.61004225731642</v>
      </c>
      <c r="BM15" s="534">
        <f t="shared" si="46"/>
        <v>1027.0503108104219</v>
      </c>
      <c r="BN15" s="186">
        <f t="shared" si="47"/>
        <v>1120.7570475628438</v>
      </c>
      <c r="BO15" s="186">
        <f t="shared" si="48"/>
        <v>1069.9385563102771</v>
      </c>
      <c r="BP15" s="186">
        <f t="shared" si="49"/>
        <v>1090.7429594896478</v>
      </c>
      <c r="BQ15" s="186">
        <f t="shared" si="50"/>
        <v>1088.9433954308788</v>
      </c>
      <c r="BR15" s="186">
        <f t="shared" si="51"/>
        <v>1111.6075057309952</v>
      </c>
      <c r="BS15" s="186">
        <f t="shared" si="52"/>
        <v>1123.2477321401616</v>
      </c>
      <c r="BT15" s="186">
        <f t="shared" si="53"/>
        <v>1147.1034887668498</v>
      </c>
      <c r="BU15" s="186">
        <f t="shared" si="54"/>
        <v>1177.826097256421</v>
      </c>
      <c r="BV15" s="186">
        <f t="shared" si="55"/>
        <v>1220.796921729775</v>
      </c>
      <c r="BW15" s="186">
        <f t="shared" si="56"/>
        <v>1171.2811056705248</v>
      </c>
      <c r="BX15" s="186">
        <f t="shared" si="57"/>
        <v>1168.8064674088484</v>
      </c>
      <c r="BY15" s="186">
        <f t="shared" si="58"/>
        <v>1220.4179828325971</v>
      </c>
      <c r="BZ15" s="186">
        <f t="shared" si="59"/>
        <v>1292.7167523133562</v>
      </c>
      <c r="CA15" s="186">
        <f t="shared" si="60"/>
        <v>1398.5901925909718</v>
      </c>
      <c r="CB15" s="186">
        <f t="shared" si="61"/>
        <v>1425.3247988124301</v>
      </c>
      <c r="CC15" s="186">
        <f t="shared" si="62"/>
        <v>1322.8222708177709</v>
      </c>
      <c r="CD15" s="186">
        <f t="shared" si="63"/>
        <v>1429.685173164183</v>
      </c>
      <c r="CE15" s="186">
        <f t="shared" si="64"/>
        <v>1373.4853387900987</v>
      </c>
      <c r="CF15" s="186">
        <f t="shared" si="65"/>
        <v>1438.9866371467622</v>
      </c>
      <c r="CG15" s="100">
        <v>97</v>
      </c>
      <c r="CH15" s="100">
        <v>136</v>
      </c>
      <c r="CI15" s="99">
        <v>121</v>
      </c>
      <c r="CJ15" s="99">
        <v>127</v>
      </c>
      <c r="CK15" s="99">
        <v>136</v>
      </c>
      <c r="CL15" s="99">
        <v>160</v>
      </c>
      <c r="CM15" s="100">
        <v>173</v>
      </c>
      <c r="CN15" s="99">
        <v>176</v>
      </c>
      <c r="CO15" s="99">
        <v>210</v>
      </c>
      <c r="CP15" s="99">
        <v>208</v>
      </c>
      <c r="CQ15" s="99">
        <v>225</v>
      </c>
      <c r="CR15" s="99">
        <v>231</v>
      </c>
      <c r="CS15" s="99">
        <v>235</v>
      </c>
      <c r="CT15" s="99">
        <v>262</v>
      </c>
      <c r="CU15" s="99">
        <v>237</v>
      </c>
      <c r="CV15" s="99">
        <v>242</v>
      </c>
      <c r="CW15" s="99">
        <v>238</v>
      </c>
      <c r="CX15" s="99">
        <v>287</v>
      </c>
      <c r="CY15" s="99">
        <v>245</v>
      </c>
      <c r="CZ15" s="99">
        <v>254.61388895467996</v>
      </c>
      <c r="DA15" s="99">
        <v>266.73639789063327</v>
      </c>
      <c r="DB15" s="99">
        <v>274.14986477212085</v>
      </c>
      <c r="DC15" s="180">
        <v>301.23538869282419</v>
      </c>
      <c r="DD15" s="180">
        <v>275.22519215896176</v>
      </c>
      <c r="DE15" s="180">
        <v>301.53954439394846</v>
      </c>
      <c r="DF15" s="180">
        <v>277.9709315231276</v>
      </c>
      <c r="DG15" s="180">
        <v>284.26122009508379</v>
      </c>
      <c r="DH15" s="181">
        <v>267.74462770992983</v>
      </c>
      <c r="DI15" s="180">
        <v>270.20443839071959</v>
      </c>
      <c r="DJ15" s="180">
        <v>248.49124611060085</v>
      </c>
      <c r="DK15" s="180">
        <v>258.92729719097531</v>
      </c>
      <c r="DL15" s="180">
        <v>221.56428125220935</v>
      </c>
      <c r="DM15" s="180">
        <v>223.39880107618902</v>
      </c>
      <c r="DN15" s="181">
        <v>209.79847415045285</v>
      </c>
      <c r="DO15" s="180">
        <v>256.10008811855363</v>
      </c>
      <c r="DP15" s="180">
        <v>243.15232982327672</v>
      </c>
      <c r="DQ15" s="180">
        <v>255.85059574904514</v>
      </c>
      <c r="DR15" s="180">
        <v>179.06746286084649</v>
      </c>
      <c r="DS15" s="180">
        <v>161.8244451482164</v>
      </c>
      <c r="DT15" s="180">
        <v>194.58025079024281</v>
      </c>
      <c r="DU15" s="180">
        <v>186.42211578948582</v>
      </c>
      <c r="DV15" s="100">
        <v>447</v>
      </c>
      <c r="DW15" s="100">
        <v>548</v>
      </c>
      <c r="DX15" s="99">
        <v>568</v>
      </c>
      <c r="DY15" s="99">
        <v>644</v>
      </c>
      <c r="DZ15" s="99">
        <v>613</v>
      </c>
      <c r="EA15" s="99">
        <v>641</v>
      </c>
      <c r="EB15" s="100">
        <v>583</v>
      </c>
      <c r="EC15" s="99">
        <v>624</v>
      </c>
      <c r="ED15" s="99">
        <v>659</v>
      </c>
      <c r="EE15" s="99">
        <v>678</v>
      </c>
      <c r="EF15" s="99">
        <v>622</v>
      </c>
      <c r="EG15" s="99">
        <v>625</v>
      </c>
      <c r="EH15" s="99">
        <v>671</v>
      </c>
      <c r="EI15" s="99">
        <v>670</v>
      </c>
      <c r="EJ15" s="99">
        <v>626</v>
      </c>
      <c r="EK15" s="99">
        <v>658</v>
      </c>
      <c r="EL15" s="99">
        <v>622</v>
      </c>
      <c r="EM15" s="99">
        <v>682</v>
      </c>
      <c r="EN15" s="99">
        <v>721</v>
      </c>
      <c r="EO15" s="99">
        <v>709.33167848395885</v>
      </c>
      <c r="EP15" s="99">
        <v>720.87364436668315</v>
      </c>
      <c r="EQ15" s="99">
        <v>752.90044603830108</v>
      </c>
      <c r="ER15" s="180">
        <v>819.52165887001956</v>
      </c>
      <c r="ES15" s="180">
        <v>794.71336415131543</v>
      </c>
      <c r="ET15" s="180">
        <v>789.20341509569937</v>
      </c>
      <c r="EU15" s="180">
        <v>810.97246390775126</v>
      </c>
      <c r="EV15" s="180">
        <v>827.34628563591139</v>
      </c>
      <c r="EW15" s="181">
        <v>855.50310443023182</v>
      </c>
      <c r="EX15" s="180">
        <v>876.89905037613016</v>
      </c>
      <c r="EY15" s="180">
        <v>929.33485114582015</v>
      </c>
      <c r="EZ15" s="180">
        <v>961.8696245387996</v>
      </c>
      <c r="FA15" s="180">
        <v>949.71682441831547</v>
      </c>
      <c r="FB15" s="180">
        <v>945.40766633265935</v>
      </c>
      <c r="FC15" s="181">
        <v>1010.6195086821442</v>
      </c>
      <c r="FD15" s="180">
        <v>1036.6166641948025</v>
      </c>
      <c r="FE15" s="180">
        <v>1155.4378627676952</v>
      </c>
      <c r="FF15" s="180">
        <v>1169.4742030633849</v>
      </c>
      <c r="FG15" s="180">
        <v>1143.7548079569244</v>
      </c>
      <c r="FH15" s="180">
        <v>1267.8607280159665</v>
      </c>
      <c r="FI15" s="180">
        <v>1178.9050879998558</v>
      </c>
      <c r="FJ15" s="180">
        <v>1252.5645213572764</v>
      </c>
      <c r="FK15" s="100">
        <v>12117</v>
      </c>
      <c r="FL15" s="100">
        <v>12134</v>
      </c>
      <c r="FM15" s="99">
        <v>12868</v>
      </c>
      <c r="FN15" s="99">
        <v>13803</v>
      </c>
      <c r="FO15" s="99">
        <v>14037</v>
      </c>
      <c r="FP15" s="99">
        <v>14172</v>
      </c>
      <c r="FQ15" s="100">
        <v>14834</v>
      </c>
      <c r="FR15" s="99">
        <v>14503</v>
      </c>
      <c r="FS15" s="99">
        <v>14831</v>
      </c>
      <c r="FT15" s="99">
        <v>15046</v>
      </c>
      <c r="FU15" s="99">
        <v>15322</v>
      </c>
      <c r="FV15" s="99">
        <v>14827</v>
      </c>
      <c r="FW15" s="99">
        <v>14782</v>
      </c>
      <c r="FX15" s="99">
        <v>14262</v>
      </c>
      <c r="FY15" s="99">
        <v>12396</v>
      </c>
      <c r="FZ15" s="99">
        <v>13051</v>
      </c>
      <c r="GA15" s="99">
        <v>13253</v>
      </c>
      <c r="GB15" s="99">
        <v>14346</v>
      </c>
      <c r="GC15" s="99">
        <v>15178</v>
      </c>
      <c r="GD15" s="99">
        <v>14607.489693769145</v>
      </c>
      <c r="GE15" s="99">
        <v>15352.24845946075</v>
      </c>
      <c r="GF15" s="99">
        <v>15429.677584515481</v>
      </c>
      <c r="GG15" s="180">
        <v>15997.132513144767</v>
      </c>
      <c r="GH15" s="180">
        <v>15436.602635327017</v>
      </c>
      <c r="GI15" s="180">
        <v>15953.528309613985</v>
      </c>
      <c r="GJ15" s="180">
        <v>15409.702810473822</v>
      </c>
      <c r="GK15" s="180">
        <v>16468.298918413697</v>
      </c>
      <c r="GL15" s="181">
        <v>16068.65130046774</v>
      </c>
      <c r="GM15" s="180">
        <v>16184.873589468383</v>
      </c>
      <c r="GN15" s="180">
        <v>15472.108892888991</v>
      </c>
      <c r="GO15" s="180">
        <v>15048.838999246464</v>
      </c>
      <c r="GP15" s="180">
        <v>15137.791424283334</v>
      </c>
      <c r="GQ15" s="180">
        <v>15612.712106767271</v>
      </c>
      <c r="GR15" s="181">
        <v>15821.384262181293</v>
      </c>
      <c r="GS15" s="180">
        <v>15620.670598313356</v>
      </c>
      <c r="GT15" s="180">
        <v>15401.564620652234</v>
      </c>
      <c r="GU15" s="180">
        <v>14987.726457160908</v>
      </c>
      <c r="GV15" s="180">
        <v>14643.589976179277</v>
      </c>
      <c r="GW15" s="180">
        <v>14712.043161460677</v>
      </c>
      <c r="GX15" s="180">
        <v>14811.730618402516</v>
      </c>
      <c r="GY15" s="180">
        <v>14945.541417992114</v>
      </c>
      <c r="GZ15" s="100">
        <v>388</v>
      </c>
      <c r="HA15" s="100">
        <v>403</v>
      </c>
      <c r="HB15" s="99">
        <v>452</v>
      </c>
      <c r="HC15" s="99">
        <v>404</v>
      </c>
      <c r="HD15" s="99">
        <v>462</v>
      </c>
      <c r="HE15" s="99">
        <v>434</v>
      </c>
      <c r="HF15" s="100">
        <v>443</v>
      </c>
      <c r="HG15" s="99">
        <v>519</v>
      </c>
      <c r="HH15" s="99">
        <v>503</v>
      </c>
      <c r="HI15" s="99">
        <v>509</v>
      </c>
      <c r="HJ15" s="99">
        <v>484</v>
      </c>
      <c r="HK15" s="99">
        <v>534</v>
      </c>
      <c r="HL15" s="99">
        <v>591</v>
      </c>
      <c r="HM15" s="99">
        <v>572</v>
      </c>
      <c r="HN15" s="99">
        <v>533</v>
      </c>
      <c r="HO15" s="99">
        <v>556</v>
      </c>
      <c r="HP15" s="99">
        <v>672</v>
      </c>
      <c r="HQ15" s="99">
        <v>718</v>
      </c>
      <c r="HR15" s="99">
        <v>933</v>
      </c>
      <c r="HS15" s="99">
        <v>1057</v>
      </c>
      <c r="HT15" s="99">
        <v>1160</v>
      </c>
      <c r="HU15" s="99">
        <v>1259</v>
      </c>
      <c r="HV15" s="180">
        <v>1321.2731551847396</v>
      </c>
      <c r="HW15" s="180">
        <v>1407.9743598974867</v>
      </c>
      <c r="HX15" s="180">
        <v>1612.8816996032358</v>
      </c>
      <c r="HY15" s="180">
        <v>1902.8852440598012</v>
      </c>
      <c r="HZ15" s="180">
        <v>2083.0498344107009</v>
      </c>
      <c r="IA15" s="181">
        <v>2217.4106591918344</v>
      </c>
      <c r="IB15" s="180">
        <v>2439.7824831092162</v>
      </c>
      <c r="IC15" s="180">
        <v>2662.9395752917321</v>
      </c>
      <c r="ID15" s="180">
        <v>2999.7228087492249</v>
      </c>
      <c r="IE15" s="180">
        <v>3397.9915380112861</v>
      </c>
      <c r="IF15" s="180">
        <v>3837.6768171125527</v>
      </c>
      <c r="IG15" s="181">
        <v>4449.5962216551161</v>
      </c>
      <c r="IH15" s="180">
        <v>5189.9628631498299</v>
      </c>
      <c r="II15" s="180">
        <v>5592.9588939069654</v>
      </c>
      <c r="IJ15" s="180">
        <v>5683.8714742340853</v>
      </c>
      <c r="IK15" s="180">
        <v>5614.5286773300168</v>
      </c>
      <c r="IL15" s="180">
        <v>5745.2457329538793</v>
      </c>
      <c r="IM15" s="180">
        <v>6057.362502965083</v>
      </c>
      <c r="IN15" s="180">
        <v>6624.8245420199746</v>
      </c>
      <c r="IO15" s="100">
        <v>19198</v>
      </c>
      <c r="IP15" s="100">
        <v>20461</v>
      </c>
      <c r="IQ15" s="99">
        <v>20813</v>
      </c>
      <c r="IR15" s="99">
        <v>21788</v>
      </c>
      <c r="IS15" s="99">
        <v>21944</v>
      </c>
      <c r="IT15" s="99">
        <v>21088</v>
      </c>
      <c r="IU15" s="100">
        <v>21997</v>
      </c>
      <c r="IV15" s="99">
        <v>21980</v>
      </c>
      <c r="IW15" s="99">
        <v>22227</v>
      </c>
      <c r="IX15" s="99">
        <v>21873</v>
      </c>
      <c r="IY15" s="99">
        <v>21252</v>
      </c>
      <c r="IZ15" s="99">
        <v>21393</v>
      </c>
      <c r="JA15" s="99">
        <v>20740</v>
      </c>
      <c r="JB15" s="99">
        <v>20243</v>
      </c>
      <c r="JC15" s="99">
        <v>19483</v>
      </c>
      <c r="JD15" s="99">
        <v>19767</v>
      </c>
      <c r="JE15" s="99">
        <v>19616</v>
      </c>
      <c r="JF15" s="99">
        <v>19589</v>
      </c>
      <c r="JG15" s="99">
        <v>19496</v>
      </c>
      <c r="JH15" s="99">
        <v>19215.564738792218</v>
      </c>
      <c r="JI15" s="99">
        <v>19175.141498281933</v>
      </c>
      <c r="JJ15" s="99">
        <v>19792.272104674095</v>
      </c>
      <c r="JK15" s="180">
        <v>19945.946443205197</v>
      </c>
      <c r="JL15" s="180">
        <v>19587.231261908011</v>
      </c>
      <c r="JM15" s="180">
        <v>20133.63542026882</v>
      </c>
      <c r="JN15" s="180">
        <v>19823.589079442761</v>
      </c>
      <c r="JO15" s="180">
        <v>20581.38682342567</v>
      </c>
      <c r="JP15" s="181">
        <v>20166.000067924051</v>
      </c>
      <c r="JQ15" s="180">
        <v>19911.228867469468</v>
      </c>
      <c r="JR15" s="180">
        <v>19740.749670538615</v>
      </c>
      <c r="JS15" s="180">
        <v>19441.960998557908</v>
      </c>
      <c r="JT15" s="180">
        <v>19629.807801162329</v>
      </c>
      <c r="JU15" s="180">
        <v>19619.569323727508</v>
      </c>
      <c r="JV15" s="181">
        <v>20443.454475017152</v>
      </c>
      <c r="JW15" s="180">
        <v>19607.678113170863</v>
      </c>
      <c r="JX15" s="180">
        <v>19531.97201364546</v>
      </c>
      <c r="JY15" s="180">
        <v>18648.650934496567</v>
      </c>
      <c r="JZ15" s="180">
        <v>18706.992401694693</v>
      </c>
      <c r="KA15" s="180">
        <v>18854.630785485711</v>
      </c>
      <c r="KB15" s="180">
        <v>18990.907916777745</v>
      </c>
      <c r="KC15" s="180">
        <v>19377.934535165943</v>
      </c>
    </row>
    <row r="16" spans="1:289">
      <c r="A16" s="173" t="s">
        <v>40</v>
      </c>
      <c r="B16" s="100">
        <v>39720</v>
      </c>
      <c r="C16" s="100">
        <v>39523</v>
      </c>
      <c r="D16" s="99">
        <v>39091</v>
      </c>
      <c r="E16" s="99">
        <v>41387</v>
      </c>
      <c r="F16" s="99">
        <v>41785</v>
      </c>
      <c r="G16" s="99">
        <v>42856</v>
      </c>
      <c r="H16" s="100">
        <v>44555</v>
      </c>
      <c r="I16" s="99">
        <v>46214</v>
      </c>
      <c r="J16" s="99">
        <v>47849</v>
      </c>
      <c r="K16" s="99">
        <v>49222</v>
      </c>
      <c r="L16" s="99">
        <v>50881</v>
      </c>
      <c r="M16" s="99">
        <v>51864</v>
      </c>
      <c r="N16" s="99">
        <v>52870</v>
      </c>
      <c r="O16" s="99">
        <v>54170</v>
      </c>
      <c r="P16" s="99">
        <v>55536</v>
      </c>
      <c r="Q16" s="99">
        <v>57564</v>
      </c>
      <c r="R16" s="99">
        <v>59171</v>
      </c>
      <c r="S16" s="99">
        <v>58304</v>
      </c>
      <c r="T16" s="99">
        <v>59078</v>
      </c>
      <c r="U16" s="99">
        <v>58745</v>
      </c>
      <c r="V16" s="99">
        <v>58811</v>
      </c>
      <c r="W16" s="99">
        <v>58896</v>
      </c>
      <c r="X16" s="546">
        <v>59650</v>
      </c>
      <c r="Y16" s="180">
        <v>57507.157669685294</v>
      </c>
      <c r="Z16" s="180">
        <v>56489.383766116021</v>
      </c>
      <c r="AA16" s="180">
        <v>56218.137266444144</v>
      </c>
      <c r="AB16" s="180">
        <v>55009.399036960182</v>
      </c>
      <c r="AC16" s="180">
        <v>56765.028374046495</v>
      </c>
      <c r="AD16" s="181">
        <v>56287.144330334762</v>
      </c>
      <c r="AE16" s="180">
        <v>58078.818579602666</v>
      </c>
      <c r="AF16" s="180">
        <v>58677.068811367441</v>
      </c>
      <c r="AG16" s="180">
        <v>59667.962964289771</v>
      </c>
      <c r="AH16" s="180">
        <v>60330.035654626867</v>
      </c>
      <c r="AI16" s="180">
        <v>62039.052873689667</v>
      </c>
      <c r="AJ16" s="181">
        <v>64134.139692324439</v>
      </c>
      <c r="AK16" s="180">
        <v>62345.730077548586</v>
      </c>
      <c r="AL16" s="180">
        <v>60539.211270897555</v>
      </c>
      <c r="AM16" s="180">
        <v>59600.30869838332</v>
      </c>
      <c r="AN16" s="180">
        <v>59079.760534937246</v>
      </c>
      <c r="AO16" s="180">
        <v>59007.221130836238</v>
      </c>
      <c r="AP16" s="180">
        <v>58152.963948354874</v>
      </c>
      <c r="AQ16" s="180">
        <v>59734.686587213953</v>
      </c>
      <c r="AR16" s="533">
        <f t="shared" si="25"/>
        <v>2024</v>
      </c>
      <c r="AS16" s="534">
        <f t="shared" si="26"/>
        <v>2144</v>
      </c>
      <c r="AT16" s="534">
        <f t="shared" si="27"/>
        <v>2088</v>
      </c>
      <c r="AU16" s="534">
        <f t="shared" si="28"/>
        <v>2148</v>
      </c>
      <c r="AV16" s="534">
        <f t="shared" si="29"/>
        <v>2121</v>
      </c>
      <c r="AW16" s="534">
        <f t="shared" si="30"/>
        <v>2305</v>
      </c>
      <c r="AX16" s="534">
        <f t="shared" si="31"/>
        <v>2422</v>
      </c>
      <c r="AY16" s="534">
        <f t="shared" si="32"/>
        <v>2439</v>
      </c>
      <c r="AZ16" s="534">
        <f t="shared" si="33"/>
        <v>2686</v>
      </c>
      <c r="BA16" s="534">
        <f t="shared" si="34"/>
        <v>2633</v>
      </c>
      <c r="BB16" s="534">
        <f t="shared" si="35"/>
        <v>2883</v>
      </c>
      <c r="BC16" s="534">
        <f t="shared" si="36"/>
        <v>3018</v>
      </c>
      <c r="BD16" s="534">
        <f t="shared" si="37"/>
        <v>3054</v>
      </c>
      <c r="BE16" s="534">
        <f t="shared" si="38"/>
        <v>3276</v>
      </c>
      <c r="BF16" s="534">
        <f t="shared" si="39"/>
        <v>3516</v>
      </c>
      <c r="BG16" s="534">
        <f t="shared" si="40"/>
        <v>3490</v>
      </c>
      <c r="BH16" s="534">
        <f t="shared" si="41"/>
        <v>3585</v>
      </c>
      <c r="BI16" s="534">
        <f t="shared" si="42"/>
        <v>3612</v>
      </c>
      <c r="BJ16" s="534">
        <f t="shared" si="43"/>
        <v>3890</v>
      </c>
      <c r="BK16" s="534">
        <f t="shared" si="44"/>
        <v>3739.6846727603042</v>
      </c>
      <c r="BL16" s="534">
        <f t="shared" si="45"/>
        <v>3886.0789637374646</v>
      </c>
      <c r="BM16" s="534">
        <f t="shared" si="46"/>
        <v>4119.3965553372982</v>
      </c>
      <c r="BN16" s="186">
        <f t="shared" si="47"/>
        <v>4107.4944042352336</v>
      </c>
      <c r="BO16" s="186">
        <f t="shared" si="48"/>
        <v>4047.3914013446893</v>
      </c>
      <c r="BP16" s="186">
        <f t="shared" si="49"/>
        <v>4047.9319255789628</v>
      </c>
      <c r="BQ16" s="186">
        <f t="shared" si="50"/>
        <v>4045.6135367660631</v>
      </c>
      <c r="BR16" s="186">
        <f t="shared" si="51"/>
        <v>4392.6531059640702</v>
      </c>
      <c r="BS16" s="186">
        <f t="shared" si="52"/>
        <v>4385.0823225455115</v>
      </c>
      <c r="BT16" s="186">
        <f t="shared" si="53"/>
        <v>4608.6786049279472</v>
      </c>
      <c r="BU16" s="186">
        <f t="shared" si="54"/>
        <v>4794.2834505460796</v>
      </c>
      <c r="BV16" s="186">
        <f t="shared" si="55"/>
        <v>4868.6709313243909</v>
      </c>
      <c r="BW16" s="186">
        <f t="shared" si="56"/>
        <v>5055.2673039544125</v>
      </c>
      <c r="BX16" s="186">
        <f t="shared" si="57"/>
        <v>5078.46207383407</v>
      </c>
      <c r="BY16" s="186">
        <f t="shared" si="58"/>
        <v>5102.4593708087814</v>
      </c>
      <c r="BZ16" s="186">
        <f t="shared" si="59"/>
        <v>5320.0540843079571</v>
      </c>
      <c r="CA16" s="186">
        <f t="shared" si="60"/>
        <v>5494.2259559556769</v>
      </c>
      <c r="CB16" s="186">
        <f t="shared" si="61"/>
        <v>5638.4310179301083</v>
      </c>
      <c r="CC16" s="186">
        <f t="shared" si="62"/>
        <v>5649.3056726904597</v>
      </c>
      <c r="CD16" s="186">
        <f t="shared" si="63"/>
        <v>5673.7069104961047</v>
      </c>
      <c r="CE16" s="186">
        <f t="shared" si="64"/>
        <v>5523.9424268516632</v>
      </c>
      <c r="CF16" s="186">
        <f t="shared" si="65"/>
        <v>5816.0860620132789</v>
      </c>
      <c r="CG16" s="100">
        <v>72</v>
      </c>
      <c r="CH16" s="100">
        <v>91</v>
      </c>
      <c r="CI16" s="99">
        <v>89</v>
      </c>
      <c r="CJ16" s="99">
        <v>80</v>
      </c>
      <c r="CK16" s="99">
        <v>75</v>
      </c>
      <c r="CL16" s="99">
        <v>99</v>
      </c>
      <c r="CM16" s="100">
        <v>112</v>
      </c>
      <c r="CN16" s="99">
        <v>121</v>
      </c>
      <c r="CO16" s="99">
        <v>120</v>
      </c>
      <c r="CP16" s="99">
        <v>145</v>
      </c>
      <c r="CQ16" s="99">
        <v>158</v>
      </c>
      <c r="CR16" s="99">
        <v>158</v>
      </c>
      <c r="CS16" s="99">
        <v>135</v>
      </c>
      <c r="CT16" s="99">
        <v>202</v>
      </c>
      <c r="CU16" s="99">
        <v>178</v>
      </c>
      <c r="CV16" s="99">
        <v>179</v>
      </c>
      <c r="CW16" s="99">
        <v>193</v>
      </c>
      <c r="CX16" s="99">
        <v>186</v>
      </c>
      <c r="CY16" s="99">
        <v>190</v>
      </c>
      <c r="CZ16" s="99">
        <v>198.53497710791856</v>
      </c>
      <c r="DA16" s="99">
        <v>193.20890170663122</v>
      </c>
      <c r="DB16" s="99">
        <v>252.67227681368252</v>
      </c>
      <c r="DC16" s="180">
        <v>201.44904101481598</v>
      </c>
      <c r="DD16" s="180">
        <v>130.19145552213271</v>
      </c>
      <c r="DE16" s="180">
        <v>153.19029617716393</v>
      </c>
      <c r="DF16" s="180">
        <v>135.85428048920966</v>
      </c>
      <c r="DG16" s="180">
        <v>146.17826386133433</v>
      </c>
      <c r="DH16" s="181">
        <v>130.03738039638256</v>
      </c>
      <c r="DI16" s="180">
        <v>129.06831659293428</v>
      </c>
      <c r="DJ16" s="180">
        <v>116.3800173116897</v>
      </c>
      <c r="DK16" s="180">
        <v>108.99308728279354</v>
      </c>
      <c r="DL16" s="180">
        <v>118.70208204698434</v>
      </c>
      <c r="DM16" s="180">
        <v>134.69247262100146</v>
      </c>
      <c r="DN16" s="181">
        <v>109.71404093585333</v>
      </c>
      <c r="DO16" s="180">
        <v>121.32993992525026</v>
      </c>
      <c r="DP16" s="180">
        <v>130.25675939449104</v>
      </c>
      <c r="DQ16" s="180">
        <v>120.73603798333737</v>
      </c>
      <c r="DR16" s="180">
        <v>114.19945294968156</v>
      </c>
      <c r="DS16" s="180">
        <v>101.70713847160741</v>
      </c>
      <c r="DT16" s="180">
        <v>136.89428425387413</v>
      </c>
      <c r="DU16" s="180">
        <v>96.583406018032647</v>
      </c>
      <c r="DV16" s="100">
        <v>1952</v>
      </c>
      <c r="DW16" s="100">
        <v>2053</v>
      </c>
      <c r="DX16" s="99">
        <v>1999</v>
      </c>
      <c r="DY16" s="99">
        <v>2068</v>
      </c>
      <c r="DZ16" s="99">
        <v>2046</v>
      </c>
      <c r="EA16" s="99">
        <v>2206</v>
      </c>
      <c r="EB16" s="100">
        <v>2310</v>
      </c>
      <c r="EC16" s="99">
        <v>2318</v>
      </c>
      <c r="ED16" s="99">
        <v>2566</v>
      </c>
      <c r="EE16" s="99">
        <v>2488</v>
      </c>
      <c r="EF16" s="99">
        <v>2725</v>
      </c>
      <c r="EG16" s="99">
        <v>2860</v>
      </c>
      <c r="EH16" s="99">
        <v>2919</v>
      </c>
      <c r="EI16" s="99">
        <v>3074</v>
      </c>
      <c r="EJ16" s="99">
        <v>3338</v>
      </c>
      <c r="EK16" s="99">
        <v>3311</v>
      </c>
      <c r="EL16" s="99">
        <v>3392</v>
      </c>
      <c r="EM16" s="99">
        <v>3426</v>
      </c>
      <c r="EN16" s="99">
        <v>3700</v>
      </c>
      <c r="EO16" s="99">
        <v>3541.1496956523856</v>
      </c>
      <c r="EP16" s="99">
        <v>3692.8700620308332</v>
      </c>
      <c r="EQ16" s="99">
        <v>3866.7242785236153</v>
      </c>
      <c r="ER16" s="180">
        <v>3906.0453632204176</v>
      </c>
      <c r="ES16" s="180">
        <v>3917.1999458225564</v>
      </c>
      <c r="ET16" s="180">
        <v>3894.7416294017989</v>
      </c>
      <c r="EU16" s="180">
        <v>3909.7592562768536</v>
      </c>
      <c r="EV16" s="180">
        <v>4246.4748421027361</v>
      </c>
      <c r="EW16" s="181">
        <v>4255.0449421491285</v>
      </c>
      <c r="EX16" s="180">
        <v>4479.6102883350131</v>
      </c>
      <c r="EY16" s="180">
        <v>4677.9034332343899</v>
      </c>
      <c r="EZ16" s="180">
        <v>4759.6778440415974</v>
      </c>
      <c r="FA16" s="180">
        <v>4936.5652219074282</v>
      </c>
      <c r="FB16" s="180">
        <v>4943.7696012130682</v>
      </c>
      <c r="FC16" s="181">
        <v>4992.7453298729279</v>
      </c>
      <c r="FD16" s="180">
        <v>5198.724144382707</v>
      </c>
      <c r="FE16" s="180">
        <v>5363.9691965611855</v>
      </c>
      <c r="FF16" s="180">
        <v>5517.6949799467711</v>
      </c>
      <c r="FG16" s="180">
        <v>5535.1062197407782</v>
      </c>
      <c r="FH16" s="180">
        <v>5571.9997720244974</v>
      </c>
      <c r="FI16" s="180">
        <v>5387.0481425977887</v>
      </c>
      <c r="FJ16" s="180">
        <v>5719.5026559952466</v>
      </c>
      <c r="FK16" s="100">
        <v>10668</v>
      </c>
      <c r="FL16" s="100">
        <v>10997</v>
      </c>
      <c r="FM16" s="99">
        <v>11379</v>
      </c>
      <c r="FN16" s="99">
        <v>12354</v>
      </c>
      <c r="FO16" s="99">
        <v>12766</v>
      </c>
      <c r="FP16" s="99">
        <v>13330</v>
      </c>
      <c r="FQ16" s="100">
        <v>14031</v>
      </c>
      <c r="FR16" s="99">
        <v>14718</v>
      </c>
      <c r="FS16" s="99">
        <v>15252</v>
      </c>
      <c r="FT16" s="99">
        <v>16155</v>
      </c>
      <c r="FU16" s="99">
        <v>16745</v>
      </c>
      <c r="FV16" s="99">
        <v>16586</v>
      </c>
      <c r="FW16" s="99">
        <v>17005</v>
      </c>
      <c r="FX16" s="99">
        <v>18001</v>
      </c>
      <c r="FY16" s="99">
        <v>18558</v>
      </c>
      <c r="FZ16" s="99">
        <v>19779</v>
      </c>
      <c r="GA16" s="99">
        <v>20602</v>
      </c>
      <c r="GB16" s="99">
        <v>20581</v>
      </c>
      <c r="GC16" s="99">
        <v>21231</v>
      </c>
      <c r="GD16" s="99">
        <v>21643.785891704825</v>
      </c>
      <c r="GE16" s="99">
        <v>21532.652059351731</v>
      </c>
      <c r="GF16" s="99">
        <v>21023.987652217151</v>
      </c>
      <c r="GG16" s="180">
        <v>20138.774218300798</v>
      </c>
      <c r="GH16" s="180">
        <v>20221.138518017546</v>
      </c>
      <c r="GI16" s="180">
        <v>19887.963038548743</v>
      </c>
      <c r="GJ16" s="180">
        <v>19088.273842577488</v>
      </c>
      <c r="GK16" s="180">
        <v>19730.159507080341</v>
      </c>
      <c r="GL16" s="181">
        <v>19534.135771701607</v>
      </c>
      <c r="GM16" s="180">
        <v>19611.873531364381</v>
      </c>
      <c r="GN16" s="180">
        <v>19443.014899773432</v>
      </c>
      <c r="GO16" s="180">
        <v>19769.395833303075</v>
      </c>
      <c r="GP16" s="180">
        <v>19908.917025663948</v>
      </c>
      <c r="GQ16" s="180">
        <v>20494.541674025946</v>
      </c>
      <c r="GR16" s="181">
        <v>21222.388012586267</v>
      </c>
      <c r="GS16" s="180">
        <v>21038.561410955652</v>
      </c>
      <c r="GT16" s="180">
        <v>20344.368595119024</v>
      </c>
      <c r="GU16" s="180">
        <v>19871.537984220246</v>
      </c>
      <c r="GV16" s="180">
        <v>19332.598155363918</v>
      </c>
      <c r="GW16" s="180">
        <v>19363.536653366744</v>
      </c>
      <c r="GX16" s="180">
        <v>18945.060610528515</v>
      </c>
      <c r="GY16" s="180">
        <v>19448.685388828115</v>
      </c>
      <c r="GZ16" s="100">
        <v>901</v>
      </c>
      <c r="HA16" s="100">
        <v>1002</v>
      </c>
      <c r="HB16" s="99">
        <v>1090</v>
      </c>
      <c r="HC16" s="99">
        <v>1223</v>
      </c>
      <c r="HD16" s="99">
        <v>1279</v>
      </c>
      <c r="HE16" s="99">
        <v>1300</v>
      </c>
      <c r="HF16" s="100">
        <v>1439</v>
      </c>
      <c r="HG16" s="99">
        <v>1513</v>
      </c>
      <c r="HH16" s="99">
        <v>1489</v>
      </c>
      <c r="HI16" s="99">
        <v>1708</v>
      </c>
      <c r="HJ16" s="99">
        <v>1890</v>
      </c>
      <c r="HK16" s="99">
        <v>2075</v>
      </c>
      <c r="HL16" s="99">
        <v>2270</v>
      </c>
      <c r="HM16" s="99">
        <v>2509</v>
      </c>
      <c r="HN16" s="99">
        <v>2790</v>
      </c>
      <c r="HO16" s="99">
        <v>3130</v>
      </c>
      <c r="HP16" s="99">
        <v>3555</v>
      </c>
      <c r="HQ16" s="99">
        <v>3842</v>
      </c>
      <c r="HR16" s="99">
        <v>4087</v>
      </c>
      <c r="HS16" s="99">
        <v>4682</v>
      </c>
      <c r="HT16" s="99">
        <v>5045</v>
      </c>
      <c r="HU16" s="99">
        <v>5463</v>
      </c>
      <c r="HV16" s="180">
        <v>5780.5604529798175</v>
      </c>
      <c r="HW16" s="180">
        <v>5770.9170938376783</v>
      </c>
      <c r="HX16" s="180">
        <v>6278.3164843747491</v>
      </c>
      <c r="HY16" s="180">
        <v>6821.2729685348859</v>
      </c>
      <c r="HZ16" s="180">
        <v>7259.8444182053408</v>
      </c>
      <c r="IA16" s="181">
        <v>7622.2265580329904</v>
      </c>
      <c r="IB16" s="180">
        <v>8664.3485133543309</v>
      </c>
      <c r="IC16" s="180">
        <v>9400.3357959834411</v>
      </c>
      <c r="ID16" s="180">
        <v>9949.3653958290051</v>
      </c>
      <c r="IE16" s="180">
        <v>10905.257256179637</v>
      </c>
      <c r="IF16" s="180">
        <v>12155.17067181767</v>
      </c>
      <c r="IG16" s="181">
        <v>13530.344321927802</v>
      </c>
      <c r="IH16" s="180">
        <v>13477.846972593272</v>
      </c>
      <c r="II16" s="180">
        <v>13452.422887301151</v>
      </c>
      <c r="IJ16" s="180">
        <v>12924.714041121082</v>
      </c>
      <c r="IK16" s="180">
        <v>12992.147476078779</v>
      </c>
      <c r="IL16" s="180">
        <v>12940.707221051925</v>
      </c>
      <c r="IM16" s="180">
        <v>13306.978566959526</v>
      </c>
      <c r="IN16" s="180">
        <v>13867.905912121352</v>
      </c>
      <c r="IO16" s="100">
        <v>26127</v>
      </c>
      <c r="IP16" s="100">
        <v>25380</v>
      </c>
      <c r="IQ16" s="99">
        <v>24534</v>
      </c>
      <c r="IR16" s="99">
        <v>25662</v>
      </c>
      <c r="IS16" s="99">
        <v>25619</v>
      </c>
      <c r="IT16" s="99">
        <v>25921</v>
      </c>
      <c r="IU16" s="100">
        <v>26663</v>
      </c>
      <c r="IV16" s="99">
        <v>27544</v>
      </c>
      <c r="IW16" s="99">
        <v>28422</v>
      </c>
      <c r="IX16" s="99">
        <v>28726</v>
      </c>
      <c r="IY16" s="99">
        <v>29363</v>
      </c>
      <c r="IZ16" s="99">
        <v>30182</v>
      </c>
      <c r="JA16" s="99">
        <v>30541</v>
      </c>
      <c r="JB16" s="99">
        <v>30384</v>
      </c>
      <c r="JC16" s="99">
        <v>30672</v>
      </c>
      <c r="JD16" s="99">
        <v>31165</v>
      </c>
      <c r="JE16" s="99">
        <v>31429</v>
      </c>
      <c r="JF16" s="99">
        <v>30269</v>
      </c>
      <c r="JG16" s="99">
        <v>29870</v>
      </c>
      <c r="JH16" s="99">
        <v>28679.529435534871</v>
      </c>
      <c r="JI16" s="99">
        <v>28347.268976910804</v>
      </c>
      <c r="JJ16" s="99">
        <v>28289.615792445551</v>
      </c>
      <c r="JK16" s="180">
        <v>27475.214588984982</v>
      </c>
      <c r="JL16" s="180">
        <v>26442.646702678208</v>
      </c>
      <c r="JM16" s="180">
        <v>25968.062195488597</v>
      </c>
      <c r="JN16" s="180">
        <v>24998.477819189844</v>
      </c>
      <c r="JO16" s="180">
        <v>25457.156872197291</v>
      </c>
      <c r="JP16" s="181">
        <v>24891.374475229808</v>
      </c>
      <c r="JQ16" s="180">
        <v>25521.953698315807</v>
      </c>
      <c r="JR16" s="180">
        <v>25563.819719857813</v>
      </c>
      <c r="JS16" s="180">
        <v>25732.782108493248</v>
      </c>
      <c r="JT16" s="180">
        <v>25341.069036428817</v>
      </c>
      <c r="JU16" s="180">
        <v>25407.306319777341</v>
      </c>
      <c r="JV16" s="181">
        <v>25661.142089229863</v>
      </c>
      <c r="JW16" s="180">
        <v>24503.23918310392</v>
      </c>
      <c r="JX16" s="180">
        <v>23431.509220720665</v>
      </c>
      <c r="JY16" s="180">
        <v>23166.63339817811</v>
      </c>
      <c r="JZ16" s="180">
        <v>22973.425940972393</v>
      </c>
      <c r="KA16" s="180">
        <v>22942.445784245472</v>
      </c>
      <c r="KB16" s="180">
        <v>22466.929460686268</v>
      </c>
      <c r="KC16" s="180">
        <v>22884.751857901512</v>
      </c>
    </row>
    <row r="17" spans="1:289">
      <c r="A17" s="173" t="s">
        <v>41</v>
      </c>
      <c r="B17" s="100">
        <v>22912</v>
      </c>
      <c r="C17" s="100">
        <v>23597</v>
      </c>
      <c r="D17" s="99">
        <v>23379</v>
      </c>
      <c r="E17" s="99">
        <v>23837</v>
      </c>
      <c r="F17" s="99">
        <v>23032</v>
      </c>
      <c r="G17" s="99">
        <v>23386</v>
      </c>
      <c r="H17" s="100">
        <v>24502</v>
      </c>
      <c r="I17" s="99">
        <v>24198</v>
      </c>
      <c r="J17" s="99">
        <v>24232</v>
      </c>
      <c r="K17" s="99">
        <v>23748</v>
      </c>
      <c r="L17" s="99">
        <v>23740</v>
      </c>
      <c r="M17" s="99">
        <v>23810</v>
      </c>
      <c r="N17" s="99">
        <v>23735</v>
      </c>
      <c r="O17" s="99">
        <v>23523</v>
      </c>
      <c r="P17" s="99">
        <v>23848</v>
      </c>
      <c r="Q17" s="99">
        <v>24186</v>
      </c>
      <c r="R17" s="99">
        <v>24795</v>
      </c>
      <c r="S17" s="99">
        <v>24505</v>
      </c>
      <c r="T17" s="99">
        <v>25478</v>
      </c>
      <c r="U17" s="99">
        <v>27321</v>
      </c>
      <c r="V17" s="99">
        <v>26158</v>
      </c>
      <c r="W17" s="99">
        <v>26502</v>
      </c>
      <c r="X17" s="546">
        <v>28110</v>
      </c>
      <c r="Y17" s="180">
        <v>26238.438300201306</v>
      </c>
      <c r="Z17" s="180">
        <v>25422.510155151806</v>
      </c>
      <c r="AA17" s="180">
        <v>25344.483321226104</v>
      </c>
      <c r="AB17" s="180">
        <v>25314.544602436858</v>
      </c>
      <c r="AC17" s="180">
        <v>26492.044220209686</v>
      </c>
      <c r="AD17" s="181">
        <v>25593.06211157138</v>
      </c>
      <c r="AE17" s="180">
        <v>25270.346592165639</v>
      </c>
      <c r="AF17" s="180">
        <v>24433.948357866062</v>
      </c>
      <c r="AG17" s="180">
        <v>24654.194981021472</v>
      </c>
      <c r="AH17" s="180">
        <v>24556.842433200214</v>
      </c>
      <c r="AI17" s="180">
        <v>25354.792805008688</v>
      </c>
      <c r="AJ17" s="181">
        <v>26856.063320020945</v>
      </c>
      <c r="AK17" s="180">
        <v>25770.260685373447</v>
      </c>
      <c r="AL17" s="180">
        <v>24530.491527277234</v>
      </c>
      <c r="AM17" s="180">
        <v>22853.210705717687</v>
      </c>
      <c r="AN17" s="180">
        <v>22692.720048534164</v>
      </c>
      <c r="AO17" s="180">
        <v>22083.835097215517</v>
      </c>
      <c r="AP17" s="180">
        <v>22079.168530790979</v>
      </c>
      <c r="AQ17" s="180">
        <v>22124.105759211732</v>
      </c>
      <c r="AR17" s="533">
        <f t="shared" si="25"/>
        <v>215</v>
      </c>
      <c r="AS17" s="534">
        <f t="shared" si="26"/>
        <v>188</v>
      </c>
      <c r="AT17" s="534">
        <f t="shared" si="27"/>
        <v>218</v>
      </c>
      <c r="AU17" s="534">
        <f t="shared" si="28"/>
        <v>256</v>
      </c>
      <c r="AV17" s="534">
        <f t="shared" si="29"/>
        <v>134</v>
      </c>
      <c r="AW17" s="534">
        <f t="shared" si="30"/>
        <v>166</v>
      </c>
      <c r="AX17" s="534">
        <f t="shared" si="31"/>
        <v>169</v>
      </c>
      <c r="AY17" s="534">
        <f t="shared" si="32"/>
        <v>203</v>
      </c>
      <c r="AZ17" s="534">
        <f t="shared" si="33"/>
        <v>174</v>
      </c>
      <c r="BA17" s="534">
        <f t="shared" si="34"/>
        <v>206</v>
      </c>
      <c r="BB17" s="534">
        <f t="shared" si="35"/>
        <v>251</v>
      </c>
      <c r="BC17" s="534">
        <f t="shared" si="36"/>
        <v>247</v>
      </c>
      <c r="BD17" s="534">
        <f t="shared" si="37"/>
        <v>232</v>
      </c>
      <c r="BE17" s="534">
        <f t="shared" si="38"/>
        <v>272</v>
      </c>
      <c r="BF17" s="534">
        <f t="shared" si="39"/>
        <v>223</v>
      </c>
      <c r="BG17" s="534">
        <f t="shared" si="40"/>
        <v>282</v>
      </c>
      <c r="BH17" s="534">
        <f t="shared" si="41"/>
        <v>320</v>
      </c>
      <c r="BI17" s="534">
        <f t="shared" si="42"/>
        <v>278</v>
      </c>
      <c r="BJ17" s="534">
        <f t="shared" si="43"/>
        <v>297.07269889692651</v>
      </c>
      <c r="BK17" s="534">
        <f t="shared" si="44"/>
        <v>349</v>
      </c>
      <c r="BL17" s="534">
        <f t="shared" si="45"/>
        <v>293.63966212428141</v>
      </c>
      <c r="BM17" s="534">
        <f t="shared" si="46"/>
        <v>349.045697554752</v>
      </c>
      <c r="BN17" s="186">
        <f t="shared" si="47"/>
        <v>358.54175244829253</v>
      </c>
      <c r="BO17" s="186">
        <f t="shared" si="48"/>
        <v>374.17849449520753</v>
      </c>
      <c r="BP17" s="186">
        <f t="shared" si="49"/>
        <v>340.10755146833287</v>
      </c>
      <c r="BQ17" s="186">
        <f t="shared" si="50"/>
        <v>363.09957742392498</v>
      </c>
      <c r="BR17" s="186">
        <f t="shared" si="51"/>
        <v>424.30991946818909</v>
      </c>
      <c r="BS17" s="186">
        <f t="shared" si="52"/>
        <v>412.53368963643135</v>
      </c>
      <c r="BT17" s="186">
        <f t="shared" si="53"/>
        <v>428.34710052384355</v>
      </c>
      <c r="BU17" s="186">
        <f t="shared" si="54"/>
        <v>396.08032906320926</v>
      </c>
      <c r="BV17" s="186">
        <f t="shared" si="55"/>
        <v>430.16389008939575</v>
      </c>
      <c r="BW17" s="186">
        <f t="shared" si="56"/>
        <v>439.69609182868101</v>
      </c>
      <c r="BX17" s="186">
        <f t="shared" si="57"/>
        <v>441.77844834581384</v>
      </c>
      <c r="BY17" s="186">
        <f t="shared" si="58"/>
        <v>457.15533412622153</v>
      </c>
      <c r="BZ17" s="186">
        <f t="shared" si="59"/>
        <v>481.36692957658272</v>
      </c>
      <c r="CA17" s="186">
        <f t="shared" si="60"/>
        <v>505.58606180637901</v>
      </c>
      <c r="CB17" s="186">
        <f t="shared" si="61"/>
        <v>452.70788259108826</v>
      </c>
      <c r="CC17" s="186">
        <f t="shared" si="62"/>
        <v>430.48272062749783</v>
      </c>
      <c r="CD17" s="186">
        <f t="shared" si="63"/>
        <v>456.35845822750753</v>
      </c>
      <c r="CE17" s="186">
        <f t="shared" si="64"/>
        <v>474.80419192892862</v>
      </c>
      <c r="CF17" s="186">
        <f t="shared" si="65"/>
        <v>496.34929244738441</v>
      </c>
      <c r="CG17" s="100">
        <v>65</v>
      </c>
      <c r="CH17" s="100">
        <v>52</v>
      </c>
      <c r="CI17" s="99">
        <v>58</v>
      </c>
      <c r="CJ17" s="99">
        <v>74</v>
      </c>
      <c r="CK17" s="99">
        <v>19</v>
      </c>
      <c r="CL17" s="99">
        <v>23</v>
      </c>
      <c r="CM17" s="100">
        <v>28</v>
      </c>
      <c r="CN17" s="99">
        <v>25</v>
      </c>
      <c r="CO17" s="99">
        <v>22</v>
      </c>
      <c r="CP17" s="99">
        <v>16</v>
      </c>
      <c r="CQ17" s="99">
        <v>32</v>
      </c>
      <c r="CR17" s="99">
        <v>31</v>
      </c>
      <c r="CS17" s="99">
        <v>20</v>
      </c>
      <c r="CT17" s="99">
        <v>32</v>
      </c>
      <c r="CU17" s="99">
        <v>29</v>
      </c>
      <c r="CV17" s="99">
        <v>39</v>
      </c>
      <c r="CW17" s="99">
        <v>40</v>
      </c>
      <c r="CX17" s="99">
        <v>37</v>
      </c>
      <c r="CY17" s="99">
        <v>40.009502014149504</v>
      </c>
      <c r="CZ17" s="99">
        <v>39</v>
      </c>
      <c r="DA17" s="99">
        <v>29.073686330214649</v>
      </c>
      <c r="DB17" s="99">
        <v>44.118260467532799</v>
      </c>
      <c r="DC17" s="180">
        <v>42.504607287905458</v>
      </c>
      <c r="DD17" s="180">
        <v>49.776736105299413</v>
      </c>
      <c r="DE17" s="180">
        <v>45.905003652771327</v>
      </c>
      <c r="DF17" s="180">
        <v>36.621838007886112</v>
      </c>
      <c r="DG17" s="180">
        <v>53.568070245126101</v>
      </c>
      <c r="DH17" s="181">
        <v>42.532020901538367</v>
      </c>
      <c r="DI17" s="180">
        <v>48.370593601743025</v>
      </c>
      <c r="DJ17" s="180">
        <v>54.645589811822262</v>
      </c>
      <c r="DK17" s="180">
        <v>49.17349824882676</v>
      </c>
      <c r="DL17" s="180">
        <v>44.606175282903713</v>
      </c>
      <c r="DM17" s="180">
        <v>57.291061291746267</v>
      </c>
      <c r="DN17" s="181">
        <v>55.05230855465102</v>
      </c>
      <c r="DO17" s="180">
        <v>50.911066678726087</v>
      </c>
      <c r="DP17" s="180">
        <v>58.046737438938031</v>
      </c>
      <c r="DQ17" s="180">
        <v>46.253639996226553</v>
      </c>
      <c r="DR17" s="180">
        <v>49.277298504068135</v>
      </c>
      <c r="DS17" s="180">
        <v>42.965611932244627</v>
      </c>
      <c r="DT17" s="180">
        <v>40.560009346678825</v>
      </c>
      <c r="DU17" s="180">
        <v>35.781538654671287</v>
      </c>
      <c r="DV17" s="100">
        <v>150</v>
      </c>
      <c r="DW17" s="100">
        <v>136</v>
      </c>
      <c r="DX17" s="99">
        <v>160</v>
      </c>
      <c r="DY17" s="99">
        <v>182</v>
      </c>
      <c r="DZ17" s="99">
        <v>115</v>
      </c>
      <c r="EA17" s="99">
        <v>143</v>
      </c>
      <c r="EB17" s="100">
        <v>141</v>
      </c>
      <c r="EC17" s="99">
        <v>178</v>
      </c>
      <c r="ED17" s="99">
        <v>152</v>
      </c>
      <c r="EE17" s="99">
        <v>190</v>
      </c>
      <c r="EF17" s="99">
        <v>219</v>
      </c>
      <c r="EG17" s="99">
        <v>216</v>
      </c>
      <c r="EH17" s="99">
        <v>212</v>
      </c>
      <c r="EI17" s="99">
        <v>240</v>
      </c>
      <c r="EJ17" s="99">
        <v>194</v>
      </c>
      <c r="EK17" s="99">
        <v>243</v>
      </c>
      <c r="EL17" s="99">
        <v>280</v>
      </c>
      <c r="EM17" s="99">
        <v>241</v>
      </c>
      <c r="EN17" s="99">
        <v>257.06319688277699</v>
      </c>
      <c r="EO17" s="99">
        <v>310</v>
      </c>
      <c r="EP17" s="99">
        <v>264.56597579406679</v>
      </c>
      <c r="EQ17" s="99">
        <v>304.92743708721918</v>
      </c>
      <c r="ER17" s="180">
        <v>316.03714516038707</v>
      </c>
      <c r="ES17" s="180">
        <v>324.40175838990814</v>
      </c>
      <c r="ET17" s="180">
        <v>294.20254781556156</v>
      </c>
      <c r="EU17" s="180">
        <v>326.47773941603884</v>
      </c>
      <c r="EV17" s="180">
        <v>370.74184922306301</v>
      </c>
      <c r="EW17" s="181">
        <v>370.00166873489297</v>
      </c>
      <c r="EX17" s="180">
        <v>379.97650692210055</v>
      </c>
      <c r="EY17" s="180">
        <v>341.43473925138699</v>
      </c>
      <c r="EZ17" s="180">
        <v>380.99039184056898</v>
      </c>
      <c r="FA17" s="180">
        <v>395.08991654577727</v>
      </c>
      <c r="FB17" s="180">
        <v>384.4873870540676</v>
      </c>
      <c r="FC17" s="181">
        <v>402.10302557157053</v>
      </c>
      <c r="FD17" s="180">
        <v>430.4558628978566</v>
      </c>
      <c r="FE17" s="180">
        <v>447.539324367441</v>
      </c>
      <c r="FF17" s="180">
        <v>406.45424259486168</v>
      </c>
      <c r="FG17" s="180">
        <v>381.20542212342968</v>
      </c>
      <c r="FH17" s="180">
        <v>413.39284629526293</v>
      </c>
      <c r="FI17" s="180">
        <v>434.24418258224978</v>
      </c>
      <c r="FJ17" s="180">
        <v>460.56775379271312</v>
      </c>
      <c r="FK17" s="100">
        <v>10495</v>
      </c>
      <c r="FL17" s="100">
        <v>10816</v>
      </c>
      <c r="FM17" s="99">
        <v>10756</v>
      </c>
      <c r="FN17" s="99">
        <v>11033</v>
      </c>
      <c r="FO17" s="99">
        <v>11005</v>
      </c>
      <c r="FP17" s="99">
        <v>11025</v>
      </c>
      <c r="FQ17" s="100">
        <v>11585</v>
      </c>
      <c r="FR17" s="99">
        <v>11474</v>
      </c>
      <c r="FS17" s="99">
        <v>11322</v>
      </c>
      <c r="FT17" s="99">
        <v>11158</v>
      </c>
      <c r="FU17" s="99">
        <v>11195</v>
      </c>
      <c r="FV17" s="99">
        <v>11023</v>
      </c>
      <c r="FW17" s="99">
        <v>11000</v>
      </c>
      <c r="FX17" s="99">
        <v>10938</v>
      </c>
      <c r="FY17" s="99">
        <v>11161</v>
      </c>
      <c r="FZ17" s="99">
        <v>11437</v>
      </c>
      <c r="GA17" s="99">
        <v>11660</v>
      </c>
      <c r="GB17" s="99">
        <v>11837</v>
      </c>
      <c r="GC17" s="99">
        <v>12167.896923338669</v>
      </c>
      <c r="GD17" s="99">
        <v>13561</v>
      </c>
      <c r="GE17" s="99">
        <v>12879.305820827114</v>
      </c>
      <c r="GF17" s="99">
        <v>12781.383809883893</v>
      </c>
      <c r="GG17" s="180">
        <v>12469.731654634199</v>
      </c>
      <c r="GH17" s="180">
        <v>12148.889688895939</v>
      </c>
      <c r="GI17" s="180">
        <v>12029.659050296657</v>
      </c>
      <c r="GJ17" s="180">
        <v>11812.735546766542</v>
      </c>
      <c r="GK17" s="180">
        <v>12540.367564089787</v>
      </c>
      <c r="GL17" s="181">
        <v>12023.071261647783</v>
      </c>
      <c r="GM17" s="180">
        <v>11835.464430437623</v>
      </c>
      <c r="GN17" s="180">
        <v>11236.575248872176</v>
      </c>
      <c r="GO17" s="180">
        <v>11249.590963201743</v>
      </c>
      <c r="GP17" s="180">
        <v>11346.114395461969</v>
      </c>
      <c r="GQ17" s="180">
        <v>11989.261324429504</v>
      </c>
      <c r="GR17" s="181">
        <v>12942.782798758437</v>
      </c>
      <c r="GS17" s="180">
        <v>12031.43789287459</v>
      </c>
      <c r="GT17" s="180">
        <v>11523.57590285993</v>
      </c>
      <c r="GU17" s="180">
        <v>10544.057373144222</v>
      </c>
      <c r="GV17" s="180">
        <v>10389.779309423891</v>
      </c>
      <c r="GW17" s="180">
        <v>9979.4332253387147</v>
      </c>
      <c r="GX17" s="180">
        <v>10066.483341307274</v>
      </c>
      <c r="GY17" s="180">
        <v>10023.690203787115</v>
      </c>
      <c r="GZ17" s="100">
        <v>50</v>
      </c>
      <c r="HA17" s="100">
        <v>47</v>
      </c>
      <c r="HB17" s="99">
        <v>40</v>
      </c>
      <c r="HC17" s="99">
        <v>35</v>
      </c>
      <c r="HD17" s="99">
        <v>40</v>
      </c>
      <c r="HE17" s="99">
        <v>40</v>
      </c>
      <c r="HF17" s="100">
        <v>51</v>
      </c>
      <c r="HG17" s="99">
        <v>57</v>
      </c>
      <c r="HH17" s="99">
        <v>55</v>
      </c>
      <c r="HI17" s="99">
        <v>87</v>
      </c>
      <c r="HJ17" s="99">
        <v>120</v>
      </c>
      <c r="HK17" s="99">
        <v>131</v>
      </c>
      <c r="HL17" s="99">
        <v>122</v>
      </c>
      <c r="HM17" s="99">
        <v>163</v>
      </c>
      <c r="HN17" s="99">
        <v>186</v>
      </c>
      <c r="HO17" s="99">
        <v>227</v>
      </c>
      <c r="HP17" s="99">
        <v>271</v>
      </c>
      <c r="HQ17" s="99">
        <v>313</v>
      </c>
      <c r="HR17" s="99">
        <v>325</v>
      </c>
      <c r="HS17" s="99">
        <v>399</v>
      </c>
      <c r="HT17" s="99">
        <v>469</v>
      </c>
      <c r="HU17" s="99">
        <v>448</v>
      </c>
      <c r="HV17" s="180">
        <v>584.37576346399601</v>
      </c>
      <c r="HW17" s="180">
        <v>547.09981207511839</v>
      </c>
      <c r="HX17" s="180">
        <v>558.58644887309811</v>
      </c>
      <c r="HY17" s="180">
        <v>628.86726546195905</v>
      </c>
      <c r="HZ17" s="180">
        <v>643.63453863403697</v>
      </c>
      <c r="IA17" s="181">
        <v>732.32364422161947</v>
      </c>
      <c r="IB17" s="180">
        <v>711.64763719482391</v>
      </c>
      <c r="IC17" s="180">
        <v>803.98398471136159</v>
      </c>
      <c r="ID17" s="180">
        <v>826.72235446454988</v>
      </c>
      <c r="IE17" s="180">
        <v>857.6626300459684</v>
      </c>
      <c r="IF17" s="180">
        <v>921.01458440836939</v>
      </c>
      <c r="IG17" s="181">
        <v>1014.868202985499</v>
      </c>
      <c r="IH17" s="180">
        <v>1347.6154673220235</v>
      </c>
      <c r="II17" s="180">
        <v>1072.390635499429</v>
      </c>
      <c r="IJ17" s="180">
        <v>979.3744768224376</v>
      </c>
      <c r="IK17" s="180">
        <v>890.30839312968601</v>
      </c>
      <c r="IL17" s="180">
        <v>860.86950533140657</v>
      </c>
      <c r="IM17" s="180">
        <v>1046.5571603652911</v>
      </c>
      <c r="IN17" s="180">
        <v>1071.9569470597994</v>
      </c>
      <c r="IO17" s="100">
        <v>12152</v>
      </c>
      <c r="IP17" s="100">
        <v>12546</v>
      </c>
      <c r="IQ17" s="99">
        <v>12365</v>
      </c>
      <c r="IR17" s="99">
        <v>12513</v>
      </c>
      <c r="IS17" s="99">
        <v>11853</v>
      </c>
      <c r="IT17" s="99">
        <v>12155</v>
      </c>
      <c r="IU17" s="100">
        <v>12697</v>
      </c>
      <c r="IV17" s="99">
        <v>12464</v>
      </c>
      <c r="IW17" s="99">
        <v>12681</v>
      </c>
      <c r="IX17" s="99">
        <v>12297</v>
      </c>
      <c r="IY17" s="99">
        <v>12174</v>
      </c>
      <c r="IZ17" s="99">
        <v>12409</v>
      </c>
      <c r="JA17" s="99">
        <v>12362</v>
      </c>
      <c r="JB17" s="99">
        <v>12150</v>
      </c>
      <c r="JC17" s="99">
        <v>12278</v>
      </c>
      <c r="JD17" s="99">
        <v>12240</v>
      </c>
      <c r="JE17" s="99">
        <v>12544</v>
      </c>
      <c r="JF17" s="99">
        <v>12079</v>
      </c>
      <c r="JG17" s="99">
        <v>12688.030377764404</v>
      </c>
      <c r="JH17" s="99">
        <v>13009</v>
      </c>
      <c r="JI17" s="99">
        <v>12510.054517048604</v>
      </c>
      <c r="JJ17" s="99">
        <v>12923.570492561355</v>
      </c>
      <c r="JK17" s="180">
        <v>12855.243437970708</v>
      </c>
      <c r="JL17" s="180">
        <v>12367.317657633404</v>
      </c>
      <c r="JM17" s="180">
        <v>12444.824326159624</v>
      </c>
      <c r="JN17" s="180">
        <v>12577.111123617608</v>
      </c>
      <c r="JO17" s="180">
        <v>12928.600710660243</v>
      </c>
      <c r="JP17" s="181">
        <v>12483.727423478884</v>
      </c>
      <c r="JQ17" s="180">
        <v>12357.30813335544</v>
      </c>
      <c r="JR17" s="180">
        <v>12075.05104062477</v>
      </c>
      <c r="JS17" s="180">
        <v>12247.695674275106</v>
      </c>
      <c r="JT17" s="180">
        <v>12000.464173870894</v>
      </c>
      <c r="JU17" s="180">
        <v>12054.334980712392</v>
      </c>
      <c r="JV17" s="181">
        <v>12463.851723878855</v>
      </c>
      <c r="JW17" s="180">
        <v>12189.286216285687</v>
      </c>
      <c r="JX17" s="180">
        <v>11594.156621336806</v>
      </c>
      <c r="JY17" s="180">
        <v>11000.52913427203</v>
      </c>
      <c r="JZ17" s="180">
        <v>11041.855343360288</v>
      </c>
      <c r="KA17" s="180">
        <v>10871.164001102878</v>
      </c>
      <c r="KB17" s="180">
        <v>10644.155716863233</v>
      </c>
      <c r="KC17" s="180">
        <v>10704.275426516822</v>
      </c>
    </row>
    <row r="18" spans="1:289">
      <c r="A18" s="173" t="s">
        <v>42</v>
      </c>
      <c r="B18" s="100">
        <v>61157</v>
      </c>
      <c r="C18" s="100">
        <v>60460</v>
      </c>
      <c r="D18" s="99">
        <v>57738</v>
      </c>
      <c r="E18" s="99">
        <v>59540</v>
      </c>
      <c r="F18" s="99">
        <v>57014</v>
      </c>
      <c r="G18" s="99">
        <v>57886</v>
      </c>
      <c r="H18" s="100">
        <v>59292</v>
      </c>
      <c r="I18" s="99">
        <v>60081</v>
      </c>
      <c r="J18" s="99">
        <v>62140</v>
      </c>
      <c r="K18" s="99">
        <v>63288</v>
      </c>
      <c r="L18" s="99">
        <v>65955</v>
      </c>
      <c r="M18" s="99">
        <v>69696</v>
      </c>
      <c r="N18" s="99">
        <v>72126</v>
      </c>
      <c r="O18" s="99">
        <v>75010</v>
      </c>
      <c r="P18" s="99">
        <v>76710</v>
      </c>
      <c r="Q18" s="99">
        <v>76031</v>
      </c>
      <c r="R18" s="99">
        <v>83307</v>
      </c>
      <c r="S18" s="99">
        <v>86712</v>
      </c>
      <c r="T18" s="99">
        <v>88704</v>
      </c>
      <c r="U18" s="99">
        <v>89892</v>
      </c>
      <c r="V18" s="99">
        <v>93977</v>
      </c>
      <c r="W18" s="99">
        <v>94339</v>
      </c>
      <c r="X18" s="546">
        <v>106840</v>
      </c>
      <c r="Y18" s="180">
        <v>95686.810941161311</v>
      </c>
      <c r="Z18" s="180">
        <v>94597.87011520144</v>
      </c>
      <c r="AA18" s="180">
        <v>95760.185171692239</v>
      </c>
      <c r="AB18" s="180">
        <v>94666.650358143248</v>
      </c>
      <c r="AC18" s="180">
        <v>99272.389591455372</v>
      </c>
      <c r="AD18" s="181">
        <v>100793.89735121581</v>
      </c>
      <c r="AE18" s="180">
        <v>98629.283256319832</v>
      </c>
      <c r="AF18" s="180">
        <v>98395.777204251935</v>
      </c>
      <c r="AG18" s="180">
        <v>91194.816467879413</v>
      </c>
      <c r="AH18" s="180">
        <v>97531.010939077751</v>
      </c>
      <c r="AI18" s="180">
        <v>100087.84350376068</v>
      </c>
      <c r="AJ18" s="181">
        <v>102604.50000146092</v>
      </c>
      <c r="AK18" s="180">
        <v>103160.52483510881</v>
      </c>
      <c r="AL18" s="180">
        <v>99358.515920786609</v>
      </c>
      <c r="AM18" s="180">
        <v>96084.162339112867</v>
      </c>
      <c r="AN18" s="180">
        <v>94477.236441304151</v>
      </c>
      <c r="AO18" s="180">
        <v>94058.010974221601</v>
      </c>
      <c r="AP18" s="180">
        <v>93445.915006855037</v>
      </c>
      <c r="AQ18" s="180">
        <v>94946.817193165567</v>
      </c>
      <c r="AR18" s="533">
        <f t="shared" si="25"/>
        <v>1535</v>
      </c>
      <c r="AS18" s="534">
        <f t="shared" si="26"/>
        <v>1566</v>
      </c>
      <c r="AT18" s="534">
        <f t="shared" si="27"/>
        <v>1641</v>
      </c>
      <c r="AU18" s="534">
        <f t="shared" si="28"/>
        <v>1702</v>
      </c>
      <c r="AV18" s="534">
        <f t="shared" si="29"/>
        <v>1619</v>
      </c>
      <c r="AW18" s="534">
        <f t="shared" si="30"/>
        <v>1660</v>
      </c>
      <c r="AX18" s="534">
        <f t="shared" si="31"/>
        <v>1773</v>
      </c>
      <c r="AY18" s="534">
        <f t="shared" si="32"/>
        <v>1889</v>
      </c>
      <c r="AZ18" s="534">
        <f t="shared" si="33"/>
        <v>2042</v>
      </c>
      <c r="BA18" s="534">
        <f t="shared" si="34"/>
        <v>2095</v>
      </c>
      <c r="BB18" s="534">
        <f t="shared" si="35"/>
        <v>2123</v>
      </c>
      <c r="BC18" s="534">
        <f t="shared" si="36"/>
        <v>2343</v>
      </c>
      <c r="BD18" s="534">
        <f t="shared" si="37"/>
        <v>2493</v>
      </c>
      <c r="BE18" s="534">
        <f t="shared" si="38"/>
        <v>2569</v>
      </c>
      <c r="BF18" s="534">
        <f t="shared" si="39"/>
        <v>2628</v>
      </c>
      <c r="BG18" s="534">
        <f t="shared" si="40"/>
        <v>2685</v>
      </c>
      <c r="BH18" s="534">
        <f t="shared" si="41"/>
        <v>2954</v>
      </c>
      <c r="BI18" s="534">
        <f t="shared" si="42"/>
        <v>3190</v>
      </c>
      <c r="BJ18" s="534">
        <f t="shared" si="43"/>
        <v>3486</v>
      </c>
      <c r="BK18" s="534">
        <f t="shared" si="44"/>
        <v>3457.3756007270354</v>
      </c>
      <c r="BL18" s="534">
        <f t="shared" si="45"/>
        <v>3907.9211628836633</v>
      </c>
      <c r="BM18" s="534">
        <f t="shared" si="46"/>
        <v>4002.4420509383581</v>
      </c>
      <c r="BN18" s="186">
        <f t="shared" si="47"/>
        <v>4202.8957803285984</v>
      </c>
      <c r="BO18" s="186">
        <f t="shared" si="48"/>
        <v>4227.071369448151</v>
      </c>
      <c r="BP18" s="186">
        <f t="shared" si="49"/>
        <v>4452.3906190047255</v>
      </c>
      <c r="BQ18" s="186">
        <f t="shared" si="50"/>
        <v>4387.1057524856851</v>
      </c>
      <c r="BR18" s="186">
        <f t="shared" si="51"/>
        <v>4862.3442482920145</v>
      </c>
      <c r="BS18" s="186">
        <f t="shared" si="52"/>
        <v>4864.6853237263394</v>
      </c>
      <c r="BT18" s="186">
        <f t="shared" si="53"/>
        <v>5018.8320643862025</v>
      </c>
      <c r="BU18" s="186">
        <f t="shared" si="54"/>
        <v>5284.7530282577982</v>
      </c>
      <c r="BV18" s="186">
        <f t="shared" si="55"/>
        <v>5010.9244545766423</v>
      </c>
      <c r="BW18" s="186">
        <f t="shared" si="56"/>
        <v>5473.9482560158049</v>
      </c>
      <c r="BX18" s="186">
        <f t="shared" si="57"/>
        <v>5898.4232037553411</v>
      </c>
      <c r="BY18" s="186">
        <f t="shared" si="58"/>
        <v>6327.4442935315274</v>
      </c>
      <c r="BZ18" s="186">
        <f t="shared" si="59"/>
        <v>6394.7861743546773</v>
      </c>
      <c r="CA18" s="186">
        <f t="shared" si="60"/>
        <v>6458.9769300210864</v>
      </c>
      <c r="CB18" s="186">
        <f t="shared" si="61"/>
        <v>6484.4051252815216</v>
      </c>
      <c r="CC18" s="186">
        <f t="shared" si="62"/>
        <v>6490.7750583397328</v>
      </c>
      <c r="CD18" s="186">
        <f t="shared" si="63"/>
        <v>6948.4120320260245</v>
      </c>
      <c r="CE18" s="186">
        <f t="shared" si="64"/>
        <v>6900.0136129647999</v>
      </c>
      <c r="CF18" s="186">
        <f t="shared" si="65"/>
        <v>7421.1171638202541</v>
      </c>
      <c r="CG18" s="100">
        <v>824</v>
      </c>
      <c r="CH18" s="100">
        <v>784</v>
      </c>
      <c r="CI18" s="99">
        <v>780</v>
      </c>
      <c r="CJ18" s="99">
        <v>788</v>
      </c>
      <c r="CK18" s="99">
        <v>725</v>
      </c>
      <c r="CL18" s="99">
        <v>679</v>
      </c>
      <c r="CM18" s="100">
        <v>699</v>
      </c>
      <c r="CN18" s="99">
        <v>681</v>
      </c>
      <c r="CO18" s="99">
        <v>729</v>
      </c>
      <c r="CP18" s="99">
        <v>761</v>
      </c>
      <c r="CQ18" s="99">
        <v>713</v>
      </c>
      <c r="CR18" s="99">
        <v>760</v>
      </c>
      <c r="CS18" s="99">
        <v>834</v>
      </c>
      <c r="CT18" s="99">
        <v>852</v>
      </c>
      <c r="CU18" s="99">
        <v>857</v>
      </c>
      <c r="CV18" s="99">
        <v>861</v>
      </c>
      <c r="CW18" s="99">
        <v>1010</v>
      </c>
      <c r="CX18" s="99">
        <v>1102</v>
      </c>
      <c r="CY18" s="99">
        <v>1243</v>
      </c>
      <c r="CZ18" s="99">
        <v>1211.5776628196099</v>
      </c>
      <c r="DA18" s="99">
        <v>1344.6928801992763</v>
      </c>
      <c r="DB18" s="99">
        <v>1346.8036815156509</v>
      </c>
      <c r="DC18" s="180">
        <v>1393.8458020570054</v>
      </c>
      <c r="DD18" s="180">
        <v>1369.5328950629489</v>
      </c>
      <c r="DE18" s="180">
        <v>1443.7812125714488</v>
      </c>
      <c r="DF18" s="180">
        <v>1334.8401418123246</v>
      </c>
      <c r="DG18" s="180">
        <v>1466.4947419582668</v>
      </c>
      <c r="DH18" s="181">
        <v>1373.7467091055701</v>
      </c>
      <c r="DI18" s="180">
        <v>1328.1717344535805</v>
      </c>
      <c r="DJ18" s="180">
        <v>1350.7629230338673</v>
      </c>
      <c r="DK18" s="180">
        <v>1168.2648409791911</v>
      </c>
      <c r="DL18" s="180">
        <v>1234.8784530913608</v>
      </c>
      <c r="DM18" s="180">
        <v>1310.415699675345</v>
      </c>
      <c r="DN18" s="181">
        <v>1340.4912370007737</v>
      </c>
      <c r="DO18" s="180">
        <v>1354.284747947765</v>
      </c>
      <c r="DP18" s="180">
        <v>1369.0012446009762</v>
      </c>
      <c r="DQ18" s="180">
        <v>1328.9897241459396</v>
      </c>
      <c r="DR18" s="180">
        <v>1255.8659458314767</v>
      </c>
      <c r="DS18" s="180">
        <v>1251.3815179584319</v>
      </c>
      <c r="DT18" s="180">
        <v>1252.9662299353795</v>
      </c>
      <c r="DU18" s="180">
        <v>1224.0245362679038</v>
      </c>
      <c r="DV18" s="100">
        <v>711</v>
      </c>
      <c r="DW18" s="100">
        <v>782</v>
      </c>
      <c r="DX18" s="99">
        <v>861</v>
      </c>
      <c r="DY18" s="99">
        <v>914</v>
      </c>
      <c r="DZ18" s="99">
        <v>894</v>
      </c>
      <c r="EA18" s="99">
        <v>981</v>
      </c>
      <c r="EB18" s="100">
        <v>1074</v>
      </c>
      <c r="EC18" s="99">
        <v>1208</v>
      </c>
      <c r="ED18" s="99">
        <v>1313</v>
      </c>
      <c r="EE18" s="99">
        <v>1334</v>
      </c>
      <c r="EF18" s="99">
        <v>1410</v>
      </c>
      <c r="EG18" s="99">
        <v>1583</v>
      </c>
      <c r="EH18" s="99">
        <v>1659</v>
      </c>
      <c r="EI18" s="99">
        <v>1717</v>
      </c>
      <c r="EJ18" s="99">
        <v>1771</v>
      </c>
      <c r="EK18" s="99">
        <v>1824</v>
      </c>
      <c r="EL18" s="99">
        <v>1944</v>
      </c>
      <c r="EM18" s="99">
        <v>2088</v>
      </c>
      <c r="EN18" s="99">
        <v>2243</v>
      </c>
      <c r="EO18" s="99">
        <v>2245.7979379074254</v>
      </c>
      <c r="EP18" s="99">
        <v>2563.2282826843871</v>
      </c>
      <c r="EQ18" s="99">
        <v>2655.6383694227075</v>
      </c>
      <c r="ER18" s="180">
        <v>2809.0499782715929</v>
      </c>
      <c r="ES18" s="180">
        <v>2857.5384743852023</v>
      </c>
      <c r="ET18" s="180">
        <v>3008.6094064332765</v>
      </c>
      <c r="EU18" s="180">
        <v>3052.2656106733607</v>
      </c>
      <c r="EV18" s="180">
        <v>3395.8495063337482</v>
      </c>
      <c r="EW18" s="181">
        <v>3490.9386146207694</v>
      </c>
      <c r="EX18" s="180">
        <v>3690.6603299326216</v>
      </c>
      <c r="EY18" s="180">
        <v>3933.9901052239311</v>
      </c>
      <c r="EZ18" s="180">
        <v>3842.6596135974514</v>
      </c>
      <c r="FA18" s="180">
        <v>4239.069802924444</v>
      </c>
      <c r="FB18" s="180">
        <v>4588.0075040799957</v>
      </c>
      <c r="FC18" s="181">
        <v>4986.9530565307532</v>
      </c>
      <c r="FD18" s="180">
        <v>5040.5014264069123</v>
      </c>
      <c r="FE18" s="180">
        <v>5089.9756854201105</v>
      </c>
      <c r="FF18" s="180">
        <v>5155.4154011355822</v>
      </c>
      <c r="FG18" s="180">
        <v>5234.9091125082559</v>
      </c>
      <c r="FH18" s="180">
        <v>5697.0305140675928</v>
      </c>
      <c r="FI18" s="180">
        <v>5647.0473830294204</v>
      </c>
      <c r="FJ18" s="180">
        <v>6197.0926275523507</v>
      </c>
      <c r="FK18" s="100">
        <v>17194</v>
      </c>
      <c r="FL18" s="100">
        <v>16960</v>
      </c>
      <c r="FM18" s="99">
        <v>15923</v>
      </c>
      <c r="FN18" s="99">
        <v>16266</v>
      </c>
      <c r="FO18" s="99">
        <v>15441</v>
      </c>
      <c r="FP18" s="99">
        <v>15807</v>
      </c>
      <c r="FQ18" s="100">
        <v>15873</v>
      </c>
      <c r="FR18" s="99">
        <v>16144</v>
      </c>
      <c r="FS18" s="99">
        <v>16592</v>
      </c>
      <c r="FT18" s="99">
        <v>16810</v>
      </c>
      <c r="FU18" s="99">
        <v>17385</v>
      </c>
      <c r="FV18" s="99">
        <v>18600</v>
      </c>
      <c r="FW18" s="99">
        <v>19685</v>
      </c>
      <c r="FX18" s="99">
        <v>21155</v>
      </c>
      <c r="FY18" s="99">
        <v>20841</v>
      </c>
      <c r="FZ18" s="99">
        <v>20526</v>
      </c>
      <c r="GA18" s="99">
        <v>23002</v>
      </c>
      <c r="GB18" s="99">
        <v>24103</v>
      </c>
      <c r="GC18" s="99">
        <v>25181</v>
      </c>
      <c r="GD18" s="99">
        <v>25909.324687031451</v>
      </c>
      <c r="GE18" s="99">
        <v>27221.988728930923</v>
      </c>
      <c r="GF18" s="99">
        <v>26430.570908620284</v>
      </c>
      <c r="GG18" s="180">
        <v>26100.878765357713</v>
      </c>
      <c r="GH18" s="180">
        <v>25331.69641188849</v>
      </c>
      <c r="GI18" s="180">
        <v>24978.961865144043</v>
      </c>
      <c r="GJ18" s="180">
        <v>24101.238290183999</v>
      </c>
      <c r="GK18" s="180">
        <v>25113.961946238971</v>
      </c>
      <c r="GL18" s="181">
        <v>25097.375227556655</v>
      </c>
      <c r="GM18" s="180">
        <v>23839.172549716735</v>
      </c>
      <c r="GN18" s="180">
        <v>22849.232858789172</v>
      </c>
      <c r="GO18" s="180">
        <v>20616.692259503558</v>
      </c>
      <c r="GP18" s="180">
        <v>22148.125745494908</v>
      </c>
      <c r="GQ18" s="180">
        <v>22795.851610566799</v>
      </c>
      <c r="GR18" s="181">
        <v>23083.899323022779</v>
      </c>
      <c r="GS18" s="180">
        <v>24219.505991227765</v>
      </c>
      <c r="GT18" s="180">
        <v>23346.995148326016</v>
      </c>
      <c r="GU18" s="180">
        <v>22357.52906392248</v>
      </c>
      <c r="GV18" s="180">
        <v>21970.814122315169</v>
      </c>
      <c r="GW18" s="180">
        <v>21861.565747943558</v>
      </c>
      <c r="GX18" s="180">
        <v>22292.394269041644</v>
      </c>
      <c r="GY18" s="180">
        <v>22326.967228338617</v>
      </c>
      <c r="GZ18" s="100">
        <v>368</v>
      </c>
      <c r="HA18" s="100">
        <v>391</v>
      </c>
      <c r="HB18" s="99">
        <v>461</v>
      </c>
      <c r="HC18" s="99">
        <v>496</v>
      </c>
      <c r="HD18" s="99">
        <v>584</v>
      </c>
      <c r="HE18" s="99">
        <v>662</v>
      </c>
      <c r="HF18" s="100">
        <v>804</v>
      </c>
      <c r="HG18" s="99">
        <v>929</v>
      </c>
      <c r="HH18" s="99">
        <v>1061</v>
      </c>
      <c r="HI18" s="99">
        <v>1264</v>
      </c>
      <c r="HJ18" s="99">
        <v>1559</v>
      </c>
      <c r="HK18" s="99">
        <v>1926</v>
      </c>
      <c r="HL18" s="99">
        <v>2291</v>
      </c>
      <c r="HM18" s="99">
        <v>2864</v>
      </c>
      <c r="HN18" s="99">
        <v>3114</v>
      </c>
      <c r="HO18" s="99">
        <v>3364</v>
      </c>
      <c r="HP18" s="99">
        <v>4228</v>
      </c>
      <c r="HQ18" s="99">
        <v>5067</v>
      </c>
      <c r="HR18" s="99">
        <v>5681</v>
      </c>
      <c r="HS18" s="99">
        <v>6924</v>
      </c>
      <c r="HT18" s="99">
        <v>8136</v>
      </c>
      <c r="HU18" s="99">
        <v>9078</v>
      </c>
      <c r="HV18" s="180">
        <v>10000.614443250412</v>
      </c>
      <c r="HW18" s="180">
        <v>10467.422353786122</v>
      </c>
      <c r="HX18" s="180">
        <v>11221.098555481794</v>
      </c>
      <c r="HY18" s="180">
        <v>11479.170751559304</v>
      </c>
      <c r="HZ18" s="180">
        <v>13172.137507140937</v>
      </c>
      <c r="IA18" s="181">
        <v>14489.318525582577</v>
      </c>
      <c r="IB18" s="180">
        <v>15131.113165074576</v>
      </c>
      <c r="IC18" s="180">
        <v>15642.458974499788</v>
      </c>
      <c r="ID18" s="180">
        <v>14961.729568693396</v>
      </c>
      <c r="IE18" s="180">
        <v>17225.013840827498</v>
      </c>
      <c r="IF18" s="180">
        <v>18603.420559475049</v>
      </c>
      <c r="IG18" s="181">
        <v>19939.711296070007</v>
      </c>
      <c r="IH18" s="180">
        <v>19472.566504107977</v>
      </c>
      <c r="II18" s="180">
        <v>17931.47709107941</v>
      </c>
      <c r="IJ18" s="180">
        <v>16667.494693541103</v>
      </c>
      <c r="IK18" s="180">
        <v>16235.112708871864</v>
      </c>
      <c r="IL18" s="180">
        <v>16042.343042546141</v>
      </c>
      <c r="IM18" s="180">
        <v>15634.095568466124</v>
      </c>
      <c r="IN18" s="180">
        <v>15858.428315640178</v>
      </c>
      <c r="IO18" s="100">
        <v>42060</v>
      </c>
      <c r="IP18" s="100">
        <v>41543</v>
      </c>
      <c r="IQ18" s="99">
        <v>39713</v>
      </c>
      <c r="IR18" s="99">
        <v>41076</v>
      </c>
      <c r="IS18" s="99">
        <v>39370</v>
      </c>
      <c r="IT18" s="99">
        <v>39757</v>
      </c>
      <c r="IU18" s="100">
        <v>40842</v>
      </c>
      <c r="IV18" s="99">
        <v>41119</v>
      </c>
      <c r="IW18" s="99">
        <v>42445</v>
      </c>
      <c r="IX18" s="99">
        <v>43119</v>
      </c>
      <c r="IY18" s="99">
        <v>44888</v>
      </c>
      <c r="IZ18" s="99">
        <v>46827</v>
      </c>
      <c r="JA18" s="99">
        <v>47657</v>
      </c>
      <c r="JB18" s="99">
        <v>48422</v>
      </c>
      <c r="JC18" s="99">
        <v>48324</v>
      </c>
      <c r="JD18" s="99">
        <v>48226</v>
      </c>
      <c r="JE18" s="99">
        <v>51582</v>
      </c>
      <c r="JF18" s="99">
        <v>52487</v>
      </c>
      <c r="JG18" s="99">
        <v>52339</v>
      </c>
      <c r="JH18" s="99">
        <v>53601.299712241511</v>
      </c>
      <c r="JI18" s="99">
        <v>54711.09010818541</v>
      </c>
      <c r="JJ18" s="99">
        <v>54827.98704044136</v>
      </c>
      <c r="JK18" s="180">
        <v>54826.690092926903</v>
      </c>
      <c r="JL18" s="180">
        <v>54146.897984297109</v>
      </c>
      <c r="JM18" s="180">
        <v>55057.131949544448</v>
      </c>
      <c r="JN18" s="180">
        <v>54807.447848350814</v>
      </c>
      <c r="JO18" s="180">
        <v>56235.691011008639</v>
      </c>
      <c r="JP18" s="181">
        <v>56533.403469238583</v>
      </c>
      <c r="JQ18" s="180">
        <v>55090.340595625588</v>
      </c>
      <c r="JR18" s="180">
        <v>55381.017410009823</v>
      </c>
      <c r="JS18" s="180">
        <v>51569.752715714116</v>
      </c>
      <c r="JT18" s="180">
        <v>53847.079725326483</v>
      </c>
      <c r="JU18" s="180">
        <v>54101.965825099171</v>
      </c>
      <c r="JV18" s="181">
        <v>54844.52220656204</v>
      </c>
      <c r="JW18" s="180">
        <v>54779.954852010473</v>
      </c>
      <c r="JX18" s="180">
        <v>53191.221123990988</v>
      </c>
      <c r="JY18" s="180">
        <v>52053.141298087197</v>
      </c>
      <c r="JZ18" s="180">
        <v>51218.16446142739</v>
      </c>
      <c r="KA18" s="180">
        <v>50805.205561251598</v>
      </c>
      <c r="KB18" s="180">
        <v>50178.888255743332</v>
      </c>
      <c r="KC18" s="180">
        <v>51099.700641372772</v>
      </c>
    </row>
    <row r="19" spans="1:289">
      <c r="A19" s="173" t="s">
        <v>43</v>
      </c>
      <c r="B19" s="100">
        <v>32670</v>
      </c>
      <c r="C19" s="100">
        <v>30531.428996427174</v>
      </c>
      <c r="D19" s="99">
        <v>31872</v>
      </c>
      <c r="E19" s="99">
        <v>33804</v>
      </c>
      <c r="F19" s="99">
        <v>33060</v>
      </c>
      <c r="G19" s="99">
        <v>33536</v>
      </c>
      <c r="H19" s="100">
        <v>35213</v>
      </c>
      <c r="I19" s="99">
        <v>36556</v>
      </c>
      <c r="J19" s="99">
        <v>37646</v>
      </c>
      <c r="K19" s="99">
        <v>37458</v>
      </c>
      <c r="L19" s="99">
        <v>36852</v>
      </c>
      <c r="M19" s="99">
        <v>36694</v>
      </c>
      <c r="N19" s="99">
        <v>36799</v>
      </c>
      <c r="O19" s="99">
        <v>36227</v>
      </c>
      <c r="P19" s="99">
        <v>36497</v>
      </c>
      <c r="Q19" s="99">
        <v>37100</v>
      </c>
      <c r="R19" s="99">
        <v>37630</v>
      </c>
      <c r="S19" s="99">
        <v>37219</v>
      </c>
      <c r="T19" s="99">
        <v>38503</v>
      </c>
      <c r="U19" s="99">
        <v>37744</v>
      </c>
      <c r="V19" s="99">
        <v>37305</v>
      </c>
      <c r="W19" s="99">
        <v>37033</v>
      </c>
      <c r="X19" s="546">
        <v>43150</v>
      </c>
      <c r="Y19" s="180">
        <v>37472.558487144495</v>
      </c>
      <c r="Z19" s="180">
        <v>37892.214326332592</v>
      </c>
      <c r="AA19" s="180">
        <v>38847.336509009205</v>
      </c>
      <c r="AB19" s="180">
        <v>39038.995142877633</v>
      </c>
      <c r="AC19" s="180">
        <v>39885.457207766529</v>
      </c>
      <c r="AD19" s="181">
        <v>40063.496543763977</v>
      </c>
      <c r="AE19" s="180">
        <v>40018.746929566289</v>
      </c>
      <c r="AF19" s="180">
        <v>40546.624382932489</v>
      </c>
      <c r="AG19" s="180">
        <v>40858.821015504662</v>
      </c>
      <c r="AH19" s="180">
        <v>41060.246313783937</v>
      </c>
      <c r="AI19" s="180">
        <v>41944.113373750959</v>
      </c>
      <c r="AJ19" s="181">
        <v>43491.45826535693</v>
      </c>
      <c r="AK19" s="180">
        <v>43280.582679971587</v>
      </c>
      <c r="AL19" s="180">
        <v>43060.521773407381</v>
      </c>
      <c r="AM19" s="180">
        <v>41956.722115620141</v>
      </c>
      <c r="AN19" s="180">
        <v>41143.301130589018</v>
      </c>
      <c r="AO19" s="180">
        <v>41590.873227363591</v>
      </c>
      <c r="AP19" s="180">
        <v>42084.902808300198</v>
      </c>
      <c r="AQ19" s="180">
        <v>42050.927697450948</v>
      </c>
      <c r="AR19" s="533">
        <f t="shared" si="25"/>
        <v>4152</v>
      </c>
      <c r="AS19" s="534">
        <f t="shared" si="26"/>
        <v>4358.9394315213058</v>
      </c>
      <c r="AT19" s="534">
        <f t="shared" si="27"/>
        <v>4536</v>
      </c>
      <c r="AU19" s="534">
        <f t="shared" si="28"/>
        <v>5456</v>
      </c>
      <c r="AV19" s="534">
        <f t="shared" si="29"/>
        <v>5080</v>
      </c>
      <c r="AW19" s="534">
        <f t="shared" si="30"/>
        <v>5073</v>
      </c>
      <c r="AX19" s="534">
        <f t="shared" si="31"/>
        <v>5587</v>
      </c>
      <c r="AY19" s="534">
        <f t="shared" si="32"/>
        <v>5782</v>
      </c>
      <c r="AZ19" s="534">
        <f t="shared" si="33"/>
        <v>6303</v>
      </c>
      <c r="BA19" s="534">
        <f t="shared" si="34"/>
        <v>6657</v>
      </c>
      <c r="BB19" s="534">
        <f t="shared" si="35"/>
        <v>6606</v>
      </c>
      <c r="BC19" s="534">
        <f t="shared" si="36"/>
        <v>6779</v>
      </c>
      <c r="BD19" s="534">
        <f t="shared" si="37"/>
        <v>7008</v>
      </c>
      <c r="BE19" s="534">
        <f t="shared" si="38"/>
        <v>7127</v>
      </c>
      <c r="BF19" s="534">
        <f t="shared" si="39"/>
        <v>7226</v>
      </c>
      <c r="BG19" s="534">
        <f t="shared" si="40"/>
        <v>7586</v>
      </c>
      <c r="BH19" s="534">
        <f t="shared" si="41"/>
        <v>7637</v>
      </c>
      <c r="BI19" s="534">
        <f t="shared" si="42"/>
        <v>7936</v>
      </c>
      <c r="BJ19" s="534">
        <f t="shared" si="43"/>
        <v>8344</v>
      </c>
      <c r="BK19" s="534">
        <f t="shared" si="44"/>
        <v>8033.0666476362167</v>
      </c>
      <c r="BL19" s="534">
        <f t="shared" si="45"/>
        <v>7801.9771070305296</v>
      </c>
      <c r="BM19" s="534">
        <f t="shared" si="46"/>
        <v>7655.0881986860204</v>
      </c>
      <c r="BN19" s="186">
        <f t="shared" si="47"/>
        <v>7435.0077482960414</v>
      </c>
      <c r="BO19" s="186">
        <f t="shared" si="48"/>
        <v>7390.241318025669</v>
      </c>
      <c r="BP19" s="186">
        <f t="shared" si="49"/>
        <v>7429.4249081197413</v>
      </c>
      <c r="BQ19" s="186">
        <f t="shared" si="50"/>
        <v>7391.5180868563784</v>
      </c>
      <c r="BR19" s="186">
        <f t="shared" si="51"/>
        <v>7331.6085414616064</v>
      </c>
      <c r="BS19" s="186">
        <f t="shared" si="52"/>
        <v>7216.0693547246683</v>
      </c>
      <c r="BT19" s="186">
        <f t="shared" si="53"/>
        <v>6931.4435972564306</v>
      </c>
      <c r="BU19" s="186">
        <f t="shared" si="54"/>
        <v>6727.6190915162579</v>
      </c>
      <c r="BV19" s="186">
        <f t="shared" si="55"/>
        <v>6682.6267258964181</v>
      </c>
      <c r="BW19" s="186">
        <f t="shared" si="56"/>
        <v>6427.8456887912471</v>
      </c>
      <c r="BX19" s="186">
        <f t="shared" si="57"/>
        <v>6403.2612114479798</v>
      </c>
      <c r="BY19" s="186">
        <f t="shared" si="58"/>
        <v>6217.8568286571772</v>
      </c>
      <c r="BZ19" s="186">
        <f t="shared" si="59"/>
        <v>7030.4589354739182</v>
      </c>
      <c r="CA19" s="186">
        <f t="shared" si="60"/>
        <v>6966.3145350389805</v>
      </c>
      <c r="CB19" s="186">
        <f t="shared" si="61"/>
        <v>6783.3485865593921</v>
      </c>
      <c r="CC19" s="186">
        <f t="shared" si="62"/>
        <v>6743.5775936272294</v>
      </c>
      <c r="CD19" s="186">
        <f t="shared" si="63"/>
        <v>6749.8953682782312</v>
      </c>
      <c r="CE19" s="186">
        <f t="shared" si="64"/>
        <v>6731.5060154422754</v>
      </c>
      <c r="CF19" s="186">
        <f t="shared" si="65"/>
        <v>6926.570563524614</v>
      </c>
      <c r="CG19" s="100">
        <v>3626</v>
      </c>
      <c r="CH19" s="100">
        <v>3958.2645450526411</v>
      </c>
      <c r="CI19" s="99">
        <v>3977</v>
      </c>
      <c r="CJ19" s="99">
        <v>4905</v>
      </c>
      <c r="CK19" s="99">
        <v>4477</v>
      </c>
      <c r="CL19" s="99">
        <v>4574</v>
      </c>
      <c r="CM19" s="100">
        <v>5047</v>
      </c>
      <c r="CN19" s="99">
        <v>5191</v>
      </c>
      <c r="CO19" s="99">
        <v>5646</v>
      </c>
      <c r="CP19" s="99">
        <v>5906</v>
      </c>
      <c r="CQ19" s="99">
        <v>5956</v>
      </c>
      <c r="CR19" s="99">
        <v>6124</v>
      </c>
      <c r="CS19" s="99">
        <v>6281</v>
      </c>
      <c r="CT19" s="99">
        <v>6442</v>
      </c>
      <c r="CU19" s="99">
        <v>6494</v>
      </c>
      <c r="CV19" s="99">
        <v>6730</v>
      </c>
      <c r="CW19" s="99">
        <v>6770</v>
      </c>
      <c r="CX19" s="99">
        <v>7034</v>
      </c>
      <c r="CY19" s="99">
        <v>7281</v>
      </c>
      <c r="CZ19" s="99">
        <v>6962.5771235156135</v>
      </c>
      <c r="DA19" s="99">
        <v>6779.8117424270258</v>
      </c>
      <c r="DB19" s="99">
        <v>6689.8572996153844</v>
      </c>
      <c r="DC19" s="180">
        <v>6416.431268462914</v>
      </c>
      <c r="DD19" s="180">
        <v>6283.5737426998285</v>
      </c>
      <c r="DE19" s="180">
        <v>6353.1931790671852</v>
      </c>
      <c r="DF19" s="180">
        <v>6272.0860508355845</v>
      </c>
      <c r="DG19" s="180">
        <v>6277.2966000410306</v>
      </c>
      <c r="DH19" s="181">
        <v>6015.0395385098618</v>
      </c>
      <c r="DI19" s="180">
        <v>5777.5036631614212</v>
      </c>
      <c r="DJ19" s="180">
        <v>5495.8867445001824</v>
      </c>
      <c r="DK19" s="180">
        <v>5409.2708683783676</v>
      </c>
      <c r="DL19" s="180">
        <v>5230.6684798696369</v>
      </c>
      <c r="DM19" s="180">
        <v>5154.1963542232461</v>
      </c>
      <c r="DN19" s="181">
        <v>4942.1068890594597</v>
      </c>
      <c r="DO19" s="180">
        <v>5672.9791749269316</v>
      </c>
      <c r="DP19" s="180">
        <v>5492.6775220832687</v>
      </c>
      <c r="DQ19" s="180">
        <v>5341.0914105587417</v>
      </c>
      <c r="DR19" s="180">
        <v>5148.5330526993985</v>
      </c>
      <c r="DS19" s="180">
        <v>5059.3835410646634</v>
      </c>
      <c r="DT19" s="180">
        <v>5027.2529262813223</v>
      </c>
      <c r="DU19" s="180">
        <v>5059.6659810219671</v>
      </c>
      <c r="DV19" s="100">
        <v>526</v>
      </c>
      <c r="DW19" s="100">
        <v>400.67488646866468</v>
      </c>
      <c r="DX19" s="99">
        <v>559</v>
      </c>
      <c r="DY19" s="99">
        <v>551</v>
      </c>
      <c r="DZ19" s="99">
        <v>603</v>
      </c>
      <c r="EA19" s="99">
        <v>499</v>
      </c>
      <c r="EB19" s="100">
        <v>540</v>
      </c>
      <c r="EC19" s="99">
        <v>591</v>
      </c>
      <c r="ED19" s="99">
        <v>657</v>
      </c>
      <c r="EE19" s="99">
        <v>751</v>
      </c>
      <c r="EF19" s="99">
        <v>650</v>
      </c>
      <c r="EG19" s="99">
        <v>655</v>
      </c>
      <c r="EH19" s="99">
        <v>727</v>
      </c>
      <c r="EI19" s="99">
        <v>685</v>
      </c>
      <c r="EJ19" s="99">
        <v>732</v>
      </c>
      <c r="EK19" s="99">
        <v>856</v>
      </c>
      <c r="EL19" s="99">
        <v>867</v>
      </c>
      <c r="EM19" s="99">
        <v>902</v>
      </c>
      <c r="EN19" s="99">
        <v>1063</v>
      </c>
      <c r="EO19" s="99">
        <v>1070.4895241206032</v>
      </c>
      <c r="EP19" s="99">
        <v>1022.165364603504</v>
      </c>
      <c r="EQ19" s="99">
        <v>965.23089907063559</v>
      </c>
      <c r="ER19" s="180">
        <v>1018.5764798331276</v>
      </c>
      <c r="ES19" s="180">
        <v>1106.6675753258407</v>
      </c>
      <c r="ET19" s="180">
        <v>1076.2317290525559</v>
      </c>
      <c r="EU19" s="180">
        <v>1119.4320360207939</v>
      </c>
      <c r="EV19" s="180">
        <v>1054.3119414205755</v>
      </c>
      <c r="EW19" s="181">
        <v>1201.0298162148069</v>
      </c>
      <c r="EX19" s="180">
        <v>1153.9399340950097</v>
      </c>
      <c r="EY19" s="180">
        <v>1231.7323470160752</v>
      </c>
      <c r="EZ19" s="180">
        <v>1273.35585751805</v>
      </c>
      <c r="FA19" s="180">
        <v>1197.1772089216104</v>
      </c>
      <c r="FB19" s="180">
        <v>1249.0648572247333</v>
      </c>
      <c r="FC19" s="181">
        <v>1275.749939597717</v>
      </c>
      <c r="FD19" s="180">
        <v>1357.4797605469867</v>
      </c>
      <c r="FE19" s="180">
        <v>1473.6370129557113</v>
      </c>
      <c r="FF19" s="180">
        <v>1442.2571760006499</v>
      </c>
      <c r="FG19" s="180">
        <v>1595.0445409278304</v>
      </c>
      <c r="FH19" s="180">
        <v>1690.5118272135678</v>
      </c>
      <c r="FI19" s="180">
        <v>1704.2530891609536</v>
      </c>
      <c r="FJ19" s="180">
        <v>1866.9045825026474</v>
      </c>
      <c r="FK19" s="100">
        <v>2709</v>
      </c>
      <c r="FL19" s="100">
        <v>2571.388722122329</v>
      </c>
      <c r="FM19" s="99">
        <v>2639</v>
      </c>
      <c r="FN19" s="99">
        <v>2852</v>
      </c>
      <c r="FO19" s="99">
        <v>2825</v>
      </c>
      <c r="FP19" s="99">
        <v>2973</v>
      </c>
      <c r="FQ19" s="100">
        <v>3142</v>
      </c>
      <c r="FR19" s="99">
        <v>3207</v>
      </c>
      <c r="FS19" s="99">
        <v>3132</v>
      </c>
      <c r="FT19" s="99">
        <v>3243</v>
      </c>
      <c r="FU19" s="99">
        <v>3299</v>
      </c>
      <c r="FV19" s="99">
        <v>3355</v>
      </c>
      <c r="FW19" s="99">
        <v>3386</v>
      </c>
      <c r="FX19" s="99">
        <v>3449</v>
      </c>
      <c r="FY19" s="99">
        <v>3568</v>
      </c>
      <c r="FZ19" s="99">
        <v>3599</v>
      </c>
      <c r="GA19" s="99">
        <v>3926</v>
      </c>
      <c r="GB19" s="99">
        <v>3643</v>
      </c>
      <c r="GC19" s="99">
        <v>3797</v>
      </c>
      <c r="GD19" s="99">
        <v>3629.7704587095463</v>
      </c>
      <c r="GE19" s="99">
        <v>3651.871385954254</v>
      </c>
      <c r="GF19" s="99">
        <v>3566.1779668393769</v>
      </c>
      <c r="GG19" s="180">
        <v>3594.8000214579397</v>
      </c>
      <c r="GH19" s="180">
        <v>3541.2294208638878</v>
      </c>
      <c r="GI19" s="180">
        <v>3635.4686108016635</v>
      </c>
      <c r="GJ19" s="180">
        <v>3456.3952409716135</v>
      </c>
      <c r="GK19" s="180">
        <v>3571.5284881461571</v>
      </c>
      <c r="GL19" s="181">
        <v>3450.7453617740812</v>
      </c>
      <c r="GM19" s="180">
        <v>3464.8352752844276</v>
      </c>
      <c r="GN19" s="180">
        <v>3359.7696482736014</v>
      </c>
      <c r="GO19" s="180">
        <v>3335.9178214730227</v>
      </c>
      <c r="GP19" s="180">
        <v>3297.8301100926901</v>
      </c>
      <c r="GQ19" s="180">
        <v>3305.9391665171238</v>
      </c>
      <c r="GR19" s="181">
        <v>3406.0475411610828</v>
      </c>
      <c r="GS19" s="180">
        <v>3476.3970075054972</v>
      </c>
      <c r="GT19" s="180">
        <v>3552.1420639883099</v>
      </c>
      <c r="GU19" s="180">
        <v>3339.1840425481005</v>
      </c>
      <c r="GV19" s="180">
        <v>3329.25858468561</v>
      </c>
      <c r="GW19" s="180">
        <v>3412.2140344952186</v>
      </c>
      <c r="GX19" s="180">
        <v>3357.800546777195</v>
      </c>
      <c r="GY19" s="180">
        <v>3502.1022753406533</v>
      </c>
      <c r="GZ19" s="100">
        <v>747</v>
      </c>
      <c r="HA19" s="100">
        <v>777.24588714466131</v>
      </c>
      <c r="HB19" s="99">
        <v>805</v>
      </c>
      <c r="HC19" s="99">
        <v>852</v>
      </c>
      <c r="HD19" s="99">
        <v>929</v>
      </c>
      <c r="HE19" s="99">
        <v>1009</v>
      </c>
      <c r="HF19" s="100">
        <v>1125</v>
      </c>
      <c r="HG19" s="99">
        <v>1108</v>
      </c>
      <c r="HH19" s="99">
        <v>1260</v>
      </c>
      <c r="HI19" s="99">
        <v>1492</v>
      </c>
      <c r="HJ19" s="99">
        <v>1562</v>
      </c>
      <c r="HK19" s="99">
        <v>1584</v>
      </c>
      <c r="HL19" s="99">
        <v>1726</v>
      </c>
      <c r="HM19" s="99">
        <v>1937</v>
      </c>
      <c r="HN19" s="99">
        <v>2131</v>
      </c>
      <c r="HO19" s="99">
        <v>2385</v>
      </c>
      <c r="HP19" s="99">
        <v>2476</v>
      </c>
      <c r="HQ19" s="99">
        <v>2664</v>
      </c>
      <c r="HR19" s="99">
        <v>2870</v>
      </c>
      <c r="HS19" s="99">
        <v>3099</v>
      </c>
      <c r="HT19" s="99">
        <v>3346</v>
      </c>
      <c r="HU19" s="99">
        <v>3601</v>
      </c>
      <c r="HV19" s="180">
        <v>4139.6775752015901</v>
      </c>
      <c r="HW19" s="180">
        <v>4455.9095666768417</v>
      </c>
      <c r="HX19" s="180">
        <v>4796.1073730757553</v>
      </c>
      <c r="HY19" s="180">
        <v>5097.8613501266</v>
      </c>
      <c r="HZ19" s="180">
        <v>5679.9438284963544</v>
      </c>
      <c r="IA19" s="181">
        <v>6250.0394646012892</v>
      </c>
      <c r="IB19" s="180">
        <v>6679.4979022413718</v>
      </c>
      <c r="IC19" s="180">
        <v>7226.7435843396734</v>
      </c>
      <c r="ID19" s="180">
        <v>7776.8742874504078</v>
      </c>
      <c r="IE19" s="180">
        <v>8215.7245225372571</v>
      </c>
      <c r="IF19" s="180">
        <v>8986.8924661309757</v>
      </c>
      <c r="IG19" s="181">
        <v>9816.8787630234601</v>
      </c>
      <c r="IH19" s="180">
        <v>9321.0816941170015</v>
      </c>
      <c r="II19" s="180">
        <v>9552.6785611174473</v>
      </c>
      <c r="IJ19" s="180">
        <v>9120.0251117401931</v>
      </c>
      <c r="IK19" s="180">
        <v>8804.4483172358396</v>
      </c>
      <c r="IL19" s="180">
        <v>9108.9871004241359</v>
      </c>
      <c r="IM19" s="180">
        <v>9511.2238116112712</v>
      </c>
      <c r="IN19" s="180">
        <v>9518.4497592972311</v>
      </c>
      <c r="IO19" s="100">
        <v>25062</v>
      </c>
      <c r="IP19" s="100">
        <v>22823.854955638879</v>
      </c>
      <c r="IQ19" s="99">
        <v>23892</v>
      </c>
      <c r="IR19" s="99">
        <v>24644</v>
      </c>
      <c r="IS19" s="99">
        <v>24226</v>
      </c>
      <c r="IT19" s="99">
        <v>24481</v>
      </c>
      <c r="IU19" s="100">
        <v>25359</v>
      </c>
      <c r="IV19" s="99">
        <v>26459</v>
      </c>
      <c r="IW19" s="99">
        <v>26951</v>
      </c>
      <c r="IX19" s="99">
        <v>26066</v>
      </c>
      <c r="IY19" s="99">
        <v>25385</v>
      </c>
      <c r="IZ19" s="99">
        <v>24976</v>
      </c>
      <c r="JA19" s="99">
        <v>24679</v>
      </c>
      <c r="JB19" s="99">
        <v>23714</v>
      </c>
      <c r="JC19" s="99">
        <v>23572</v>
      </c>
      <c r="JD19" s="99">
        <v>23530</v>
      </c>
      <c r="JE19" s="99">
        <v>23591</v>
      </c>
      <c r="JF19" s="99">
        <v>22976</v>
      </c>
      <c r="JG19" s="99">
        <v>23492</v>
      </c>
      <c r="JH19" s="99">
        <v>22982.162893654237</v>
      </c>
      <c r="JI19" s="99">
        <v>22505.151507015216</v>
      </c>
      <c r="JJ19" s="99">
        <v>22210.733834474602</v>
      </c>
      <c r="JK19" s="180">
        <v>22267.062133865104</v>
      </c>
      <c r="JL19" s="180">
        <v>22479.657898294161</v>
      </c>
      <c r="JM19" s="180">
        <v>22944.203511337968</v>
      </c>
      <c r="JN19" s="180">
        <v>23121.610542736456</v>
      </c>
      <c r="JO19" s="180">
        <v>23366.083995250941</v>
      </c>
      <c r="JP19" s="181">
        <v>23368.752032840577</v>
      </c>
      <c r="JQ19" s="180">
        <v>23266.264685563758</v>
      </c>
      <c r="JR19" s="180">
        <v>23770.376830646626</v>
      </c>
      <c r="JS19" s="180">
        <v>23751.269074580414</v>
      </c>
      <c r="JT19" s="180">
        <v>23969.016717619535</v>
      </c>
      <c r="JU19" s="180">
        <v>24324.264352322516</v>
      </c>
      <c r="JV19" s="181">
        <v>25469.202106282017</v>
      </c>
      <c r="JW19" s="180">
        <v>24808.774684486096</v>
      </c>
      <c r="JX19" s="180">
        <v>24454.491268170663</v>
      </c>
      <c r="JY19" s="180">
        <v>24049.297358901491</v>
      </c>
      <c r="JZ19" s="180">
        <v>23497.966983054117</v>
      </c>
      <c r="KA19" s="180">
        <v>23683.208439926962</v>
      </c>
      <c r="KB19" s="180">
        <v>23948.053180139552</v>
      </c>
      <c r="KC19" s="180">
        <v>23656.333302021394</v>
      </c>
    </row>
    <row r="20" spans="1:289">
      <c r="A20" s="173" t="s">
        <v>44</v>
      </c>
      <c r="B20" s="100">
        <v>30698.584868140115</v>
      </c>
      <c r="C20" s="100">
        <v>31297.90414560162</v>
      </c>
      <c r="D20" s="99">
        <v>30603</v>
      </c>
      <c r="E20" s="99">
        <v>30680.867254635912</v>
      </c>
      <c r="F20" s="99">
        <v>30182</v>
      </c>
      <c r="G20" s="99">
        <v>30828</v>
      </c>
      <c r="H20" s="100">
        <v>31372</v>
      </c>
      <c r="I20" s="99">
        <v>31497</v>
      </c>
      <c r="J20" s="99">
        <v>31617</v>
      </c>
      <c r="K20" s="99">
        <v>30026</v>
      </c>
      <c r="L20" s="99">
        <v>31302</v>
      </c>
      <c r="M20" s="99">
        <v>32482</v>
      </c>
      <c r="N20" s="99">
        <v>33235</v>
      </c>
      <c r="O20" s="99">
        <v>33439</v>
      </c>
      <c r="P20" s="100">
        <v>34274</v>
      </c>
      <c r="Q20" s="99">
        <v>35108</v>
      </c>
      <c r="R20" s="99">
        <v>35303</v>
      </c>
      <c r="S20" s="99">
        <v>39114</v>
      </c>
      <c r="T20" s="99">
        <v>40438</v>
      </c>
      <c r="U20" s="99">
        <v>40708</v>
      </c>
      <c r="V20" s="99">
        <v>41442</v>
      </c>
      <c r="W20" s="99">
        <v>42246</v>
      </c>
      <c r="X20" s="546">
        <v>49330</v>
      </c>
      <c r="Y20" s="180">
        <v>41315.588839414995</v>
      </c>
      <c r="Z20" s="180">
        <v>41543.567969027754</v>
      </c>
      <c r="AA20" s="180">
        <v>42204.19491636091</v>
      </c>
      <c r="AB20" s="180">
        <v>42525.446490158625</v>
      </c>
      <c r="AC20" s="180">
        <v>44159.257775170008</v>
      </c>
      <c r="AD20" s="181">
        <v>44364.622759264828</v>
      </c>
      <c r="AE20" s="180">
        <v>43326.831163698924</v>
      </c>
      <c r="AF20" s="180">
        <v>43172.371980603864</v>
      </c>
      <c r="AG20" s="180">
        <v>43529.028814326201</v>
      </c>
      <c r="AH20" s="180">
        <v>44285.522722028181</v>
      </c>
      <c r="AI20" s="180">
        <v>45892.676274277299</v>
      </c>
      <c r="AJ20" s="181">
        <v>47740.153997783818</v>
      </c>
      <c r="AK20" s="180">
        <v>48016.063645275652</v>
      </c>
      <c r="AL20" s="180">
        <v>46049.034548116113</v>
      </c>
      <c r="AM20" s="180">
        <v>44210.058600288823</v>
      </c>
      <c r="AN20" s="180">
        <v>43381.688323393631</v>
      </c>
      <c r="AO20" s="180">
        <v>43326.239366534814</v>
      </c>
      <c r="AP20" s="180">
        <v>43073.702285313375</v>
      </c>
      <c r="AQ20" s="180">
        <v>43684.833282714419</v>
      </c>
      <c r="AR20" s="533">
        <f t="shared" si="25"/>
        <v>336.79492777202472</v>
      </c>
      <c r="AS20" s="534">
        <f t="shared" si="26"/>
        <v>319.16339737108189</v>
      </c>
      <c r="AT20" s="534">
        <f t="shared" si="27"/>
        <v>334.43438687442926</v>
      </c>
      <c r="AU20" s="534">
        <f t="shared" si="28"/>
        <v>361.64518317503394</v>
      </c>
      <c r="AV20" s="534">
        <f t="shared" si="29"/>
        <v>346.05224137931032</v>
      </c>
      <c r="AW20" s="534">
        <f t="shared" si="30"/>
        <v>360</v>
      </c>
      <c r="AX20" s="534">
        <f t="shared" si="31"/>
        <v>361</v>
      </c>
      <c r="AY20" s="534">
        <f t="shared" si="32"/>
        <v>402</v>
      </c>
      <c r="AZ20" s="534">
        <f t="shared" si="33"/>
        <v>406</v>
      </c>
      <c r="BA20" s="534">
        <f t="shared" si="34"/>
        <v>411.72746311999998</v>
      </c>
      <c r="BB20" s="534">
        <f t="shared" si="35"/>
        <v>441.11929674999999</v>
      </c>
      <c r="BC20" s="534">
        <f t="shared" si="36"/>
        <v>436.38352664000001</v>
      </c>
      <c r="BD20" s="534">
        <f t="shared" si="37"/>
        <v>481.94353719999998</v>
      </c>
      <c r="BE20" s="534">
        <f t="shared" si="38"/>
        <v>519.28330679999999</v>
      </c>
      <c r="BF20" s="534">
        <f t="shared" si="39"/>
        <v>513</v>
      </c>
      <c r="BG20" s="534">
        <f t="shared" si="40"/>
        <v>506</v>
      </c>
      <c r="BH20" s="534">
        <f t="shared" si="41"/>
        <v>618</v>
      </c>
      <c r="BI20" s="534">
        <f t="shared" si="42"/>
        <v>712</v>
      </c>
      <c r="BJ20" s="534">
        <f t="shared" si="43"/>
        <v>808</v>
      </c>
      <c r="BK20" s="534">
        <f t="shared" si="44"/>
        <v>678.0107301877897</v>
      </c>
      <c r="BL20" s="534">
        <f t="shared" si="45"/>
        <v>764.13556657324386</v>
      </c>
      <c r="BM20" s="534">
        <f t="shared" si="46"/>
        <v>844.89663837101966</v>
      </c>
      <c r="BN20" s="186">
        <f t="shared" si="47"/>
        <v>819.92327535174559</v>
      </c>
      <c r="BO20" s="186">
        <f t="shared" si="48"/>
        <v>815.07714477620857</v>
      </c>
      <c r="BP20" s="186">
        <f t="shared" si="49"/>
        <v>821.38675736731307</v>
      </c>
      <c r="BQ20" s="186">
        <f t="shared" si="50"/>
        <v>864.52535457471527</v>
      </c>
      <c r="BR20" s="186">
        <f t="shared" si="51"/>
        <v>946.72744535809215</v>
      </c>
      <c r="BS20" s="186">
        <f t="shared" si="52"/>
        <v>958.7915328518111</v>
      </c>
      <c r="BT20" s="186">
        <f t="shared" si="53"/>
        <v>918.36393089165449</v>
      </c>
      <c r="BU20" s="186">
        <f t="shared" si="54"/>
        <v>928.30425432949892</v>
      </c>
      <c r="BV20" s="186">
        <f t="shared" si="55"/>
        <v>973.62513341203316</v>
      </c>
      <c r="BW20" s="186">
        <f t="shared" si="56"/>
        <v>987.56086898194667</v>
      </c>
      <c r="BX20" s="186">
        <f t="shared" si="57"/>
        <v>949.18342856310369</v>
      </c>
      <c r="BY20" s="186">
        <f t="shared" si="58"/>
        <v>999.74788019230436</v>
      </c>
      <c r="BZ20" s="186">
        <f t="shared" si="59"/>
        <v>1113.4857475265908</v>
      </c>
      <c r="CA20" s="186">
        <f t="shared" si="60"/>
        <v>1082.4719021068447</v>
      </c>
      <c r="CB20" s="186">
        <f t="shared" si="61"/>
        <v>1084.2485356852171</v>
      </c>
      <c r="CC20" s="186">
        <f t="shared" si="62"/>
        <v>1035.5788778778929</v>
      </c>
      <c r="CD20" s="186">
        <f t="shared" si="63"/>
        <v>1136.5975202648822</v>
      </c>
      <c r="CE20" s="186">
        <f t="shared" si="64"/>
        <v>1062.4078473980023</v>
      </c>
      <c r="CF20" s="186">
        <f t="shared" si="65"/>
        <v>1078.6662238792958</v>
      </c>
      <c r="CG20" s="100">
        <v>42.130651431374901</v>
      </c>
      <c r="CH20" s="100">
        <v>43.398988877654197</v>
      </c>
      <c r="CI20" s="99">
        <v>34.254735043742087</v>
      </c>
      <c r="CJ20" s="99">
        <v>49.433514246947084</v>
      </c>
      <c r="CK20" s="99">
        <v>44.232241379310345</v>
      </c>
      <c r="CL20" s="99">
        <v>56</v>
      </c>
      <c r="CM20" s="100">
        <v>49</v>
      </c>
      <c r="CN20" s="99">
        <v>63</v>
      </c>
      <c r="CO20" s="99">
        <v>54</v>
      </c>
      <c r="CP20" s="99">
        <v>43.386334820000002</v>
      </c>
      <c r="CQ20" s="99">
        <v>65.512766850000006</v>
      </c>
      <c r="CR20" s="99">
        <v>49.352898840000002</v>
      </c>
      <c r="CS20" s="99">
        <v>69.469338699999994</v>
      </c>
      <c r="CT20" s="99">
        <v>72.074438900000004</v>
      </c>
      <c r="CU20" s="100">
        <v>58</v>
      </c>
      <c r="CV20" s="99">
        <v>44</v>
      </c>
      <c r="CW20" s="99">
        <v>14</v>
      </c>
      <c r="CX20" s="99">
        <v>107</v>
      </c>
      <c r="CY20" s="99">
        <v>109</v>
      </c>
      <c r="CZ20" s="99">
        <v>114.50584954839545</v>
      </c>
      <c r="DA20" s="99">
        <v>109.94734379193156</v>
      </c>
      <c r="DB20" s="99">
        <v>125.27970700731755</v>
      </c>
      <c r="DC20" s="180">
        <v>123.94909855175474</v>
      </c>
      <c r="DD20" s="180">
        <v>109.78755014908782</v>
      </c>
      <c r="DE20" s="180">
        <v>131.01258825519315</v>
      </c>
      <c r="DF20" s="180">
        <v>127.25870903226625</v>
      </c>
      <c r="DG20" s="180">
        <v>118.99378276788335</v>
      </c>
      <c r="DH20" s="181">
        <v>121.47405022258916</v>
      </c>
      <c r="DI20" s="180">
        <v>98.04330090257541</v>
      </c>
      <c r="DJ20" s="180">
        <v>103.29414380290689</v>
      </c>
      <c r="DK20" s="180">
        <v>129.42074434415525</v>
      </c>
      <c r="DL20" s="180">
        <v>134.85326857430863</v>
      </c>
      <c r="DM20" s="180">
        <v>132.27875901106745</v>
      </c>
      <c r="DN20" s="181">
        <v>142.75151040619016</v>
      </c>
      <c r="DO20" s="180">
        <v>135.15014881997286</v>
      </c>
      <c r="DP20" s="180">
        <v>120.66449530289725</v>
      </c>
      <c r="DQ20" s="180">
        <v>122.12372507388072</v>
      </c>
      <c r="DR20" s="180">
        <v>115.4343243046997</v>
      </c>
      <c r="DS20" s="180">
        <v>142.44620690751148</v>
      </c>
      <c r="DT20" s="180">
        <v>113.57525588263769</v>
      </c>
      <c r="DU20" s="180">
        <v>111.17666691656169</v>
      </c>
      <c r="DV20" s="100">
        <v>294.66427634064979</v>
      </c>
      <c r="DW20" s="100">
        <v>275.76440849342771</v>
      </c>
      <c r="DX20" s="99">
        <v>300.17965183068719</v>
      </c>
      <c r="DY20" s="99">
        <v>312.21166892808685</v>
      </c>
      <c r="DZ20" s="99">
        <v>301.82</v>
      </c>
      <c r="EA20" s="99">
        <v>304</v>
      </c>
      <c r="EB20" s="100">
        <v>312</v>
      </c>
      <c r="EC20" s="99">
        <v>339</v>
      </c>
      <c r="ED20" s="99">
        <v>352</v>
      </c>
      <c r="EE20" s="99">
        <v>368.34112829999998</v>
      </c>
      <c r="EF20" s="99">
        <v>375.6065299</v>
      </c>
      <c r="EG20" s="99">
        <v>387.03062779999999</v>
      </c>
      <c r="EH20" s="99">
        <v>412.4741985</v>
      </c>
      <c r="EI20" s="99">
        <v>447.20886789999997</v>
      </c>
      <c r="EJ20" s="100">
        <v>455</v>
      </c>
      <c r="EK20" s="99">
        <v>462</v>
      </c>
      <c r="EL20" s="99">
        <v>604</v>
      </c>
      <c r="EM20" s="99">
        <v>605</v>
      </c>
      <c r="EN20" s="99">
        <v>699</v>
      </c>
      <c r="EO20" s="99">
        <v>563.50488063939429</v>
      </c>
      <c r="EP20" s="99">
        <v>654.18822278131233</v>
      </c>
      <c r="EQ20" s="99">
        <v>719.61693136370207</v>
      </c>
      <c r="ER20" s="180">
        <v>695.9741767999908</v>
      </c>
      <c r="ES20" s="180">
        <v>705.28959462712078</v>
      </c>
      <c r="ET20" s="180">
        <v>690.37416911211994</v>
      </c>
      <c r="EU20" s="180">
        <v>737.26664554244906</v>
      </c>
      <c r="EV20" s="180">
        <v>827.73366259020884</v>
      </c>
      <c r="EW20" s="181">
        <v>837.3174826292219</v>
      </c>
      <c r="EX20" s="180">
        <v>820.32062998907907</v>
      </c>
      <c r="EY20" s="180">
        <v>825.01011052659203</v>
      </c>
      <c r="EZ20" s="180">
        <v>844.20438906787786</v>
      </c>
      <c r="FA20" s="180">
        <v>852.7076004076381</v>
      </c>
      <c r="FB20" s="180">
        <v>816.90466955203624</v>
      </c>
      <c r="FC20" s="181">
        <v>856.9963697861142</v>
      </c>
      <c r="FD20" s="180">
        <v>978.33559870661804</v>
      </c>
      <c r="FE20" s="180">
        <v>961.80740680394752</v>
      </c>
      <c r="FF20" s="180">
        <v>962.12481061133644</v>
      </c>
      <c r="FG20" s="180">
        <v>920.14455357319321</v>
      </c>
      <c r="FH20" s="180">
        <v>994.15131335737067</v>
      </c>
      <c r="FI20" s="180">
        <v>948.83259151536458</v>
      </c>
      <c r="FJ20" s="180">
        <v>967.48955696273413</v>
      </c>
      <c r="FK20" s="100">
        <v>11814.479016916441</v>
      </c>
      <c r="FL20" s="100">
        <v>12008.861880687564</v>
      </c>
      <c r="FM20" s="99">
        <v>11871.970013844295</v>
      </c>
      <c r="FN20" s="99">
        <v>11748.69855269109</v>
      </c>
      <c r="FO20" s="99">
        <v>11750.164827586206</v>
      </c>
      <c r="FP20" s="99">
        <v>12212</v>
      </c>
      <c r="FQ20" s="100">
        <v>12304</v>
      </c>
      <c r="FR20" s="99">
        <v>12296</v>
      </c>
      <c r="FS20" s="99">
        <v>12321</v>
      </c>
      <c r="FT20" s="99">
        <v>11435.39825</v>
      </c>
      <c r="FU20" s="99">
        <v>11647.29644</v>
      </c>
      <c r="FV20" s="99">
        <v>12329.56631</v>
      </c>
      <c r="FW20" s="99">
        <v>12852.696029999999</v>
      </c>
      <c r="FX20" s="99">
        <v>12905.6664</v>
      </c>
      <c r="FY20" s="100">
        <v>12774</v>
      </c>
      <c r="FZ20" s="99">
        <v>12643</v>
      </c>
      <c r="GA20" s="99">
        <v>12766</v>
      </c>
      <c r="GB20" s="99">
        <v>14541</v>
      </c>
      <c r="GC20" s="99">
        <v>15125</v>
      </c>
      <c r="GD20" s="99">
        <v>15233.556877781257</v>
      </c>
      <c r="GE20" s="99">
        <v>15177.909724610203</v>
      </c>
      <c r="GF20" s="99">
        <v>15065.40608419001</v>
      </c>
      <c r="GG20" s="180">
        <v>14185.778550802741</v>
      </c>
      <c r="GH20" s="180">
        <v>14197.615190913355</v>
      </c>
      <c r="GI20" s="180">
        <v>14366.971618687761</v>
      </c>
      <c r="GJ20" s="180">
        <v>14006.978626911639</v>
      </c>
      <c r="GK20" s="180">
        <v>14822.413511029112</v>
      </c>
      <c r="GL20" s="181">
        <v>14652.651971022698</v>
      </c>
      <c r="GM20" s="180">
        <v>13919.184086868105</v>
      </c>
      <c r="GN20" s="180">
        <v>13576.291134533811</v>
      </c>
      <c r="GO20" s="180">
        <v>13549.876352466588</v>
      </c>
      <c r="GP20" s="180">
        <v>13850.567371100939</v>
      </c>
      <c r="GQ20" s="180">
        <v>14462.130319970487</v>
      </c>
      <c r="GR20" s="181">
        <v>15207.279138830103</v>
      </c>
      <c r="GS20" s="180">
        <v>15222.688621361714</v>
      </c>
      <c r="GT20" s="180">
        <v>14386.6350782545</v>
      </c>
      <c r="GU20" s="180">
        <v>13730.566733121876</v>
      </c>
      <c r="GV20" s="180">
        <v>13266.731083880984</v>
      </c>
      <c r="GW20" s="180">
        <v>13242.934219581492</v>
      </c>
      <c r="GX20" s="180">
        <v>12980.080112714837</v>
      </c>
      <c r="GY20" s="180">
        <v>13016.995178899366</v>
      </c>
      <c r="GZ20" s="100">
        <v>143.0519733199977</v>
      </c>
      <c r="HA20" s="100">
        <v>121.15551061678464</v>
      </c>
      <c r="HB20" s="99">
        <v>163.16071165571887</v>
      </c>
      <c r="HC20" s="99">
        <v>146.56603346901855</v>
      </c>
      <c r="HD20" s="99">
        <v>171.7251724137931</v>
      </c>
      <c r="HE20" s="99">
        <v>204</v>
      </c>
      <c r="HF20" s="100">
        <v>217</v>
      </c>
      <c r="HG20" s="99">
        <v>280</v>
      </c>
      <c r="HH20" s="99">
        <v>308</v>
      </c>
      <c r="HI20" s="99">
        <v>322.29848720000001</v>
      </c>
      <c r="HJ20" s="99">
        <v>379.97404770000003</v>
      </c>
      <c r="HK20" s="99">
        <v>453.70033319999999</v>
      </c>
      <c r="HL20" s="99">
        <v>494.9690382</v>
      </c>
      <c r="HM20" s="99">
        <v>647.80158340000003</v>
      </c>
      <c r="HN20" s="100">
        <v>639</v>
      </c>
      <c r="HO20" s="99">
        <v>631</v>
      </c>
      <c r="HP20" s="99">
        <v>965</v>
      </c>
      <c r="HQ20" s="99">
        <v>1227</v>
      </c>
      <c r="HR20" s="99">
        <v>1394</v>
      </c>
      <c r="HS20" s="99">
        <v>1663</v>
      </c>
      <c r="HT20" s="99">
        <v>1755</v>
      </c>
      <c r="HU20" s="99">
        <v>2070</v>
      </c>
      <c r="HV20" s="180">
        <v>2045.1245547874048</v>
      </c>
      <c r="HW20" s="180">
        <v>2175.9829267995374</v>
      </c>
      <c r="HX20" s="180">
        <v>2418.0858622307064</v>
      </c>
      <c r="HY20" s="180">
        <v>2539.6482955714432</v>
      </c>
      <c r="HZ20" s="180">
        <v>2875.4123922158001</v>
      </c>
      <c r="IA20" s="181">
        <v>3184.3962009793499</v>
      </c>
      <c r="IB20" s="180">
        <v>3425.915300182538</v>
      </c>
      <c r="IC20" s="180">
        <v>3620.593713519022</v>
      </c>
      <c r="ID20" s="180">
        <v>3768.1939903831721</v>
      </c>
      <c r="IE20" s="180">
        <v>4152.0572025440479</v>
      </c>
      <c r="IF20" s="180">
        <v>4676.1805172529248</v>
      </c>
      <c r="IG20" s="181">
        <v>4914.5525229049517</v>
      </c>
      <c r="IH20" s="180">
        <v>5221.0435937271986</v>
      </c>
      <c r="II20" s="180">
        <v>4613.8202517780219</v>
      </c>
      <c r="IJ20" s="180">
        <v>4060.3117047166215</v>
      </c>
      <c r="IK20" s="180">
        <v>3878.2785829176155</v>
      </c>
      <c r="IL20" s="180">
        <v>3763.6195217246768</v>
      </c>
      <c r="IM20" s="180">
        <v>3632.6306005383944</v>
      </c>
      <c r="IN20" s="180">
        <v>3820.5164967856786</v>
      </c>
      <c r="IO20" s="100">
        <v>18404.258950131651</v>
      </c>
      <c r="IP20" s="100">
        <v>18848.723356926188</v>
      </c>
      <c r="IQ20" s="99">
        <v>18233.434887625554</v>
      </c>
      <c r="IR20" s="99">
        <v>18423.957485300769</v>
      </c>
      <c r="IS20" s="99">
        <v>17914.057758620689</v>
      </c>
      <c r="IT20" s="99">
        <v>18052</v>
      </c>
      <c r="IU20" s="100">
        <v>18490</v>
      </c>
      <c r="IV20" s="99">
        <v>18519</v>
      </c>
      <c r="IW20" s="99">
        <v>18582</v>
      </c>
      <c r="IX20" s="99">
        <v>17855.69037</v>
      </c>
      <c r="IY20" s="99">
        <v>18614.360820000002</v>
      </c>
      <c r="IZ20" s="99">
        <v>19201.741010000002</v>
      </c>
      <c r="JA20" s="99">
        <v>19349.815930000001</v>
      </c>
      <c r="JB20" s="99">
        <v>19488.75461</v>
      </c>
      <c r="JC20" s="100">
        <v>20275</v>
      </c>
      <c r="JD20" s="99">
        <v>21062</v>
      </c>
      <c r="JE20" s="99">
        <v>20717</v>
      </c>
      <c r="JF20" s="99">
        <v>22453</v>
      </c>
      <c r="JG20" s="99">
        <v>22985</v>
      </c>
      <c r="JH20" s="99">
        <v>23133.432392030954</v>
      </c>
      <c r="JI20" s="99">
        <v>23744.954708816553</v>
      </c>
      <c r="JJ20" s="99">
        <v>24265.697277438969</v>
      </c>
      <c r="JK20" s="180">
        <v>24265.42755069301</v>
      </c>
      <c r="JL20" s="180">
        <v>24412.408224354505</v>
      </c>
      <c r="JM20" s="180">
        <v>24719.001056312896</v>
      </c>
      <c r="JN20" s="180">
        <v>25373.652729567435</v>
      </c>
      <c r="JO20" s="180">
        <v>25742.564655391827</v>
      </c>
      <c r="JP20" s="181">
        <v>25847.118014075739</v>
      </c>
      <c r="JQ20" s="180">
        <v>25462.144441160683</v>
      </c>
      <c r="JR20" s="180">
        <v>25540.212356702796</v>
      </c>
      <c r="JS20" s="180">
        <v>25803.586625110645</v>
      </c>
      <c r="JT20" s="180">
        <v>25907.407788577901</v>
      </c>
      <c r="JU20" s="180">
        <v>26479.02207403618</v>
      </c>
      <c r="JV20" s="181">
        <v>27323.964076586075</v>
      </c>
      <c r="JW20" s="180">
        <v>27232.50708600448</v>
      </c>
      <c r="JX20" s="180">
        <v>26680.711591290124</v>
      </c>
      <c r="JY20" s="180">
        <v>26009.796821386084</v>
      </c>
      <c r="JZ20" s="180">
        <v>25750.044252027306</v>
      </c>
      <c r="KA20" s="180">
        <v>25702.611979281297</v>
      </c>
      <c r="KB20" s="180">
        <v>25881.151963086886</v>
      </c>
      <c r="KC20" s="180">
        <v>26308.491379726012</v>
      </c>
    </row>
    <row r="21" spans="1:289">
      <c r="A21" s="173" t="s">
        <v>45</v>
      </c>
      <c r="B21" s="100">
        <v>45138</v>
      </c>
      <c r="C21" s="100">
        <v>44166</v>
      </c>
      <c r="D21" s="99">
        <v>40643</v>
      </c>
      <c r="E21" s="99">
        <v>43556</v>
      </c>
      <c r="F21" s="99">
        <v>43792</v>
      </c>
      <c r="G21" s="99">
        <v>41617</v>
      </c>
      <c r="H21" s="100">
        <v>39867</v>
      </c>
      <c r="I21" s="99">
        <v>40824</v>
      </c>
      <c r="J21" s="99">
        <v>41569</v>
      </c>
      <c r="K21" s="99">
        <v>40642</v>
      </c>
      <c r="L21" s="99">
        <v>40894</v>
      </c>
      <c r="M21" s="99">
        <v>44113</v>
      </c>
      <c r="N21" s="99">
        <v>46096</v>
      </c>
      <c r="O21" s="99">
        <v>47967</v>
      </c>
      <c r="P21" s="99">
        <v>50880</v>
      </c>
      <c r="Q21" s="99">
        <v>54502</v>
      </c>
      <c r="R21" s="99">
        <v>57486</v>
      </c>
      <c r="S21" s="99">
        <v>60368</v>
      </c>
      <c r="T21" s="99">
        <v>62408</v>
      </c>
      <c r="U21" s="99">
        <v>61862</v>
      </c>
      <c r="V21" s="99">
        <v>62454</v>
      </c>
      <c r="W21" s="99">
        <v>61323</v>
      </c>
      <c r="X21" s="546">
        <v>64690</v>
      </c>
      <c r="Y21" s="180">
        <v>60966.811548038961</v>
      </c>
      <c r="Z21" s="180">
        <v>60961.667271471764</v>
      </c>
      <c r="AA21" s="180">
        <v>61200.407065321939</v>
      </c>
      <c r="AB21" s="180">
        <v>61992.014617073597</v>
      </c>
      <c r="AC21" s="180">
        <v>63042.235064841174</v>
      </c>
      <c r="AD21" s="181">
        <v>62933.015163249045</v>
      </c>
      <c r="AE21" s="180">
        <v>61930.652036072672</v>
      </c>
      <c r="AF21" s="180">
        <v>61728.908472536721</v>
      </c>
      <c r="AG21" s="180">
        <v>61776.295217799023</v>
      </c>
      <c r="AH21" s="180">
        <v>62344.109163343317</v>
      </c>
      <c r="AI21" s="180">
        <v>63779.955253209766</v>
      </c>
      <c r="AJ21" s="181">
        <v>64590.170453363025</v>
      </c>
      <c r="AK21" s="180">
        <v>64983.321626543904</v>
      </c>
      <c r="AL21" s="180">
        <v>62457.003189319679</v>
      </c>
      <c r="AM21" s="180">
        <v>60207.051501027257</v>
      </c>
      <c r="AN21" s="180">
        <v>60166.999766637964</v>
      </c>
      <c r="AO21" s="180">
        <v>60729.673454251533</v>
      </c>
      <c r="AP21" s="180">
        <v>60564.56735209476</v>
      </c>
      <c r="AQ21" s="180">
        <v>61785.430539993016</v>
      </c>
      <c r="AR21" s="533">
        <f t="shared" si="25"/>
        <v>453.39391249503609</v>
      </c>
      <c r="AS21" s="534">
        <f t="shared" si="26"/>
        <v>457.37912153315085</v>
      </c>
      <c r="AT21" s="534">
        <f t="shared" si="27"/>
        <v>437.01075242360116</v>
      </c>
      <c r="AU21" s="534">
        <f t="shared" si="28"/>
        <v>512.31191461555215</v>
      </c>
      <c r="AV21" s="534">
        <f t="shared" si="29"/>
        <v>556.84175871364846</v>
      </c>
      <c r="AW21" s="534">
        <f t="shared" si="30"/>
        <v>545</v>
      </c>
      <c r="AX21" s="534">
        <f t="shared" si="31"/>
        <v>521</v>
      </c>
      <c r="AY21" s="534">
        <f t="shared" si="32"/>
        <v>582</v>
      </c>
      <c r="AZ21" s="534">
        <f t="shared" si="33"/>
        <v>615</v>
      </c>
      <c r="BA21" s="534">
        <f t="shared" si="34"/>
        <v>621.70231409999997</v>
      </c>
      <c r="BB21" s="534">
        <f t="shared" si="35"/>
        <v>618.16789877999997</v>
      </c>
      <c r="BC21" s="534">
        <f t="shared" si="36"/>
        <v>732</v>
      </c>
      <c r="BD21" s="534">
        <f t="shared" si="37"/>
        <v>789</v>
      </c>
      <c r="BE21" s="534">
        <f t="shared" si="38"/>
        <v>787</v>
      </c>
      <c r="BF21" s="534">
        <f t="shared" si="39"/>
        <v>903</v>
      </c>
      <c r="BG21" s="534">
        <f t="shared" si="40"/>
        <v>1028</v>
      </c>
      <c r="BH21" s="534">
        <f t="shared" si="41"/>
        <v>1011</v>
      </c>
      <c r="BI21" s="534">
        <f t="shared" si="42"/>
        <v>1025</v>
      </c>
      <c r="BJ21" s="534">
        <f t="shared" si="43"/>
        <v>1186</v>
      </c>
      <c r="BK21" s="534">
        <f t="shared" si="44"/>
        <v>1209</v>
      </c>
      <c r="BL21" s="534">
        <f t="shared" si="45"/>
        <v>1291</v>
      </c>
      <c r="BM21" s="534">
        <f t="shared" si="46"/>
        <v>1332</v>
      </c>
      <c r="BN21" s="186">
        <f t="shared" si="47"/>
        <v>1283.1646985928653</v>
      </c>
      <c r="BO21" s="186">
        <f t="shared" si="48"/>
        <v>1256.2113331279027</v>
      </c>
      <c r="BP21" s="186">
        <f t="shared" si="49"/>
        <v>1356.2547490009381</v>
      </c>
      <c r="BQ21" s="186">
        <f t="shared" si="50"/>
        <v>1407.9609658033216</v>
      </c>
      <c r="BR21" s="186">
        <f t="shared" si="51"/>
        <v>1495.2333756480466</v>
      </c>
      <c r="BS21" s="186">
        <f t="shared" si="52"/>
        <v>1547.8194289461858</v>
      </c>
      <c r="BT21" s="186">
        <f t="shared" si="53"/>
        <v>1510.9484656121026</v>
      </c>
      <c r="BU21" s="186">
        <f t="shared" si="54"/>
        <v>1655.2016893631037</v>
      </c>
      <c r="BV21" s="186">
        <f t="shared" si="55"/>
        <v>1664.7519398579773</v>
      </c>
      <c r="BW21" s="186">
        <f t="shared" si="56"/>
        <v>1580.8010280846977</v>
      </c>
      <c r="BX21" s="186">
        <f t="shared" si="57"/>
        <v>1705.2455027571959</v>
      </c>
      <c r="BY21" s="186">
        <f t="shared" si="58"/>
        <v>1579.4190003815402</v>
      </c>
      <c r="BZ21" s="186">
        <f t="shared" si="59"/>
        <v>1634.9078248719754</v>
      </c>
      <c r="CA21" s="186">
        <f t="shared" si="60"/>
        <v>1793.9199376879474</v>
      </c>
      <c r="CB21" s="186">
        <f t="shared" si="61"/>
        <v>1661.6763448484194</v>
      </c>
      <c r="CC21" s="186">
        <f t="shared" si="62"/>
        <v>1722.7556040757618</v>
      </c>
      <c r="CD21" s="186">
        <f t="shared" si="63"/>
        <v>1854.9665964938358</v>
      </c>
      <c r="CE21" s="186">
        <f t="shared" si="64"/>
        <v>1780.2823233083925</v>
      </c>
      <c r="CF21" s="186">
        <f t="shared" si="65"/>
        <v>1940.0384799989561</v>
      </c>
      <c r="CG21" s="100">
        <v>28.468920086897615</v>
      </c>
      <c r="CH21" s="100">
        <v>26.286156409951197</v>
      </c>
      <c r="CI21" s="99">
        <v>23.000565917031643</v>
      </c>
      <c r="CJ21" s="99">
        <v>24.245214066168106</v>
      </c>
      <c r="CK21" s="99">
        <v>38.655056421022493</v>
      </c>
      <c r="CL21" s="99">
        <v>49</v>
      </c>
      <c r="CM21" s="100">
        <v>52</v>
      </c>
      <c r="CN21" s="99">
        <v>62</v>
      </c>
      <c r="CO21" s="99">
        <v>61</v>
      </c>
      <c r="CP21" s="99">
        <v>65.986306999999996</v>
      </c>
      <c r="CQ21" s="99">
        <v>56.632155879999999</v>
      </c>
      <c r="CR21" s="99">
        <v>84</v>
      </c>
      <c r="CS21" s="99">
        <v>63</v>
      </c>
      <c r="CT21" s="99">
        <v>47</v>
      </c>
      <c r="CU21" s="99">
        <v>74</v>
      </c>
      <c r="CV21" s="99">
        <v>94</v>
      </c>
      <c r="CW21" s="99">
        <v>105</v>
      </c>
      <c r="CX21" s="99">
        <v>109</v>
      </c>
      <c r="CY21" s="99">
        <v>124</v>
      </c>
      <c r="CZ21" s="99">
        <v>169</v>
      </c>
      <c r="DA21" s="99">
        <v>172</v>
      </c>
      <c r="DB21" s="99">
        <v>147</v>
      </c>
      <c r="DC21" s="180">
        <v>131.74788181810669</v>
      </c>
      <c r="DD21" s="180">
        <v>144.54099771249227</v>
      </c>
      <c r="DE21" s="180">
        <v>147.47201551888247</v>
      </c>
      <c r="DF21" s="180">
        <v>154.16321116958693</v>
      </c>
      <c r="DG21" s="180">
        <v>146.9515132949937</v>
      </c>
      <c r="DH21" s="181">
        <v>140.22419082481798</v>
      </c>
      <c r="DI21" s="180">
        <v>143.43696011960409</v>
      </c>
      <c r="DJ21" s="180">
        <v>132.63002259789286</v>
      </c>
      <c r="DK21" s="180">
        <v>139.11873427350525</v>
      </c>
      <c r="DL21" s="180">
        <v>107.91217435090876</v>
      </c>
      <c r="DM21" s="180">
        <v>109.59184431943825</v>
      </c>
      <c r="DN21" s="181">
        <v>102.61444849956236</v>
      </c>
      <c r="DO21" s="180">
        <v>86.125073676960284</v>
      </c>
      <c r="DP21" s="180">
        <v>92.548040408228488</v>
      </c>
      <c r="DQ21" s="180">
        <v>114.41734080283652</v>
      </c>
      <c r="DR21" s="180">
        <v>89.817358362310713</v>
      </c>
      <c r="DS21" s="180">
        <v>92.291840033725308</v>
      </c>
      <c r="DT21" s="180">
        <v>88.297628885974348</v>
      </c>
      <c r="DU21" s="180">
        <v>99.811118123981373</v>
      </c>
      <c r="DV21" s="100">
        <v>424.92499240813845</v>
      </c>
      <c r="DW21" s="100">
        <v>431.09296512319963</v>
      </c>
      <c r="DX21" s="99">
        <v>414.01018650656954</v>
      </c>
      <c r="DY21" s="99">
        <v>488.06670054938405</v>
      </c>
      <c r="DZ21" s="99">
        <v>518.18670229262591</v>
      </c>
      <c r="EA21" s="99">
        <v>496</v>
      </c>
      <c r="EB21" s="100">
        <v>469</v>
      </c>
      <c r="EC21" s="99">
        <v>520</v>
      </c>
      <c r="ED21" s="99">
        <v>554</v>
      </c>
      <c r="EE21" s="99">
        <v>555.71600709999996</v>
      </c>
      <c r="EF21" s="99">
        <v>561.53574289999995</v>
      </c>
      <c r="EG21" s="99">
        <v>648</v>
      </c>
      <c r="EH21" s="99">
        <v>726</v>
      </c>
      <c r="EI21" s="99">
        <v>740</v>
      </c>
      <c r="EJ21" s="99">
        <v>829</v>
      </c>
      <c r="EK21" s="99">
        <v>934</v>
      </c>
      <c r="EL21" s="99">
        <v>906</v>
      </c>
      <c r="EM21" s="99">
        <v>916</v>
      </c>
      <c r="EN21" s="99">
        <v>1062</v>
      </c>
      <c r="EO21" s="99">
        <v>1040</v>
      </c>
      <c r="EP21" s="99">
        <v>1119</v>
      </c>
      <c r="EQ21" s="99">
        <v>1185</v>
      </c>
      <c r="ER21" s="180">
        <v>1151.4168167747587</v>
      </c>
      <c r="ES21" s="180">
        <v>1111.6703354154104</v>
      </c>
      <c r="ET21" s="180">
        <v>1208.7827334820556</v>
      </c>
      <c r="EU21" s="180">
        <v>1253.7977546337347</v>
      </c>
      <c r="EV21" s="180">
        <v>1348.2818623530529</v>
      </c>
      <c r="EW21" s="181">
        <v>1407.5952381213679</v>
      </c>
      <c r="EX21" s="180">
        <v>1367.5115054924986</v>
      </c>
      <c r="EY21" s="180">
        <v>1522.5716667652109</v>
      </c>
      <c r="EZ21" s="180">
        <v>1525.6332055844721</v>
      </c>
      <c r="FA21" s="180">
        <v>1472.8888537337889</v>
      </c>
      <c r="FB21" s="180">
        <v>1595.6536584377577</v>
      </c>
      <c r="FC21" s="181">
        <v>1476.8045518819779</v>
      </c>
      <c r="FD21" s="180">
        <v>1548.7827511950152</v>
      </c>
      <c r="FE21" s="180">
        <v>1701.371897279719</v>
      </c>
      <c r="FF21" s="180">
        <v>1547.259004045583</v>
      </c>
      <c r="FG21" s="180">
        <v>1632.9382457134511</v>
      </c>
      <c r="FH21" s="180">
        <v>1762.6747564601105</v>
      </c>
      <c r="FI21" s="180">
        <v>1691.9846944224182</v>
      </c>
      <c r="FJ21" s="180">
        <v>1840.2273618749746</v>
      </c>
      <c r="FK21" s="100">
        <v>8153.7095937770091</v>
      </c>
      <c r="FL21" s="100">
        <v>8220.206832519938</v>
      </c>
      <c r="FM21" s="99">
        <v>7264.178731361646</v>
      </c>
      <c r="FN21" s="99">
        <v>7552.9112514823692</v>
      </c>
      <c r="FO21" s="99">
        <v>8119.6513109239686</v>
      </c>
      <c r="FP21" s="99">
        <v>7500</v>
      </c>
      <c r="FQ21" s="100">
        <v>8047</v>
      </c>
      <c r="FR21" s="99">
        <v>8351</v>
      </c>
      <c r="FS21" s="99">
        <v>8446</v>
      </c>
      <c r="FT21" s="99">
        <v>8051.9194850000003</v>
      </c>
      <c r="FU21" s="99">
        <v>8302.5931070000006</v>
      </c>
      <c r="FV21" s="99">
        <v>8309</v>
      </c>
      <c r="FW21" s="99">
        <v>9301</v>
      </c>
      <c r="FX21" s="99">
        <v>10086</v>
      </c>
      <c r="FY21" s="99">
        <v>11086</v>
      </c>
      <c r="FZ21" s="99">
        <v>12188</v>
      </c>
      <c r="GA21" s="99">
        <v>13207</v>
      </c>
      <c r="GB21" s="99">
        <v>14221</v>
      </c>
      <c r="GC21" s="99">
        <v>15242</v>
      </c>
      <c r="GD21" s="99">
        <v>15053</v>
      </c>
      <c r="GE21" s="99">
        <v>15277</v>
      </c>
      <c r="GF21" s="99">
        <v>14509</v>
      </c>
      <c r="GG21" s="180">
        <v>14253.67778056277</v>
      </c>
      <c r="GH21" s="180">
        <v>14120.147103559273</v>
      </c>
      <c r="GI21" s="180">
        <v>13940.239021807944</v>
      </c>
      <c r="GJ21" s="180">
        <v>14041.737381467417</v>
      </c>
      <c r="GK21" s="180">
        <v>14091.744398140618</v>
      </c>
      <c r="GL21" s="181">
        <v>13724.237756814286</v>
      </c>
      <c r="GM21" s="180">
        <v>13616.002579766318</v>
      </c>
      <c r="GN21" s="180">
        <v>13478.086172444397</v>
      </c>
      <c r="GO21" s="180">
        <v>13188.111621190965</v>
      </c>
      <c r="GP21" s="180">
        <v>13181.286733972996</v>
      </c>
      <c r="GQ21" s="180">
        <v>13659.792880735169</v>
      </c>
      <c r="GR21" s="181">
        <v>13881.905374145023</v>
      </c>
      <c r="GS21" s="180">
        <v>14506.318591895353</v>
      </c>
      <c r="GT21" s="180">
        <v>13909.001437756042</v>
      </c>
      <c r="GU21" s="180">
        <v>13190.612720743778</v>
      </c>
      <c r="GV21" s="180">
        <v>13091.35513229905</v>
      </c>
      <c r="GW21" s="180">
        <v>13174.704146013884</v>
      </c>
      <c r="GX21" s="180">
        <v>13341.339799637321</v>
      </c>
      <c r="GY21" s="180">
        <v>13479.816987759794</v>
      </c>
      <c r="GZ21" s="100">
        <v>139.18138709149946</v>
      </c>
      <c r="HA21" s="100">
        <v>152.45970717771695</v>
      </c>
      <c r="HB21" s="99">
        <v>153.00376457851485</v>
      </c>
      <c r="HC21" s="99">
        <v>187.636874077301</v>
      </c>
      <c r="HD21" s="99">
        <v>225.66195099840161</v>
      </c>
      <c r="HE21" s="99">
        <v>240</v>
      </c>
      <c r="HF21" s="100">
        <v>287</v>
      </c>
      <c r="HG21" s="99">
        <v>390</v>
      </c>
      <c r="HH21" s="99">
        <v>350</v>
      </c>
      <c r="HI21" s="99">
        <v>409.43310969999999</v>
      </c>
      <c r="HJ21" s="99">
        <v>478.58159899999998</v>
      </c>
      <c r="HK21" s="99">
        <v>553</v>
      </c>
      <c r="HL21" s="99">
        <v>642</v>
      </c>
      <c r="HM21" s="99">
        <v>840</v>
      </c>
      <c r="HN21" s="99">
        <v>995</v>
      </c>
      <c r="HO21" s="99">
        <v>1146</v>
      </c>
      <c r="HP21" s="99">
        <v>1567</v>
      </c>
      <c r="HQ21" s="99">
        <v>1762</v>
      </c>
      <c r="HR21" s="99">
        <v>2046</v>
      </c>
      <c r="HS21" s="99">
        <v>2271</v>
      </c>
      <c r="HT21" s="99">
        <v>2549</v>
      </c>
      <c r="HU21" s="99">
        <v>2800</v>
      </c>
      <c r="HV21" s="180">
        <v>3130.770965759762</v>
      </c>
      <c r="HW21" s="180">
        <v>3348.9128411951542</v>
      </c>
      <c r="HX21" s="180">
        <v>3516.4141055342106</v>
      </c>
      <c r="HY21" s="180">
        <v>3862.3960943469674</v>
      </c>
      <c r="HZ21" s="180">
        <v>4434.4149936419435</v>
      </c>
      <c r="IA21" s="181">
        <v>5008.6199960032036</v>
      </c>
      <c r="IB21" s="180">
        <v>5163.4436095385945</v>
      </c>
      <c r="IC21" s="180">
        <v>5584.1360570454981</v>
      </c>
      <c r="ID21" s="180">
        <v>5989.180834870006</v>
      </c>
      <c r="IE21" s="180">
        <v>6782.6860245985545</v>
      </c>
      <c r="IF21" s="180">
        <v>7486.8714567414327</v>
      </c>
      <c r="IG21" s="181">
        <v>8121.909169423011</v>
      </c>
      <c r="IH21" s="180">
        <v>7950.2123486130558</v>
      </c>
      <c r="II21" s="180">
        <v>7321.7192197377672</v>
      </c>
      <c r="IJ21" s="180">
        <v>6965.5090696006864</v>
      </c>
      <c r="IK21" s="180">
        <v>6842.0242494399627</v>
      </c>
      <c r="IL21" s="180">
        <v>6840.3138497907794</v>
      </c>
      <c r="IM21" s="180">
        <v>6726.525491379366</v>
      </c>
      <c r="IN21" s="180">
        <v>6843.7275761104993</v>
      </c>
      <c r="IO21" s="100">
        <v>36391.715106636453</v>
      </c>
      <c r="IP21" s="100">
        <v>35335.954338769196</v>
      </c>
      <c r="IQ21" s="99">
        <v>32788.806751636235</v>
      </c>
      <c r="IR21" s="99">
        <v>35303.139959824781</v>
      </c>
      <c r="IS21" s="99">
        <v>34889.844979363981</v>
      </c>
      <c r="IT21" s="99">
        <v>33332</v>
      </c>
      <c r="IU21" s="100">
        <v>31012</v>
      </c>
      <c r="IV21" s="99">
        <v>31501</v>
      </c>
      <c r="IW21" s="99">
        <v>32158</v>
      </c>
      <c r="IX21" s="99">
        <v>31558.945090000001</v>
      </c>
      <c r="IY21" s="99">
        <v>31494.6574</v>
      </c>
      <c r="IZ21" s="99">
        <v>34519</v>
      </c>
      <c r="JA21" s="99">
        <v>35364</v>
      </c>
      <c r="JB21" s="99">
        <v>36254</v>
      </c>
      <c r="JC21" s="99">
        <v>37896</v>
      </c>
      <c r="JD21" s="99">
        <v>40140</v>
      </c>
      <c r="JE21" s="99">
        <v>41700</v>
      </c>
      <c r="JF21" s="99">
        <v>43360</v>
      </c>
      <c r="JG21" s="99">
        <v>43934</v>
      </c>
      <c r="JH21" s="99">
        <v>43329</v>
      </c>
      <c r="JI21" s="99">
        <v>43337</v>
      </c>
      <c r="JJ21" s="99">
        <v>42682</v>
      </c>
      <c r="JK21" s="180">
        <v>42294.60283541488</v>
      </c>
      <c r="JL21" s="180">
        <v>42241.136859289945</v>
      </c>
      <c r="JM21" s="180">
        <v>42398.093369701899</v>
      </c>
      <c r="JN21" s="180">
        <v>42702.061582171278</v>
      </c>
      <c r="JO21" s="180">
        <v>43115.003141905254</v>
      </c>
      <c r="JP21" s="181">
        <v>42827.577558880257</v>
      </c>
      <c r="JQ21" s="180">
        <v>41828.990973518754</v>
      </c>
      <c r="JR21" s="180">
        <v>41287.377402608676</v>
      </c>
      <c r="JS21" s="180">
        <v>41294.918133370098</v>
      </c>
      <c r="JT21" s="180">
        <v>41288.625394680981</v>
      </c>
      <c r="JU21" s="180">
        <v>41528.320883497778</v>
      </c>
      <c r="JV21" s="181">
        <v>41699.826856379346</v>
      </c>
      <c r="JW21" s="180">
        <v>41715.986920377516</v>
      </c>
      <c r="JX21" s="180">
        <v>40174.769346759022</v>
      </c>
      <c r="JY21" s="180">
        <v>39019.37272142525</v>
      </c>
      <c r="JZ21" s="180">
        <v>39071.90008720172</v>
      </c>
      <c r="KA21" s="180">
        <v>39444.392537624823</v>
      </c>
      <c r="KB21" s="180">
        <v>39269.008886068856</v>
      </c>
      <c r="KC21" s="180">
        <v>40089.214965925428</v>
      </c>
    </row>
    <row r="22" spans="1:289">
      <c r="A22" s="173" t="s">
        <v>46</v>
      </c>
      <c r="B22" s="100">
        <v>162270</v>
      </c>
      <c r="C22" s="100">
        <v>160546</v>
      </c>
      <c r="D22" s="99">
        <v>163191</v>
      </c>
      <c r="E22" s="99">
        <v>170322</v>
      </c>
      <c r="F22" s="99">
        <v>171844</v>
      </c>
      <c r="G22" s="99">
        <v>181794</v>
      </c>
      <c r="H22" s="100">
        <v>197186</v>
      </c>
      <c r="I22" s="99">
        <v>203393</v>
      </c>
      <c r="J22" s="99">
        <v>212925</v>
      </c>
      <c r="K22" s="99">
        <v>215316</v>
      </c>
      <c r="L22" s="99">
        <v>225167</v>
      </c>
      <c r="M22" s="99">
        <v>238111</v>
      </c>
      <c r="N22" s="99">
        <v>244165</v>
      </c>
      <c r="O22" s="99">
        <v>239717</v>
      </c>
      <c r="P22" s="99">
        <v>240485</v>
      </c>
      <c r="Q22" s="99">
        <v>241193</v>
      </c>
      <c r="R22" s="99">
        <v>252121</v>
      </c>
      <c r="S22" s="99">
        <v>264275</v>
      </c>
      <c r="T22" s="99">
        <v>280894</v>
      </c>
      <c r="U22" s="99">
        <v>290470</v>
      </c>
      <c r="V22" s="99">
        <v>292531</v>
      </c>
      <c r="W22" s="99">
        <v>301390</v>
      </c>
      <c r="X22" s="546">
        <v>355590</v>
      </c>
      <c r="Y22" s="180">
        <v>300974.10088487534</v>
      </c>
      <c r="Z22" s="180">
        <v>305896.21292776265</v>
      </c>
      <c r="AA22" s="180">
        <v>316438.75239644485</v>
      </c>
      <c r="AB22" s="180">
        <v>316226.65023623029</v>
      </c>
      <c r="AC22" s="180">
        <v>329643.66413529072</v>
      </c>
      <c r="AD22" s="181">
        <v>336977.62948874955</v>
      </c>
      <c r="AE22" s="180">
        <v>333550.35566561361</v>
      </c>
      <c r="AF22" s="180">
        <v>339643.24143842969</v>
      </c>
      <c r="AG22" s="180">
        <v>343181.66218218231</v>
      </c>
      <c r="AH22" s="180">
        <v>349259.303430709</v>
      </c>
      <c r="AI22" s="180">
        <v>353780.00480171677</v>
      </c>
      <c r="AJ22" s="181">
        <v>363394.83309107966</v>
      </c>
      <c r="AK22" s="180">
        <v>363024.96957638388</v>
      </c>
      <c r="AL22" s="180">
        <v>359907.8616603642</v>
      </c>
      <c r="AM22" s="180">
        <v>345454.38719075959</v>
      </c>
      <c r="AN22" s="180">
        <v>337048.62616495689</v>
      </c>
      <c r="AO22" s="180">
        <v>342038.66657386796</v>
      </c>
      <c r="AP22" s="180">
        <v>346358.0076452606</v>
      </c>
      <c r="AQ22" s="180">
        <v>357463.80158944655</v>
      </c>
      <c r="AR22" s="533">
        <f t="shared" si="25"/>
        <v>4506</v>
      </c>
      <c r="AS22" s="534">
        <f t="shared" si="26"/>
        <v>4724</v>
      </c>
      <c r="AT22" s="534">
        <f t="shared" si="27"/>
        <v>5364</v>
      </c>
      <c r="AU22" s="534">
        <f t="shared" si="28"/>
        <v>5589</v>
      </c>
      <c r="AV22" s="534">
        <f t="shared" si="29"/>
        <v>5748</v>
      </c>
      <c r="AW22" s="534">
        <f t="shared" si="30"/>
        <v>5955</v>
      </c>
      <c r="AX22" s="534">
        <f t="shared" si="31"/>
        <v>6867</v>
      </c>
      <c r="AY22" s="534">
        <f t="shared" si="32"/>
        <v>6826</v>
      </c>
      <c r="AZ22" s="534">
        <f t="shared" si="33"/>
        <v>7383</v>
      </c>
      <c r="BA22" s="534">
        <f t="shared" si="34"/>
        <v>7792</v>
      </c>
      <c r="BB22" s="534">
        <f t="shared" si="35"/>
        <v>8285</v>
      </c>
      <c r="BC22" s="534">
        <f t="shared" si="36"/>
        <v>8715</v>
      </c>
      <c r="BD22" s="534">
        <f t="shared" si="37"/>
        <v>9043</v>
      </c>
      <c r="BE22" s="534">
        <f t="shared" si="38"/>
        <v>9127</v>
      </c>
      <c r="BF22" s="534">
        <f t="shared" si="39"/>
        <v>9853</v>
      </c>
      <c r="BG22" s="534">
        <f t="shared" si="40"/>
        <v>10507</v>
      </c>
      <c r="BH22" s="534">
        <f t="shared" si="41"/>
        <v>10694</v>
      </c>
      <c r="BI22" s="534">
        <f t="shared" si="42"/>
        <v>11423</v>
      </c>
      <c r="BJ22" s="534">
        <f t="shared" si="43"/>
        <v>11962</v>
      </c>
      <c r="BK22" s="534">
        <f t="shared" si="44"/>
        <v>12614.009560003666</v>
      </c>
      <c r="BL22" s="534">
        <f t="shared" si="45"/>
        <v>13071.686377280956</v>
      </c>
      <c r="BM22" s="534">
        <f t="shared" si="46"/>
        <v>13762.651001004106</v>
      </c>
      <c r="BN22" s="186">
        <f t="shared" si="47"/>
        <v>14512.654756016605</v>
      </c>
      <c r="BO22" s="186">
        <f t="shared" si="48"/>
        <v>15041.078932705004</v>
      </c>
      <c r="BP22" s="186">
        <f t="shared" si="49"/>
        <v>15181.423706887266</v>
      </c>
      <c r="BQ22" s="186">
        <f t="shared" si="50"/>
        <v>15281.528357900308</v>
      </c>
      <c r="BR22" s="186">
        <f t="shared" si="51"/>
        <v>16505.3610570085</v>
      </c>
      <c r="BS22" s="186">
        <f t="shared" si="52"/>
        <v>17252.254636588259</v>
      </c>
      <c r="BT22" s="186">
        <f t="shared" si="53"/>
        <v>17372.057956807166</v>
      </c>
      <c r="BU22" s="186">
        <f t="shared" si="54"/>
        <v>18192.744163099153</v>
      </c>
      <c r="BV22" s="186">
        <f t="shared" si="55"/>
        <v>18743.181896370112</v>
      </c>
      <c r="BW22" s="186">
        <f t="shared" si="56"/>
        <v>19173.333490191253</v>
      </c>
      <c r="BX22" s="186">
        <f t="shared" si="57"/>
        <v>19400.993171496721</v>
      </c>
      <c r="BY22" s="186">
        <f t="shared" si="58"/>
        <v>20122.479235484989</v>
      </c>
      <c r="BZ22" s="186">
        <f t="shared" si="59"/>
        <v>21807.53592558068</v>
      </c>
      <c r="CA22" s="186">
        <f t="shared" si="60"/>
        <v>22269.778573334042</v>
      </c>
      <c r="CB22" s="186">
        <f t="shared" si="61"/>
        <v>22260.1260763215</v>
      </c>
      <c r="CC22" s="186">
        <f t="shared" si="62"/>
        <v>22580.960296778318</v>
      </c>
      <c r="CD22" s="186">
        <f t="shared" si="63"/>
        <v>24827.722354143516</v>
      </c>
      <c r="CE22" s="186">
        <f t="shared" si="64"/>
        <v>24702.6703281749</v>
      </c>
      <c r="CF22" s="186">
        <f t="shared" si="65"/>
        <v>27193.447164399458</v>
      </c>
      <c r="CG22" s="100">
        <v>273</v>
      </c>
      <c r="CH22" s="100">
        <v>323</v>
      </c>
      <c r="CI22" s="99">
        <v>341</v>
      </c>
      <c r="CJ22" s="99">
        <v>400</v>
      </c>
      <c r="CK22" s="99">
        <v>409</v>
      </c>
      <c r="CL22" s="99">
        <v>429</v>
      </c>
      <c r="CM22" s="100">
        <v>604</v>
      </c>
      <c r="CN22" s="99">
        <v>486</v>
      </c>
      <c r="CO22" s="99">
        <v>521</v>
      </c>
      <c r="CP22" s="99">
        <v>574</v>
      </c>
      <c r="CQ22" s="99">
        <v>578</v>
      </c>
      <c r="CR22" s="99">
        <v>670</v>
      </c>
      <c r="CS22" s="99">
        <v>739</v>
      </c>
      <c r="CT22" s="99">
        <v>764</v>
      </c>
      <c r="CU22" s="99">
        <v>816</v>
      </c>
      <c r="CV22" s="99">
        <v>882</v>
      </c>
      <c r="CW22" s="99">
        <v>944</v>
      </c>
      <c r="CX22" s="99">
        <v>961</v>
      </c>
      <c r="CY22" s="99">
        <v>1472</v>
      </c>
      <c r="CZ22" s="99">
        <v>1462.7650946243205</v>
      </c>
      <c r="DA22" s="99">
        <v>1471.2157080718603</v>
      </c>
      <c r="DB22" s="99">
        <v>1355.2805906797932</v>
      </c>
      <c r="DC22" s="180">
        <v>1269.5889942363494</v>
      </c>
      <c r="DD22" s="180">
        <v>1372.9866034618001</v>
      </c>
      <c r="DE22" s="180">
        <v>1330.4470877108017</v>
      </c>
      <c r="DF22" s="180">
        <v>1262.7557619217912</v>
      </c>
      <c r="DG22" s="180">
        <v>1147.16435650843</v>
      </c>
      <c r="DH22" s="181">
        <v>1126.9455034513646</v>
      </c>
      <c r="DI22" s="180">
        <v>1072.3187547446889</v>
      </c>
      <c r="DJ22" s="180">
        <v>1029.1544303747517</v>
      </c>
      <c r="DK22" s="180">
        <v>941.1486833918882</v>
      </c>
      <c r="DL22" s="180">
        <v>1032.6605078939099</v>
      </c>
      <c r="DM22" s="180">
        <v>1072.6020512212788</v>
      </c>
      <c r="DN22" s="181">
        <v>1034.8966366926145</v>
      </c>
      <c r="DO22" s="180">
        <v>1096.9076663223516</v>
      </c>
      <c r="DP22" s="180">
        <v>1066.3598037409402</v>
      </c>
      <c r="DQ22" s="180">
        <v>1133.3265591483614</v>
      </c>
      <c r="DR22" s="180">
        <v>1043.5714099026459</v>
      </c>
      <c r="DS22" s="180">
        <v>1090.3685084278102</v>
      </c>
      <c r="DT22" s="180">
        <v>1076.7932240975567</v>
      </c>
      <c r="DU22" s="180">
        <v>1054.2471602238104</v>
      </c>
      <c r="DV22" s="100">
        <v>4233</v>
      </c>
      <c r="DW22" s="100">
        <v>4401</v>
      </c>
      <c r="DX22" s="99">
        <v>5023</v>
      </c>
      <c r="DY22" s="99">
        <v>5189</v>
      </c>
      <c r="DZ22" s="99">
        <v>5339</v>
      </c>
      <c r="EA22" s="99">
        <v>5526</v>
      </c>
      <c r="EB22" s="100">
        <v>6263</v>
      </c>
      <c r="EC22" s="99">
        <v>6340</v>
      </c>
      <c r="ED22" s="99">
        <v>6862</v>
      </c>
      <c r="EE22" s="99">
        <v>7218</v>
      </c>
      <c r="EF22" s="99">
        <v>7707</v>
      </c>
      <c r="EG22" s="99">
        <v>8045</v>
      </c>
      <c r="EH22" s="99">
        <v>8304</v>
      </c>
      <c r="EI22" s="99">
        <v>8363</v>
      </c>
      <c r="EJ22" s="99">
        <v>9037</v>
      </c>
      <c r="EK22" s="99">
        <v>9625</v>
      </c>
      <c r="EL22" s="99">
        <v>9750</v>
      </c>
      <c r="EM22" s="99">
        <v>10462</v>
      </c>
      <c r="EN22" s="99">
        <v>10490</v>
      </c>
      <c r="EO22" s="99">
        <v>11151.244465379345</v>
      </c>
      <c r="EP22" s="99">
        <v>11600.470669209095</v>
      </c>
      <c r="EQ22" s="99">
        <v>12407.370410324313</v>
      </c>
      <c r="ER22" s="180">
        <v>13243.065761780255</v>
      </c>
      <c r="ES22" s="180">
        <v>13668.092329243203</v>
      </c>
      <c r="ET22" s="180">
        <v>13850.976619176465</v>
      </c>
      <c r="EU22" s="180">
        <v>14018.772595978517</v>
      </c>
      <c r="EV22" s="180">
        <v>15358.196700500072</v>
      </c>
      <c r="EW22" s="181">
        <v>16125.309133136896</v>
      </c>
      <c r="EX22" s="180">
        <v>16299.739202062476</v>
      </c>
      <c r="EY22" s="180">
        <v>17163.589732724402</v>
      </c>
      <c r="EZ22" s="180">
        <v>17802.033212978222</v>
      </c>
      <c r="FA22" s="180">
        <v>18140.672982297343</v>
      </c>
      <c r="FB22" s="180">
        <v>18328.391120275443</v>
      </c>
      <c r="FC22" s="181">
        <v>19087.582598792374</v>
      </c>
      <c r="FD22" s="180">
        <v>20710.628259258327</v>
      </c>
      <c r="FE22" s="180">
        <v>21203.418769593103</v>
      </c>
      <c r="FF22" s="180">
        <v>21126.799517173138</v>
      </c>
      <c r="FG22" s="180">
        <v>21537.388886875673</v>
      </c>
      <c r="FH22" s="180">
        <v>23737.353845715705</v>
      </c>
      <c r="FI22" s="180">
        <v>23625.877104077343</v>
      </c>
      <c r="FJ22" s="180">
        <v>26139.200004175647</v>
      </c>
      <c r="FK22" s="100">
        <v>20486</v>
      </c>
      <c r="FL22" s="100">
        <v>19068</v>
      </c>
      <c r="FM22" s="99">
        <v>19224</v>
      </c>
      <c r="FN22" s="99">
        <v>20286</v>
      </c>
      <c r="FO22" s="99">
        <v>20829</v>
      </c>
      <c r="FP22" s="99">
        <v>22840</v>
      </c>
      <c r="FQ22" s="100">
        <v>25165</v>
      </c>
      <c r="FR22" s="99">
        <v>25708</v>
      </c>
      <c r="FS22" s="99">
        <v>27507</v>
      </c>
      <c r="FT22" s="99">
        <v>28295</v>
      </c>
      <c r="FU22" s="99">
        <v>30030</v>
      </c>
      <c r="FV22" s="99">
        <v>31801</v>
      </c>
      <c r="FW22" s="99">
        <v>33213</v>
      </c>
      <c r="FX22" s="99">
        <v>32811</v>
      </c>
      <c r="FY22" s="99">
        <v>32183</v>
      </c>
      <c r="FZ22" s="99">
        <v>32139</v>
      </c>
      <c r="GA22" s="99">
        <v>33873</v>
      </c>
      <c r="GB22" s="99">
        <v>35982</v>
      </c>
      <c r="GC22" s="99">
        <v>37491</v>
      </c>
      <c r="GD22" s="99">
        <v>39678.709439486163</v>
      </c>
      <c r="GE22" s="99">
        <v>39354.657921503007</v>
      </c>
      <c r="GF22" s="99">
        <v>40001.149791489283</v>
      </c>
      <c r="GG22" s="180">
        <v>38766.562546620742</v>
      </c>
      <c r="GH22" s="180">
        <v>39222.01141869164</v>
      </c>
      <c r="GI22" s="180">
        <v>40489.462246684037</v>
      </c>
      <c r="GJ22" s="180">
        <v>39853.477923644095</v>
      </c>
      <c r="GK22" s="180">
        <v>41315.224484040591</v>
      </c>
      <c r="GL22" s="181">
        <v>41705.96021654582</v>
      </c>
      <c r="GM22" s="180">
        <v>41256.050501272672</v>
      </c>
      <c r="GN22" s="180">
        <v>41514.395325179838</v>
      </c>
      <c r="GO22" s="180">
        <v>41825.079121542331</v>
      </c>
      <c r="GP22" s="180">
        <v>42729.537116483167</v>
      </c>
      <c r="GQ22" s="180">
        <v>43782.069466296263</v>
      </c>
      <c r="GR22" s="181">
        <v>44966.447638916201</v>
      </c>
      <c r="GS22" s="180">
        <v>45209.103828946012</v>
      </c>
      <c r="GT22" s="180">
        <v>44788.7702486942</v>
      </c>
      <c r="GU22" s="180">
        <v>43718.964226901386</v>
      </c>
      <c r="GV22" s="180">
        <v>42100.995642319889</v>
      </c>
      <c r="GW22" s="180">
        <v>43490.519187014805</v>
      </c>
      <c r="GX22" s="180">
        <v>44837.121613094401</v>
      </c>
      <c r="GY22" s="180">
        <v>46942.928290133124</v>
      </c>
      <c r="GZ22" s="100">
        <v>45257</v>
      </c>
      <c r="HA22" s="100">
        <v>45513</v>
      </c>
      <c r="HB22" s="99">
        <v>47892</v>
      </c>
      <c r="HC22" s="99">
        <v>49375</v>
      </c>
      <c r="HD22" s="99">
        <v>50041</v>
      </c>
      <c r="HE22" s="99">
        <v>54131</v>
      </c>
      <c r="HF22" s="100">
        <v>60362</v>
      </c>
      <c r="HG22" s="99">
        <v>63082</v>
      </c>
      <c r="HH22" s="99">
        <v>68314</v>
      </c>
      <c r="HI22" s="99">
        <v>69595</v>
      </c>
      <c r="HJ22" s="99">
        <v>74466</v>
      </c>
      <c r="HK22" s="99">
        <v>80777</v>
      </c>
      <c r="HL22" s="99">
        <v>85412</v>
      </c>
      <c r="HM22" s="99">
        <v>84566</v>
      </c>
      <c r="HN22" s="99">
        <v>85455</v>
      </c>
      <c r="HO22" s="99">
        <v>86332</v>
      </c>
      <c r="HP22" s="99">
        <v>94571</v>
      </c>
      <c r="HQ22" s="99">
        <v>104854</v>
      </c>
      <c r="HR22" s="99">
        <v>120985</v>
      </c>
      <c r="HS22" s="99">
        <v>127719</v>
      </c>
      <c r="HT22" s="99">
        <v>131045</v>
      </c>
      <c r="HU22" s="99">
        <v>139783</v>
      </c>
      <c r="HV22" s="180">
        <v>139946.56638077475</v>
      </c>
      <c r="HW22" s="180">
        <v>145300.82049166452</v>
      </c>
      <c r="HX22" s="180">
        <v>153899.66378138005</v>
      </c>
      <c r="HY22" s="180">
        <v>153399.42128883838</v>
      </c>
      <c r="HZ22" s="180">
        <v>162848.86325539855</v>
      </c>
      <c r="IA22" s="181">
        <v>169963.79265977946</v>
      </c>
      <c r="IB22" s="180">
        <v>168816.35033549267</v>
      </c>
      <c r="IC22" s="180">
        <v>173798.00930000292</v>
      </c>
      <c r="ID22" s="180">
        <v>176987.86121745093</v>
      </c>
      <c r="IE22" s="180">
        <v>181242.68457901719</v>
      </c>
      <c r="IF22" s="180">
        <v>184850.01099292075</v>
      </c>
      <c r="IG22" s="181">
        <v>190738.81510302288</v>
      </c>
      <c r="IH22" s="180">
        <v>190482.10218614788</v>
      </c>
      <c r="II22" s="180">
        <v>188792.82536971293</v>
      </c>
      <c r="IJ22" s="180">
        <v>177366.37950536239</v>
      </c>
      <c r="IK22" s="180">
        <v>170894.29283425689</v>
      </c>
      <c r="IL22" s="180">
        <v>171385.56823117664</v>
      </c>
      <c r="IM22" s="180">
        <v>173834.68669660189</v>
      </c>
      <c r="IN22" s="180">
        <v>177577.14078975105</v>
      </c>
      <c r="IO22" s="100">
        <v>92021</v>
      </c>
      <c r="IP22" s="100">
        <v>91241</v>
      </c>
      <c r="IQ22" s="99">
        <v>90711</v>
      </c>
      <c r="IR22" s="99">
        <v>95072</v>
      </c>
      <c r="IS22" s="99">
        <v>95226</v>
      </c>
      <c r="IT22" s="99">
        <v>98868</v>
      </c>
      <c r="IU22" s="100">
        <v>104792</v>
      </c>
      <c r="IV22" s="99">
        <v>107777</v>
      </c>
      <c r="IW22" s="99">
        <v>109721</v>
      </c>
      <c r="IX22" s="99">
        <v>109634</v>
      </c>
      <c r="IY22" s="99">
        <v>112386</v>
      </c>
      <c r="IZ22" s="99">
        <v>116818</v>
      </c>
      <c r="JA22" s="99">
        <v>116499</v>
      </c>
      <c r="JB22" s="99">
        <v>113213</v>
      </c>
      <c r="JC22" s="99">
        <v>112994</v>
      </c>
      <c r="JD22" s="99">
        <v>112215</v>
      </c>
      <c r="JE22" s="99">
        <v>112983</v>
      </c>
      <c r="JF22" s="99">
        <v>112016</v>
      </c>
      <c r="JG22" s="99">
        <v>110456</v>
      </c>
      <c r="JH22" s="99">
        <v>110458.28100051018</v>
      </c>
      <c r="JI22" s="99">
        <v>109059.65570121603</v>
      </c>
      <c r="JJ22" s="99">
        <v>107843.19920750661</v>
      </c>
      <c r="JK22" s="180">
        <v>107432.48898079433</v>
      </c>
      <c r="JL22" s="180">
        <v>106284.46483400451</v>
      </c>
      <c r="JM22" s="180">
        <v>106644.49513252685</v>
      </c>
      <c r="JN22" s="180">
        <v>107282.51919655618</v>
      </c>
      <c r="JO22" s="180">
        <v>108760.75497159123</v>
      </c>
      <c r="JP22" s="181">
        <v>107870.33204693906</v>
      </c>
      <c r="JQ22" s="180">
        <v>106092.38940781695</v>
      </c>
      <c r="JR22" s="180">
        <v>106255.95078980822</v>
      </c>
      <c r="JS22" s="180">
        <v>105850.85472064863</v>
      </c>
      <c r="JT22" s="180">
        <v>106352.81816118406</v>
      </c>
      <c r="JU22" s="180">
        <v>105943.00662648222</v>
      </c>
      <c r="JV22" s="181">
        <v>107873.78560006797</v>
      </c>
      <c r="JW22" s="180">
        <v>107030.39314611876</v>
      </c>
      <c r="JX22" s="180">
        <v>105781.14860982803</v>
      </c>
      <c r="JY22" s="180">
        <v>103515.35114646111</v>
      </c>
      <c r="JZ22" s="180">
        <v>102339.50106492547</v>
      </c>
      <c r="KA22" s="180">
        <v>103780.49897033852</v>
      </c>
      <c r="KB22" s="180">
        <v>104567.16195930426</v>
      </c>
      <c r="KC22" s="180">
        <v>107907.07692199714</v>
      </c>
    </row>
    <row r="23" spans="1:289">
      <c r="A23" s="173" t="s">
        <v>48</v>
      </c>
      <c r="B23" s="100">
        <v>57338</v>
      </c>
      <c r="C23" s="100">
        <v>56948</v>
      </c>
      <c r="D23" s="99">
        <v>56140</v>
      </c>
      <c r="E23" s="99">
        <v>58260</v>
      </c>
      <c r="F23" s="99">
        <v>58166</v>
      </c>
      <c r="G23" s="99">
        <v>60587</v>
      </c>
      <c r="H23" s="100">
        <v>62738</v>
      </c>
      <c r="I23" s="99">
        <v>63875</v>
      </c>
      <c r="J23" s="99">
        <v>65596</v>
      </c>
      <c r="K23" s="99">
        <v>66067</v>
      </c>
      <c r="L23" s="99">
        <v>66519</v>
      </c>
      <c r="M23" s="99">
        <v>72943</v>
      </c>
      <c r="N23" s="99">
        <v>72042</v>
      </c>
      <c r="O23" s="99">
        <v>73667</v>
      </c>
      <c r="P23" s="99">
        <v>69597</v>
      </c>
      <c r="Q23" s="99">
        <v>73997</v>
      </c>
      <c r="R23" s="99">
        <v>77369</v>
      </c>
      <c r="S23" s="99">
        <v>79651</v>
      </c>
      <c r="T23" s="99">
        <v>81511</v>
      </c>
      <c r="U23" s="99">
        <v>82895</v>
      </c>
      <c r="V23" s="99">
        <v>83336</v>
      </c>
      <c r="W23" s="99">
        <v>83279</v>
      </c>
      <c r="X23" s="546">
        <v>86880</v>
      </c>
      <c r="Y23" s="180">
        <v>82489.861872177891</v>
      </c>
      <c r="Z23" s="180">
        <v>81921.221123698328</v>
      </c>
      <c r="AA23" s="180">
        <v>82859.38757308964</v>
      </c>
      <c r="AB23" s="180">
        <v>82360.090046770551</v>
      </c>
      <c r="AC23" s="180">
        <v>84962.285778618185</v>
      </c>
      <c r="AD23" s="181">
        <v>85009.880798788494</v>
      </c>
      <c r="AE23" s="180">
        <v>84855.133147637694</v>
      </c>
      <c r="AF23" s="180">
        <v>84884.746102711579</v>
      </c>
      <c r="AG23" s="180">
        <v>86464.693379105534</v>
      </c>
      <c r="AH23" s="180">
        <v>86675.576925370624</v>
      </c>
      <c r="AI23" s="180">
        <v>88411.166050902044</v>
      </c>
      <c r="AJ23" s="181">
        <v>90658.711406049217</v>
      </c>
      <c r="AK23" s="180">
        <v>88650.856630942246</v>
      </c>
      <c r="AL23" s="180">
        <v>87137.768042828277</v>
      </c>
      <c r="AM23" s="180">
        <v>85353.16389242727</v>
      </c>
      <c r="AN23" s="180">
        <v>85038.23197810704</v>
      </c>
      <c r="AO23" s="180">
        <v>85460.80236857108</v>
      </c>
      <c r="AP23" s="180">
        <v>84726.907320882674</v>
      </c>
      <c r="AQ23" s="180">
        <v>85656.249118230669</v>
      </c>
      <c r="AR23" s="533">
        <f t="shared" si="25"/>
        <v>2676</v>
      </c>
      <c r="AS23" s="534">
        <f t="shared" si="26"/>
        <v>2708</v>
      </c>
      <c r="AT23" s="534">
        <f t="shared" si="27"/>
        <v>2720</v>
      </c>
      <c r="AU23" s="534">
        <f t="shared" si="28"/>
        <v>2744</v>
      </c>
      <c r="AV23" s="534">
        <f t="shared" si="29"/>
        <v>2716</v>
      </c>
      <c r="AW23" s="534">
        <f t="shared" si="30"/>
        <v>2835</v>
      </c>
      <c r="AX23" s="534">
        <f t="shared" si="31"/>
        <v>2877</v>
      </c>
      <c r="AY23" s="534">
        <f t="shared" si="32"/>
        <v>3076</v>
      </c>
      <c r="AZ23" s="534">
        <f t="shared" si="33"/>
        <v>3233</v>
      </c>
      <c r="BA23" s="534">
        <f t="shared" si="34"/>
        <v>3456</v>
      </c>
      <c r="BB23" s="534">
        <f t="shared" si="35"/>
        <v>3496</v>
      </c>
      <c r="BC23" s="534">
        <f t="shared" si="36"/>
        <v>3865.5</v>
      </c>
      <c r="BD23" s="534">
        <f t="shared" si="37"/>
        <v>3747</v>
      </c>
      <c r="BE23" s="534">
        <f t="shared" si="38"/>
        <v>4191</v>
      </c>
      <c r="BF23" s="534">
        <f t="shared" si="39"/>
        <v>4276</v>
      </c>
      <c r="BG23" s="534">
        <f t="shared" si="40"/>
        <v>4491</v>
      </c>
      <c r="BH23" s="534">
        <f t="shared" si="41"/>
        <v>4889</v>
      </c>
      <c r="BI23" s="534">
        <f t="shared" si="42"/>
        <v>4998</v>
      </c>
      <c r="BJ23" s="534">
        <f t="shared" si="43"/>
        <v>5230</v>
      </c>
      <c r="BK23" s="534">
        <f t="shared" si="44"/>
        <v>5598.4799377397048</v>
      </c>
      <c r="BL23" s="534">
        <f t="shared" si="45"/>
        <v>5535.3720321076134</v>
      </c>
      <c r="BM23" s="534">
        <f t="shared" si="46"/>
        <v>5802.7131172815916</v>
      </c>
      <c r="BN23" s="186">
        <f t="shared" si="47"/>
        <v>6143.0595469640402</v>
      </c>
      <c r="BO23" s="186">
        <f t="shared" si="48"/>
        <v>6073.9985689811692</v>
      </c>
      <c r="BP23" s="186">
        <f t="shared" si="49"/>
        <v>6293.929211610196</v>
      </c>
      <c r="BQ23" s="186">
        <f t="shared" si="50"/>
        <v>6350.7220986860475</v>
      </c>
      <c r="BR23" s="186">
        <f t="shared" si="51"/>
        <v>6907.8367281645278</v>
      </c>
      <c r="BS23" s="186">
        <f t="shared" si="52"/>
        <v>7228.5801029932936</v>
      </c>
      <c r="BT23" s="186">
        <f t="shared" si="53"/>
        <v>7576.177165924455</v>
      </c>
      <c r="BU23" s="186">
        <f t="shared" si="54"/>
        <v>7909.3762102257806</v>
      </c>
      <c r="BV23" s="186">
        <f t="shared" si="55"/>
        <v>8266.9469395839296</v>
      </c>
      <c r="BW23" s="186">
        <f t="shared" si="56"/>
        <v>8406.6122145688423</v>
      </c>
      <c r="BX23" s="186">
        <f t="shared" si="57"/>
        <v>8683.4003441346049</v>
      </c>
      <c r="BY23" s="186">
        <f t="shared" si="58"/>
        <v>8996.2466794993124</v>
      </c>
      <c r="BZ23" s="186">
        <f t="shared" si="59"/>
        <v>8982.651710886088</v>
      </c>
      <c r="CA23" s="186">
        <f t="shared" si="60"/>
        <v>9206.2460255802362</v>
      </c>
      <c r="CB23" s="186">
        <f t="shared" si="61"/>
        <v>9128.2249527220774</v>
      </c>
      <c r="CC23" s="186">
        <f t="shared" si="62"/>
        <v>9017.916649256591</v>
      </c>
      <c r="CD23" s="186">
        <f t="shared" si="63"/>
        <v>9482.9784570202228</v>
      </c>
      <c r="CE23" s="186">
        <f t="shared" si="64"/>
        <v>9212.9963930436352</v>
      </c>
      <c r="CF23" s="186">
        <f t="shared" si="65"/>
        <v>9680.7084659210686</v>
      </c>
      <c r="CG23" s="100">
        <v>94</v>
      </c>
      <c r="CH23" s="100">
        <v>81</v>
      </c>
      <c r="CI23" s="99">
        <v>101</v>
      </c>
      <c r="CJ23" s="99">
        <v>90</v>
      </c>
      <c r="CK23" s="99">
        <v>109</v>
      </c>
      <c r="CL23" s="99">
        <v>120</v>
      </c>
      <c r="CM23" s="100">
        <v>124</v>
      </c>
      <c r="CN23" s="99">
        <v>121</v>
      </c>
      <c r="CO23" s="99">
        <v>163</v>
      </c>
      <c r="CP23" s="99">
        <v>145</v>
      </c>
      <c r="CQ23" s="99">
        <v>143</v>
      </c>
      <c r="CR23" s="99">
        <v>149.5</v>
      </c>
      <c r="CS23" s="99">
        <v>156</v>
      </c>
      <c r="CT23" s="99">
        <v>178</v>
      </c>
      <c r="CU23" s="99">
        <v>198</v>
      </c>
      <c r="CV23" s="99">
        <v>181</v>
      </c>
      <c r="CW23" s="99">
        <v>200</v>
      </c>
      <c r="CX23" s="99">
        <v>240</v>
      </c>
      <c r="CY23" s="99">
        <v>260</v>
      </c>
      <c r="CZ23" s="99">
        <v>299.67640482616792</v>
      </c>
      <c r="DA23" s="99">
        <v>269.86815433978887</v>
      </c>
      <c r="DB23" s="99">
        <v>277.22696644818399</v>
      </c>
      <c r="DC23" s="180">
        <v>269.678903024958</v>
      </c>
      <c r="DD23" s="180">
        <v>284.93390359485505</v>
      </c>
      <c r="DE23" s="180">
        <v>281.60478487078586</v>
      </c>
      <c r="DF23" s="180">
        <v>297.5644955197298</v>
      </c>
      <c r="DG23" s="180">
        <v>258.74811867071975</v>
      </c>
      <c r="DH23" s="181">
        <v>261.28751068784828</v>
      </c>
      <c r="DI23" s="180">
        <v>275.28954874835534</v>
      </c>
      <c r="DJ23" s="180">
        <v>260.4315371922458</v>
      </c>
      <c r="DK23" s="180">
        <v>258.57626860829527</v>
      </c>
      <c r="DL23" s="180">
        <v>299.48352944793425</v>
      </c>
      <c r="DM23" s="180">
        <v>335.35214451718514</v>
      </c>
      <c r="DN23" s="181">
        <v>360.01548691232375</v>
      </c>
      <c r="DO23" s="180">
        <v>362.07313647786407</v>
      </c>
      <c r="DP23" s="180">
        <v>341.62331379365764</v>
      </c>
      <c r="DQ23" s="180">
        <v>337.76986587499454</v>
      </c>
      <c r="DR23" s="180">
        <v>245.75363147674736</v>
      </c>
      <c r="DS23" s="180">
        <v>415.98187949905173</v>
      </c>
      <c r="DT23" s="180">
        <v>471.06757244270904</v>
      </c>
      <c r="DU23" s="180">
        <v>377.48382982637833</v>
      </c>
      <c r="DV23" s="100">
        <v>2582</v>
      </c>
      <c r="DW23" s="100">
        <v>2627</v>
      </c>
      <c r="DX23" s="99">
        <v>2619</v>
      </c>
      <c r="DY23" s="99">
        <v>2654</v>
      </c>
      <c r="DZ23" s="99">
        <v>2607</v>
      </c>
      <c r="EA23" s="99">
        <v>2715</v>
      </c>
      <c r="EB23" s="100">
        <v>2753</v>
      </c>
      <c r="EC23" s="99">
        <v>2955</v>
      </c>
      <c r="ED23" s="99">
        <v>3070</v>
      </c>
      <c r="EE23" s="99">
        <v>3311</v>
      </c>
      <c r="EF23" s="99">
        <v>3353</v>
      </c>
      <c r="EG23" s="99">
        <v>3716</v>
      </c>
      <c r="EH23" s="99">
        <v>3591</v>
      </c>
      <c r="EI23" s="99">
        <v>4013</v>
      </c>
      <c r="EJ23" s="99">
        <v>4078</v>
      </c>
      <c r="EK23" s="99">
        <v>4310</v>
      </c>
      <c r="EL23" s="99">
        <v>4689</v>
      </c>
      <c r="EM23" s="99">
        <v>4758</v>
      </c>
      <c r="EN23" s="99">
        <v>4970</v>
      </c>
      <c r="EO23" s="99">
        <v>5298.8035329135373</v>
      </c>
      <c r="EP23" s="99">
        <v>5265.5038777678246</v>
      </c>
      <c r="EQ23" s="99">
        <v>5525.4861508334079</v>
      </c>
      <c r="ER23" s="180">
        <v>5873.3806439390819</v>
      </c>
      <c r="ES23" s="180">
        <v>5789.0646653863141</v>
      </c>
      <c r="ET23" s="180">
        <v>6012.3244267394102</v>
      </c>
      <c r="EU23" s="180">
        <v>6053.157603166318</v>
      </c>
      <c r="EV23" s="180">
        <v>6649.0886094938078</v>
      </c>
      <c r="EW23" s="181">
        <v>6967.2925923054454</v>
      </c>
      <c r="EX23" s="180">
        <v>7300.8876171760994</v>
      </c>
      <c r="EY23" s="180">
        <v>7648.9446730335349</v>
      </c>
      <c r="EZ23" s="180">
        <v>8008.3706709756352</v>
      </c>
      <c r="FA23" s="180">
        <v>8107.1286851209088</v>
      </c>
      <c r="FB23" s="180">
        <v>8348.0481996174203</v>
      </c>
      <c r="FC23" s="181">
        <v>8636.231192586989</v>
      </c>
      <c r="FD23" s="180">
        <v>8620.5785744082241</v>
      </c>
      <c r="FE23" s="180">
        <v>8864.6227117865783</v>
      </c>
      <c r="FF23" s="180">
        <v>8790.4550868470833</v>
      </c>
      <c r="FG23" s="180">
        <v>8772.1630177798434</v>
      </c>
      <c r="FH23" s="180">
        <v>9066.9965775211713</v>
      </c>
      <c r="FI23" s="180">
        <v>8741.928820600926</v>
      </c>
      <c r="FJ23" s="180">
        <v>9303.2246360946901</v>
      </c>
      <c r="FK23" s="100">
        <v>11430</v>
      </c>
      <c r="FL23" s="100">
        <v>11874</v>
      </c>
      <c r="FM23" s="99">
        <v>11698</v>
      </c>
      <c r="FN23" s="99">
        <v>12469</v>
      </c>
      <c r="FO23" s="99">
        <v>12655</v>
      </c>
      <c r="FP23" s="99">
        <v>13482</v>
      </c>
      <c r="FQ23" s="100">
        <v>14391</v>
      </c>
      <c r="FR23" s="99">
        <v>14637</v>
      </c>
      <c r="FS23" s="99">
        <v>15042</v>
      </c>
      <c r="FT23" s="99">
        <v>14930</v>
      </c>
      <c r="FU23" s="99">
        <v>15084</v>
      </c>
      <c r="FV23" s="99">
        <v>16896</v>
      </c>
      <c r="FW23" s="99">
        <v>16751</v>
      </c>
      <c r="FX23" s="99">
        <v>17042</v>
      </c>
      <c r="FY23" s="99">
        <v>15774</v>
      </c>
      <c r="FZ23" s="99">
        <v>16982</v>
      </c>
      <c r="GA23" s="99">
        <v>17960</v>
      </c>
      <c r="GB23" s="99">
        <v>18961</v>
      </c>
      <c r="GC23" s="99">
        <v>19642</v>
      </c>
      <c r="GD23" s="99">
        <v>20307.692045147058</v>
      </c>
      <c r="GE23" s="99">
        <v>20217.984370935479</v>
      </c>
      <c r="GF23" s="99">
        <v>19430.102373960297</v>
      </c>
      <c r="GG23" s="180">
        <v>18855.404067073763</v>
      </c>
      <c r="GH23" s="180">
        <v>18729.294731630431</v>
      </c>
      <c r="GI23" s="180">
        <v>19052.481191165603</v>
      </c>
      <c r="GJ23" s="180">
        <v>18507.286600916632</v>
      </c>
      <c r="GK23" s="180">
        <v>19105.024061740314</v>
      </c>
      <c r="GL23" s="181">
        <v>18654.836163363772</v>
      </c>
      <c r="GM23" s="180">
        <v>18605.380340418964</v>
      </c>
      <c r="GN23" s="180">
        <v>18287.588565317703</v>
      </c>
      <c r="GO23" s="180">
        <v>18278.006683525004</v>
      </c>
      <c r="GP23" s="180">
        <v>18450.813722242699</v>
      </c>
      <c r="GQ23" s="180">
        <v>18858.938085193447</v>
      </c>
      <c r="GR23" s="181">
        <v>19493.237287501419</v>
      </c>
      <c r="GS23" s="180">
        <v>19138.934242118659</v>
      </c>
      <c r="GT23" s="180">
        <v>18923.228648222925</v>
      </c>
      <c r="GU23" s="180">
        <v>18343.681229887596</v>
      </c>
      <c r="GV23" s="180">
        <v>17945.887185671192</v>
      </c>
      <c r="GW23" s="180">
        <v>18007.187026277843</v>
      </c>
      <c r="GX23" s="180">
        <v>17964.235759296746</v>
      </c>
      <c r="GY23" s="180">
        <v>17716.489188084317</v>
      </c>
      <c r="GZ23" s="100">
        <v>1120</v>
      </c>
      <c r="HA23" s="100">
        <v>1224</v>
      </c>
      <c r="HB23" s="99">
        <v>1390</v>
      </c>
      <c r="HC23" s="99">
        <v>1407</v>
      </c>
      <c r="HD23" s="99">
        <v>1597</v>
      </c>
      <c r="HE23" s="99">
        <v>1685</v>
      </c>
      <c r="HF23" s="100">
        <v>1679</v>
      </c>
      <c r="HG23" s="99">
        <v>1904</v>
      </c>
      <c r="HH23" s="99">
        <v>2039</v>
      </c>
      <c r="HI23" s="99">
        <v>2342</v>
      </c>
      <c r="HJ23" s="99">
        <v>2454</v>
      </c>
      <c r="HK23" s="99">
        <v>2894</v>
      </c>
      <c r="HL23" s="99">
        <v>2956</v>
      </c>
      <c r="HM23" s="99">
        <v>3556</v>
      </c>
      <c r="HN23" s="99">
        <v>3537</v>
      </c>
      <c r="HO23" s="99">
        <v>3916</v>
      </c>
      <c r="HP23" s="99">
        <v>4394</v>
      </c>
      <c r="HQ23" s="99">
        <v>4960</v>
      </c>
      <c r="HR23" s="99">
        <v>5508</v>
      </c>
      <c r="HS23" s="99">
        <v>6901</v>
      </c>
      <c r="HT23" s="99">
        <v>7542</v>
      </c>
      <c r="HU23" s="99">
        <v>8055</v>
      </c>
      <c r="HV23" s="180">
        <v>8093.5114242730979</v>
      </c>
      <c r="HW23" s="180">
        <v>8653.9725494462255</v>
      </c>
      <c r="HX23" s="180">
        <v>9489.953003676761</v>
      </c>
      <c r="HY23" s="180">
        <v>10103.438433451969</v>
      </c>
      <c r="HZ23" s="180">
        <v>10996.481244920833</v>
      </c>
      <c r="IA23" s="181">
        <v>11722.196413222508</v>
      </c>
      <c r="IB23" s="180">
        <v>12765.241993966201</v>
      </c>
      <c r="IC23" s="180">
        <v>13346.51395672107</v>
      </c>
      <c r="ID23" s="180">
        <v>14561.229534293314</v>
      </c>
      <c r="IE23" s="180">
        <v>15694.071244950846</v>
      </c>
      <c r="IF23" s="180">
        <v>17231.710956155413</v>
      </c>
      <c r="IG23" s="181">
        <v>18758.893154397345</v>
      </c>
      <c r="IH23" s="180">
        <v>17722.496946790525</v>
      </c>
      <c r="II23" s="180">
        <v>16848.030066248972</v>
      </c>
      <c r="IJ23" s="180">
        <v>15327.711926501341</v>
      </c>
      <c r="IK23" s="180">
        <v>15314.708219744616</v>
      </c>
      <c r="IL23" s="180">
        <v>15928.120105787833</v>
      </c>
      <c r="IM23" s="180">
        <v>16112.067300518069</v>
      </c>
      <c r="IN23" s="180">
        <v>16602.444612094372</v>
      </c>
      <c r="IO23" s="100">
        <v>42112</v>
      </c>
      <c r="IP23" s="100">
        <v>41142</v>
      </c>
      <c r="IQ23" s="99">
        <v>40332</v>
      </c>
      <c r="IR23" s="99">
        <v>41640</v>
      </c>
      <c r="IS23" s="99">
        <v>41198</v>
      </c>
      <c r="IT23" s="99">
        <v>42585</v>
      </c>
      <c r="IU23" s="100">
        <v>43791</v>
      </c>
      <c r="IV23" s="99">
        <v>44258</v>
      </c>
      <c r="IW23" s="99">
        <v>45282</v>
      </c>
      <c r="IX23" s="99">
        <v>45339</v>
      </c>
      <c r="IY23" s="99">
        <v>45485</v>
      </c>
      <c r="IZ23" s="99">
        <v>48605</v>
      </c>
      <c r="JA23" s="99">
        <v>48300</v>
      </c>
      <c r="JB23" s="99">
        <v>48428</v>
      </c>
      <c r="JC23" s="99">
        <v>46010</v>
      </c>
      <c r="JD23" s="99">
        <v>47804</v>
      </c>
      <c r="JE23" s="99">
        <v>49155</v>
      </c>
      <c r="JF23" s="99">
        <v>49490</v>
      </c>
      <c r="JG23" s="99">
        <v>49860</v>
      </c>
      <c r="JH23" s="99">
        <v>50087.828017113236</v>
      </c>
      <c r="JI23" s="99">
        <v>50040.643596956907</v>
      </c>
      <c r="JJ23" s="99">
        <v>49991.18450875811</v>
      </c>
      <c r="JK23" s="180">
        <v>49356.477896034048</v>
      </c>
      <c r="JL23" s="180">
        <v>48571.696950621219</v>
      </c>
      <c r="JM23" s="180">
        <v>48590.431591313361</v>
      </c>
      <c r="JN23" s="180">
        <v>48303.350803772053</v>
      </c>
      <c r="JO23" s="180">
        <v>49257.539769612835</v>
      </c>
      <c r="JP23" s="181">
        <v>49172.942047733333</v>
      </c>
      <c r="JQ23" s="180">
        <v>48261.447305257236</v>
      </c>
      <c r="JR23" s="180">
        <v>48370.233618195212</v>
      </c>
      <c r="JS23" s="180">
        <v>49150.617306617038</v>
      </c>
      <c r="JT23" s="180">
        <v>48583.971585882042</v>
      </c>
      <c r="JU23" s="180">
        <v>48975.268149593801</v>
      </c>
      <c r="JV23" s="181">
        <v>49684.457878301015</v>
      </c>
      <c r="JW23" s="180">
        <v>48386.156211112408</v>
      </c>
      <c r="JX23" s="180">
        <v>47532.454547026282</v>
      </c>
      <c r="JY23" s="180">
        <v>47468.374104847564</v>
      </c>
      <c r="JZ23" s="180">
        <v>47486.928793737243</v>
      </c>
      <c r="KA23" s="180">
        <v>47245.853175309574</v>
      </c>
      <c r="KB23" s="180">
        <v>46620.951468331128</v>
      </c>
      <c r="KC23" s="180">
        <v>47085.888183178628</v>
      </c>
    </row>
    <row r="24" spans="1:289">
      <c r="A24" s="174" t="s">
        <v>49</v>
      </c>
      <c r="B24" s="102">
        <v>20054</v>
      </c>
      <c r="C24" s="102">
        <v>20228</v>
      </c>
      <c r="D24" s="101">
        <v>19884</v>
      </c>
      <c r="E24" s="101">
        <v>20131</v>
      </c>
      <c r="F24" s="101">
        <v>20549</v>
      </c>
      <c r="G24" s="101">
        <v>19573</v>
      </c>
      <c r="H24" s="102">
        <v>20164</v>
      </c>
      <c r="I24" s="101">
        <v>19889</v>
      </c>
      <c r="J24" s="101">
        <v>19437</v>
      </c>
      <c r="K24" s="101">
        <v>18440</v>
      </c>
      <c r="L24" s="101">
        <v>17128</v>
      </c>
      <c r="M24" s="101">
        <v>17287</v>
      </c>
      <c r="N24" s="101">
        <v>17339</v>
      </c>
      <c r="O24" s="101">
        <v>17137</v>
      </c>
      <c r="P24" s="101">
        <v>16763</v>
      </c>
      <c r="Q24" s="101">
        <v>17407</v>
      </c>
      <c r="R24" s="101">
        <v>17489</v>
      </c>
      <c r="S24" s="101">
        <v>17690</v>
      </c>
      <c r="T24" s="101">
        <v>17651</v>
      </c>
      <c r="U24" s="101">
        <v>17311</v>
      </c>
      <c r="V24" s="101">
        <v>17603</v>
      </c>
      <c r="W24" s="101">
        <v>17924</v>
      </c>
      <c r="X24" s="544">
        <v>17670</v>
      </c>
      <c r="Y24" s="182">
        <v>17364.725851846455</v>
      </c>
      <c r="Z24" s="182">
        <v>17138.271289381533</v>
      </c>
      <c r="AA24" s="182">
        <v>17429.730007768892</v>
      </c>
      <c r="AB24" s="182">
        <v>16905.393988950625</v>
      </c>
      <c r="AC24" s="182">
        <v>17217.709411836786</v>
      </c>
      <c r="AD24" s="179">
        <v>16870.097165634423</v>
      </c>
      <c r="AE24" s="182">
        <v>16938.567711557323</v>
      </c>
      <c r="AF24" s="182">
        <v>16680.527756736406</v>
      </c>
      <c r="AG24" s="182">
        <v>16877.017588034247</v>
      </c>
      <c r="AH24" s="182">
        <v>16666.646298626434</v>
      </c>
      <c r="AI24" s="182">
        <v>16572.248940522095</v>
      </c>
      <c r="AJ24" s="179">
        <v>16998.978604700776</v>
      </c>
      <c r="AK24" s="182">
        <v>16957.294054342561</v>
      </c>
      <c r="AL24" s="182">
        <v>16831.638645894</v>
      </c>
      <c r="AM24" s="182">
        <v>16162.265744621953</v>
      </c>
      <c r="AN24" s="182">
        <v>16315.357608678432</v>
      </c>
      <c r="AO24" s="182">
        <v>16302.759164219597</v>
      </c>
      <c r="AP24" s="182">
        <v>16353.006514832618</v>
      </c>
      <c r="AQ24" s="182">
        <v>16007.104366323221</v>
      </c>
      <c r="AR24" s="539">
        <f t="shared" si="25"/>
        <v>126</v>
      </c>
      <c r="AS24" s="540">
        <f t="shared" si="26"/>
        <v>101</v>
      </c>
      <c r="AT24" s="540">
        <f t="shared" si="27"/>
        <v>113</v>
      </c>
      <c r="AU24" s="540">
        <f t="shared" si="28"/>
        <v>152</v>
      </c>
      <c r="AV24" s="540">
        <f t="shared" si="29"/>
        <v>139</v>
      </c>
      <c r="AW24" s="540">
        <f t="shared" si="30"/>
        <v>132</v>
      </c>
      <c r="AX24" s="540">
        <f t="shared" si="31"/>
        <v>149</v>
      </c>
      <c r="AY24" s="540">
        <f t="shared" si="32"/>
        <v>147</v>
      </c>
      <c r="AZ24" s="540">
        <f t="shared" si="33"/>
        <v>157</v>
      </c>
      <c r="BA24" s="540">
        <f t="shared" si="34"/>
        <v>148</v>
      </c>
      <c r="BB24" s="540">
        <f t="shared" si="35"/>
        <v>177</v>
      </c>
      <c r="BC24" s="540">
        <f t="shared" si="36"/>
        <v>169</v>
      </c>
      <c r="BD24" s="540">
        <f t="shared" si="37"/>
        <v>161</v>
      </c>
      <c r="BE24" s="540">
        <f t="shared" si="38"/>
        <v>144</v>
      </c>
      <c r="BF24" s="540">
        <f t="shared" si="39"/>
        <v>158</v>
      </c>
      <c r="BG24" s="540">
        <f t="shared" si="40"/>
        <v>130</v>
      </c>
      <c r="BH24" s="540">
        <f t="shared" si="41"/>
        <v>161</v>
      </c>
      <c r="BI24" s="540">
        <f t="shared" si="42"/>
        <v>165</v>
      </c>
      <c r="BJ24" s="540">
        <f t="shared" si="43"/>
        <v>164.22436173219018</v>
      </c>
      <c r="BK24" s="540">
        <f t="shared" si="44"/>
        <v>148.41139580129285</v>
      </c>
      <c r="BL24" s="540">
        <f t="shared" si="45"/>
        <v>143.4112450803342</v>
      </c>
      <c r="BM24" s="540">
        <f t="shared" si="46"/>
        <v>150.88818739392619</v>
      </c>
      <c r="BN24" s="259">
        <f t="shared" si="47"/>
        <v>150.949020871643</v>
      </c>
      <c r="BO24" s="259">
        <f t="shared" si="48"/>
        <v>169.74847819413429</v>
      </c>
      <c r="BP24" s="259">
        <f t="shared" si="49"/>
        <v>182.85197836247539</v>
      </c>
      <c r="BQ24" s="259">
        <f t="shared" si="50"/>
        <v>160.12180658258021</v>
      </c>
      <c r="BR24" s="259">
        <f t="shared" si="51"/>
        <v>174.53724300866648</v>
      </c>
      <c r="BS24" s="259">
        <f t="shared" si="52"/>
        <v>153.96392540828853</v>
      </c>
      <c r="BT24" s="259">
        <f t="shared" si="53"/>
        <v>159.20254010743707</v>
      </c>
      <c r="BU24" s="259">
        <f t="shared" si="54"/>
        <v>158.66816077707546</v>
      </c>
      <c r="BV24" s="259">
        <f t="shared" si="55"/>
        <v>161.78679666026895</v>
      </c>
      <c r="BW24" s="259">
        <f t="shared" si="56"/>
        <v>155.25663340578774</v>
      </c>
      <c r="BX24" s="259">
        <f t="shared" si="57"/>
        <v>163.27436557594052</v>
      </c>
      <c r="BY24" s="259">
        <f t="shared" si="58"/>
        <v>144.99210570016299</v>
      </c>
      <c r="BZ24" s="259">
        <f t="shared" si="59"/>
        <v>167.01100165694834</v>
      </c>
      <c r="CA24" s="259">
        <f t="shared" si="60"/>
        <v>136.39258977153503</v>
      </c>
      <c r="CB24" s="259">
        <f t="shared" si="61"/>
        <v>170.9564992085752</v>
      </c>
      <c r="CC24" s="259">
        <f t="shared" si="62"/>
        <v>163.74407746962297</v>
      </c>
      <c r="CD24" s="259">
        <f t="shared" si="63"/>
        <v>153.07049506465864</v>
      </c>
      <c r="CE24" s="259">
        <f t="shared" si="64"/>
        <v>187.13760310940211</v>
      </c>
      <c r="CF24" s="259">
        <f t="shared" si="65"/>
        <v>168.65439957868881</v>
      </c>
      <c r="CG24" s="102">
        <v>7</v>
      </c>
      <c r="CH24" s="102">
        <v>8</v>
      </c>
      <c r="CI24" s="101">
        <v>13</v>
      </c>
      <c r="CJ24" s="101">
        <v>28</v>
      </c>
      <c r="CK24" s="101">
        <v>40</v>
      </c>
      <c r="CL24" s="101">
        <v>26</v>
      </c>
      <c r="CM24" s="102">
        <v>32</v>
      </c>
      <c r="CN24" s="101">
        <v>23</v>
      </c>
      <c r="CO24" s="101">
        <v>23</v>
      </c>
      <c r="CP24" s="101">
        <v>17</v>
      </c>
      <c r="CQ24" s="101">
        <v>29</v>
      </c>
      <c r="CR24" s="101">
        <v>13</v>
      </c>
      <c r="CS24" s="101">
        <v>12</v>
      </c>
      <c r="CT24" s="101">
        <v>14</v>
      </c>
      <c r="CU24" s="101">
        <v>21</v>
      </c>
      <c r="CV24" s="101">
        <v>16</v>
      </c>
      <c r="CW24" s="101">
        <v>14</v>
      </c>
      <c r="CX24" s="101">
        <v>16</v>
      </c>
      <c r="CY24" s="101">
        <v>21.023345350326331</v>
      </c>
      <c r="CZ24" s="101">
        <v>17.04658558707478</v>
      </c>
      <c r="DA24" s="101">
        <v>13.046087462889004</v>
      </c>
      <c r="DB24" s="101">
        <v>19.098637889458338</v>
      </c>
      <c r="DC24" s="182">
        <v>13.92553193029153</v>
      </c>
      <c r="DD24" s="182">
        <v>21.248705088802051</v>
      </c>
      <c r="DE24" s="182">
        <v>24.382313100602829</v>
      </c>
      <c r="DF24" s="182">
        <v>20.043323026865785</v>
      </c>
      <c r="DG24" s="182">
        <v>27.172404040547161</v>
      </c>
      <c r="DH24" s="179">
        <v>16.357270540888912</v>
      </c>
      <c r="DI24" s="182">
        <v>13.995300819757345</v>
      </c>
      <c r="DJ24" s="182">
        <v>19.442931418548152</v>
      </c>
      <c r="DK24" s="182">
        <v>21.517855558684978</v>
      </c>
      <c r="DL24" s="182">
        <v>17.97566132378709</v>
      </c>
      <c r="DM24" s="182">
        <v>18.927450460359065</v>
      </c>
      <c r="DN24" s="179">
        <v>12.637604799381014</v>
      </c>
      <c r="DO24" s="182">
        <v>20.19378700805315</v>
      </c>
      <c r="DP24" s="182">
        <v>18.983257413074529</v>
      </c>
      <c r="DQ24" s="182">
        <v>20.992800019495341</v>
      </c>
      <c r="DR24" s="182">
        <v>16.686017391036632</v>
      </c>
      <c r="DS24" s="182">
        <v>8.3608718595971059</v>
      </c>
      <c r="DT24" s="182">
        <v>8.6073551565170305</v>
      </c>
      <c r="DU24" s="182">
        <v>8.7203881436719097</v>
      </c>
      <c r="DV24" s="102">
        <v>119</v>
      </c>
      <c r="DW24" s="102">
        <v>93</v>
      </c>
      <c r="DX24" s="101">
        <v>100</v>
      </c>
      <c r="DY24" s="101">
        <v>124</v>
      </c>
      <c r="DZ24" s="101">
        <v>99</v>
      </c>
      <c r="EA24" s="101">
        <v>106</v>
      </c>
      <c r="EB24" s="102">
        <v>117</v>
      </c>
      <c r="EC24" s="101">
        <v>124</v>
      </c>
      <c r="ED24" s="101">
        <v>134</v>
      </c>
      <c r="EE24" s="101">
        <v>131</v>
      </c>
      <c r="EF24" s="101">
        <v>148</v>
      </c>
      <c r="EG24" s="101">
        <v>156</v>
      </c>
      <c r="EH24" s="101">
        <v>149</v>
      </c>
      <c r="EI24" s="101">
        <v>130</v>
      </c>
      <c r="EJ24" s="101">
        <v>137</v>
      </c>
      <c r="EK24" s="101">
        <v>114</v>
      </c>
      <c r="EL24" s="101">
        <v>147</v>
      </c>
      <c r="EM24" s="101">
        <v>149</v>
      </c>
      <c r="EN24" s="101">
        <v>143.20101638186384</v>
      </c>
      <c r="EO24" s="101">
        <v>131.36481021421807</v>
      </c>
      <c r="EP24" s="101">
        <v>130.36515761744519</v>
      </c>
      <c r="EQ24" s="101">
        <v>131.78954950446786</v>
      </c>
      <c r="ER24" s="182">
        <v>137.02348894135147</v>
      </c>
      <c r="ES24" s="182">
        <v>148.49977310533225</v>
      </c>
      <c r="ET24" s="182">
        <v>158.46966526187256</v>
      </c>
      <c r="EU24" s="182">
        <v>140.07848355571443</v>
      </c>
      <c r="EV24" s="182">
        <v>147.36483896811933</v>
      </c>
      <c r="EW24" s="179">
        <v>137.60665486739961</v>
      </c>
      <c r="EX24" s="182">
        <v>145.20723928767973</v>
      </c>
      <c r="EY24" s="182">
        <v>139.22522935852732</v>
      </c>
      <c r="EZ24" s="182">
        <v>140.26894110158398</v>
      </c>
      <c r="FA24" s="182">
        <v>137.28097208200066</v>
      </c>
      <c r="FB24" s="182">
        <v>144.34691511558145</v>
      </c>
      <c r="FC24" s="179">
        <v>132.35450090078197</v>
      </c>
      <c r="FD24" s="182">
        <v>146.81721464889517</v>
      </c>
      <c r="FE24" s="182">
        <v>117.4093323584605</v>
      </c>
      <c r="FF24" s="182">
        <v>149.96369918907985</v>
      </c>
      <c r="FG24" s="182">
        <v>147.05806007858632</v>
      </c>
      <c r="FH24" s="182">
        <v>144.70962320506155</v>
      </c>
      <c r="FI24" s="182">
        <v>178.53024795288508</v>
      </c>
      <c r="FJ24" s="182">
        <v>159.93401143501691</v>
      </c>
      <c r="FK24" s="102">
        <v>667</v>
      </c>
      <c r="FL24" s="102">
        <v>644</v>
      </c>
      <c r="FM24" s="101">
        <v>683</v>
      </c>
      <c r="FN24" s="101">
        <v>698</v>
      </c>
      <c r="FO24" s="101">
        <v>783</v>
      </c>
      <c r="FP24" s="101">
        <v>691</v>
      </c>
      <c r="FQ24" s="102">
        <v>677</v>
      </c>
      <c r="FR24" s="101">
        <v>701</v>
      </c>
      <c r="FS24" s="101">
        <v>678</v>
      </c>
      <c r="FT24" s="101">
        <v>665</v>
      </c>
      <c r="FU24" s="101">
        <v>600</v>
      </c>
      <c r="FV24" s="101">
        <v>674</v>
      </c>
      <c r="FW24" s="101">
        <v>636</v>
      </c>
      <c r="FX24" s="101">
        <v>659</v>
      </c>
      <c r="FY24" s="101">
        <v>630</v>
      </c>
      <c r="FZ24" s="101">
        <v>715</v>
      </c>
      <c r="GA24" s="101">
        <v>724</v>
      </c>
      <c r="GB24" s="101">
        <v>741</v>
      </c>
      <c r="GC24" s="101">
        <v>851.05994307896492</v>
      </c>
      <c r="GD24" s="101">
        <v>857.11170779369206</v>
      </c>
      <c r="GE24" s="101">
        <v>920.37129729320714</v>
      </c>
      <c r="GF24" s="101">
        <v>922.41615466870269</v>
      </c>
      <c r="GG24" s="182">
        <v>878.11648684000386</v>
      </c>
      <c r="GH24" s="182">
        <v>834.85929687620876</v>
      </c>
      <c r="GI24" s="182">
        <v>864.86114098538303</v>
      </c>
      <c r="GJ24" s="182">
        <v>848.8294161740381</v>
      </c>
      <c r="GK24" s="182">
        <v>816.72162195983424</v>
      </c>
      <c r="GL24" s="179">
        <v>791.46187788579584</v>
      </c>
      <c r="GM24" s="182">
        <v>764.64633483031332</v>
      </c>
      <c r="GN24" s="182">
        <v>719.05365586696246</v>
      </c>
      <c r="GO24" s="182">
        <v>663.38817888228573</v>
      </c>
      <c r="GP24" s="182">
        <v>624.16441822011757</v>
      </c>
      <c r="GQ24" s="182">
        <v>622.30340999115492</v>
      </c>
      <c r="GR24" s="179">
        <v>554.7144271682306</v>
      </c>
      <c r="GS24" s="182">
        <v>700.36612412752061</v>
      </c>
      <c r="GT24" s="182">
        <v>717.94394753053643</v>
      </c>
      <c r="GU24" s="182">
        <v>632.79939887928606</v>
      </c>
      <c r="GV24" s="182">
        <v>607.64180760608258</v>
      </c>
      <c r="GW24" s="182">
        <v>650.56424556442641</v>
      </c>
      <c r="GX24" s="182">
        <v>626.59523670368185</v>
      </c>
      <c r="GY24" s="182">
        <v>641.50360058709589</v>
      </c>
      <c r="GZ24" s="102">
        <v>36</v>
      </c>
      <c r="HA24" s="102">
        <v>54</v>
      </c>
      <c r="HB24" s="101">
        <v>58</v>
      </c>
      <c r="HC24" s="101">
        <v>60</v>
      </c>
      <c r="HD24" s="101">
        <v>66</v>
      </c>
      <c r="HE24" s="101">
        <v>61</v>
      </c>
      <c r="HF24" s="102">
        <v>70</v>
      </c>
      <c r="HG24" s="101">
        <v>68</v>
      </c>
      <c r="HH24" s="101">
        <v>73</v>
      </c>
      <c r="HI24" s="101">
        <v>54</v>
      </c>
      <c r="HJ24" s="101">
        <v>70</v>
      </c>
      <c r="HK24" s="101">
        <v>64</v>
      </c>
      <c r="HL24" s="101">
        <v>80</v>
      </c>
      <c r="HM24" s="101">
        <v>85</v>
      </c>
      <c r="HN24" s="101">
        <v>119</v>
      </c>
      <c r="HO24" s="101">
        <v>87</v>
      </c>
      <c r="HP24" s="101">
        <v>115</v>
      </c>
      <c r="HQ24" s="101">
        <v>140</v>
      </c>
      <c r="HR24" s="101">
        <v>137</v>
      </c>
      <c r="HS24" s="101">
        <v>146</v>
      </c>
      <c r="HT24" s="101">
        <v>164</v>
      </c>
      <c r="HU24" s="101">
        <v>174</v>
      </c>
      <c r="HV24" s="182">
        <v>187.68237254898762</v>
      </c>
      <c r="HW24" s="182">
        <v>195.07685891519679</v>
      </c>
      <c r="HX24" s="182">
        <v>209.46593748221841</v>
      </c>
      <c r="HY24" s="182">
        <v>215.79448988872312</v>
      </c>
      <c r="HZ24" s="182">
        <v>242.72934673923874</v>
      </c>
      <c r="IA24" s="179">
        <v>271.25539786822804</v>
      </c>
      <c r="IB24" s="182">
        <v>233.85046489194764</v>
      </c>
      <c r="IC24" s="182">
        <v>265.54132436754736</v>
      </c>
      <c r="ID24" s="182">
        <v>307.0750162264053</v>
      </c>
      <c r="IE24" s="182">
        <v>359.46808050844163</v>
      </c>
      <c r="IF24" s="182">
        <v>356.19818449353158</v>
      </c>
      <c r="IG24" s="179">
        <v>391.83450126011536</v>
      </c>
      <c r="IH24" s="182">
        <v>430.45092786606244</v>
      </c>
      <c r="II24" s="182">
        <v>424.79726670808873</v>
      </c>
      <c r="IJ24" s="182">
        <v>378.87610130187761</v>
      </c>
      <c r="IK24" s="182">
        <v>363.05136338460397</v>
      </c>
      <c r="IL24" s="182">
        <v>339.65228983839211</v>
      </c>
      <c r="IM24" s="182">
        <v>392.67247840082314</v>
      </c>
      <c r="IN24" s="182">
        <v>626.76596473003451</v>
      </c>
      <c r="IO24" s="102">
        <v>19225</v>
      </c>
      <c r="IP24" s="102">
        <v>19429</v>
      </c>
      <c r="IQ24" s="101">
        <v>19030</v>
      </c>
      <c r="IR24" s="101">
        <v>19221</v>
      </c>
      <c r="IS24" s="101">
        <v>19561</v>
      </c>
      <c r="IT24" s="101">
        <v>18689</v>
      </c>
      <c r="IU24" s="102">
        <v>19268</v>
      </c>
      <c r="IV24" s="101">
        <v>18973</v>
      </c>
      <c r="IW24" s="101">
        <v>18529</v>
      </c>
      <c r="IX24" s="101">
        <v>17573</v>
      </c>
      <c r="IY24" s="101">
        <v>16281</v>
      </c>
      <c r="IZ24" s="101">
        <v>16380</v>
      </c>
      <c r="JA24" s="101">
        <v>16462</v>
      </c>
      <c r="JB24" s="101">
        <v>16249</v>
      </c>
      <c r="JC24" s="101">
        <v>15856</v>
      </c>
      <c r="JD24" s="101">
        <v>16475</v>
      </c>
      <c r="JE24" s="101">
        <v>16489</v>
      </c>
      <c r="JF24" s="101">
        <v>16644</v>
      </c>
      <c r="JG24" s="101">
        <v>16498.715695188846</v>
      </c>
      <c r="JH24" s="101">
        <v>16153.476896405014</v>
      </c>
      <c r="JI24" s="101">
        <v>16369.217457626459</v>
      </c>
      <c r="JJ24" s="101">
        <v>16670.695657937373</v>
      </c>
      <c r="JK24" s="182">
        <v>16143.501096515449</v>
      </c>
      <c r="JL24" s="182">
        <v>15934.828164684008</v>
      </c>
      <c r="JM24" s="182">
        <v>16170.917275349455</v>
      </c>
      <c r="JN24" s="182">
        <v>15678.651294407862</v>
      </c>
      <c r="JO24" s="182">
        <v>15989.704685887555</v>
      </c>
      <c r="JP24" s="179">
        <v>15665.23379719848</v>
      </c>
      <c r="JQ24" s="182">
        <v>15791.358773858596</v>
      </c>
      <c r="JR24" s="182">
        <v>15558.255568155382</v>
      </c>
      <c r="JS24" s="182">
        <v>15786.051866681004</v>
      </c>
      <c r="JT24" s="182">
        <v>15590.639883146567</v>
      </c>
      <c r="JU24" s="182">
        <v>15494.826696798538</v>
      </c>
      <c r="JV24" s="179">
        <v>16004.409337162055</v>
      </c>
      <c r="JW24" s="182">
        <v>15790.848750201263</v>
      </c>
      <c r="JX24" s="182">
        <v>15677.604560441603</v>
      </c>
      <c r="JY24" s="182">
        <v>15077.817737135203</v>
      </c>
      <c r="JZ24" s="182">
        <v>15199.776666055137</v>
      </c>
      <c r="KA24" s="182">
        <v>15226.947592446824</v>
      </c>
      <c r="KB24" s="182">
        <v>15243.28283660222</v>
      </c>
      <c r="KC24" s="182">
        <v>14716.480877467064</v>
      </c>
    </row>
    <row r="25" spans="1:289">
      <c r="A25" s="113" t="s">
        <v>327</v>
      </c>
      <c r="B25" s="185">
        <f>SUM(B28:B40)</f>
        <v>454743</v>
      </c>
      <c r="C25" s="185">
        <f t="shared" ref="C25:F25" si="66">SUM(C28:C40)</f>
        <v>462611</v>
      </c>
      <c r="D25" s="185">
        <f t="shared" si="66"/>
        <v>485101</v>
      </c>
      <c r="E25" s="185">
        <f t="shared" si="66"/>
        <v>492404</v>
      </c>
      <c r="F25" s="185">
        <f t="shared" si="66"/>
        <v>496218</v>
      </c>
      <c r="G25" s="100">
        <v>539767</v>
      </c>
      <c r="H25" s="100">
        <v>563181</v>
      </c>
      <c r="I25" s="100">
        <v>584218</v>
      </c>
      <c r="J25" s="100">
        <v>607063</v>
      </c>
      <c r="K25" s="100">
        <v>617425</v>
      </c>
      <c r="L25" s="100">
        <v>634682</v>
      </c>
      <c r="M25" s="100">
        <v>656150</v>
      </c>
      <c r="N25" s="100">
        <v>657671</v>
      </c>
      <c r="O25" s="100">
        <v>681870</v>
      </c>
      <c r="P25" s="100">
        <v>663934</v>
      </c>
      <c r="Q25" s="100">
        <v>682065</v>
      </c>
      <c r="R25" s="100">
        <v>711636</v>
      </c>
      <c r="S25" s="100">
        <v>715591</v>
      </c>
      <c r="T25" s="100">
        <v>755325</v>
      </c>
      <c r="U25" s="100">
        <v>764700</v>
      </c>
      <c r="V25" s="100">
        <v>772146</v>
      </c>
      <c r="W25" s="100">
        <v>776567</v>
      </c>
      <c r="X25" s="545"/>
      <c r="Y25" s="180">
        <v>779243.74406637298</v>
      </c>
      <c r="Z25" s="180">
        <v>768344.72462849959</v>
      </c>
      <c r="AA25" s="180">
        <v>766557.73643948452</v>
      </c>
      <c r="AB25" s="180">
        <v>760313.56575197703</v>
      </c>
      <c r="AC25" s="180">
        <v>778106.33881421573</v>
      </c>
      <c r="AD25" s="180">
        <v>778472.79304044985</v>
      </c>
      <c r="AE25" s="180">
        <v>775272.70032062451</v>
      </c>
      <c r="AF25" s="180">
        <v>787353.34428844543</v>
      </c>
      <c r="AG25" s="180">
        <v>791082.11773757718</v>
      </c>
      <c r="AH25" s="180">
        <v>800000.15381233697</v>
      </c>
      <c r="AI25" s="180">
        <v>817017.64451128733</v>
      </c>
      <c r="AJ25" s="180">
        <v>810330.77651440143</v>
      </c>
      <c r="AK25" s="180">
        <v>813078.37456418667</v>
      </c>
      <c r="AL25" s="180">
        <v>781865.45019249036</v>
      </c>
      <c r="AM25" s="180">
        <v>754927.86539985694</v>
      </c>
      <c r="AN25" s="180">
        <v>742282.65983726736</v>
      </c>
      <c r="AO25" s="180">
        <v>744491.80123270582</v>
      </c>
      <c r="AP25" s="180">
        <v>737583.02905213006</v>
      </c>
      <c r="AQ25" s="180">
        <v>748447.74168449128</v>
      </c>
      <c r="AR25" s="533">
        <f t="shared" si="25"/>
        <v>58821.919286371114</v>
      </c>
      <c r="AS25" s="534">
        <f t="shared" si="26"/>
        <v>60523.323330698484</v>
      </c>
      <c r="AT25" s="534">
        <f t="shared" si="27"/>
        <v>63660.010977584658</v>
      </c>
      <c r="AU25" s="534">
        <f t="shared" si="28"/>
        <v>62443.221295202406</v>
      </c>
      <c r="AV25" s="534">
        <f t="shared" si="29"/>
        <v>62734.796206868625</v>
      </c>
      <c r="AW25" s="534">
        <f t="shared" si="30"/>
        <v>66536</v>
      </c>
      <c r="AX25" s="534">
        <f t="shared" si="31"/>
        <v>71317</v>
      </c>
      <c r="AY25" s="534">
        <f t="shared" si="32"/>
        <v>73357</v>
      </c>
      <c r="AZ25" s="534">
        <f t="shared" si="33"/>
        <v>76619</v>
      </c>
      <c r="BA25" s="534">
        <f t="shared" si="34"/>
        <v>78814.489889000004</v>
      </c>
      <c r="BB25" s="534">
        <f t="shared" si="35"/>
        <v>81501.433362600015</v>
      </c>
      <c r="BC25" s="534">
        <f t="shared" si="36"/>
        <v>82164</v>
      </c>
      <c r="BD25" s="534">
        <f t="shared" si="37"/>
        <v>82949</v>
      </c>
      <c r="BE25" s="534">
        <f t="shared" si="38"/>
        <v>86578</v>
      </c>
      <c r="BF25" s="534">
        <f t="shared" si="39"/>
        <v>88599</v>
      </c>
      <c r="BG25" s="534">
        <f t="shared" si="40"/>
        <v>89905</v>
      </c>
      <c r="BH25" s="534">
        <f t="shared" si="41"/>
        <v>93342</v>
      </c>
      <c r="BI25" s="534">
        <f t="shared" si="42"/>
        <v>98769.087103984319</v>
      </c>
      <c r="BJ25" s="534">
        <f t="shared" si="43"/>
        <v>98714.405137209469</v>
      </c>
      <c r="BK25" s="534">
        <f t="shared" si="44"/>
        <v>98234.794718490579</v>
      </c>
      <c r="BL25" s="534">
        <f t="shared" si="45"/>
        <v>99985.297838769737</v>
      </c>
      <c r="BM25" s="534">
        <f t="shared" si="46"/>
        <v>100325.73672957791</v>
      </c>
      <c r="BN25" s="186">
        <f t="shared" si="47"/>
        <v>98459.882329083688</v>
      </c>
      <c r="BO25" s="186">
        <f t="shared" si="48"/>
        <v>96029.734174108875</v>
      </c>
      <c r="BP25" s="186">
        <f t="shared" si="49"/>
        <v>93595.780073057511</v>
      </c>
      <c r="BQ25" s="186">
        <f t="shared" si="50"/>
        <v>92693.81375067879</v>
      </c>
      <c r="BR25" s="186">
        <f t="shared" si="51"/>
        <v>96458.682397268189</v>
      </c>
      <c r="BS25" s="186">
        <f t="shared" si="52"/>
        <v>94152.095323247311</v>
      </c>
      <c r="BT25" s="186">
        <f t="shared" si="53"/>
        <v>93335.190798210038</v>
      </c>
      <c r="BU25" s="186">
        <f t="shared" si="54"/>
        <v>95202.700142218149</v>
      </c>
      <c r="BV25" s="186">
        <f t="shared" si="55"/>
        <v>94887.652297977445</v>
      </c>
      <c r="BW25" s="186">
        <f t="shared" si="56"/>
        <v>93334.186556400426</v>
      </c>
      <c r="BX25" s="186">
        <f t="shared" si="57"/>
        <v>90846.065919987275</v>
      </c>
      <c r="BY25" s="186">
        <f t="shared" si="58"/>
        <v>88157.401690395607</v>
      </c>
      <c r="BZ25" s="186">
        <f t="shared" si="59"/>
        <v>95766.796849632927</v>
      </c>
      <c r="CA25" s="186">
        <f t="shared" si="60"/>
        <v>93864.109258674187</v>
      </c>
      <c r="CB25" s="186">
        <f t="shared" si="61"/>
        <v>90135.156861558557</v>
      </c>
      <c r="CC25" s="186">
        <f t="shared" si="62"/>
        <v>87872.598140017624</v>
      </c>
      <c r="CD25" s="186">
        <f t="shared" si="63"/>
        <v>94052.545354448637</v>
      </c>
      <c r="CE25" s="186">
        <f t="shared" si="64"/>
        <v>93899.304423881942</v>
      </c>
      <c r="CF25" s="186">
        <f t="shared" si="65"/>
        <v>99381.300893309526</v>
      </c>
      <c r="CG25" s="185">
        <f t="shared" ref="CG25:CK25" si="67">SUM(CG28:CG40)</f>
        <v>9332.4326623836514</v>
      </c>
      <c r="CH25" s="185">
        <f t="shared" si="67"/>
        <v>9287.4137167889148</v>
      </c>
      <c r="CI25" s="185">
        <f t="shared" si="67"/>
        <v>9614.0096079971099</v>
      </c>
      <c r="CJ25" s="185">
        <f t="shared" si="67"/>
        <v>9694.129507211188</v>
      </c>
      <c r="CK25" s="185">
        <f t="shared" si="67"/>
        <v>9451.0775649889274</v>
      </c>
      <c r="CL25" s="100">
        <v>10844</v>
      </c>
      <c r="CM25" s="100">
        <v>11375</v>
      </c>
      <c r="CN25" s="100">
        <v>11623</v>
      </c>
      <c r="CO25" s="424">
        <v>12111</v>
      </c>
      <c r="CP25" s="100">
        <v>12962.120927</v>
      </c>
      <c r="CQ25" s="100">
        <v>13308.762441999999</v>
      </c>
      <c r="CR25" s="100">
        <v>13385</v>
      </c>
      <c r="CS25" s="100">
        <v>13567</v>
      </c>
      <c r="CT25" s="100">
        <v>14964</v>
      </c>
      <c r="CU25" s="100">
        <v>13959</v>
      </c>
      <c r="CV25" s="100">
        <v>14648</v>
      </c>
      <c r="CW25" s="100">
        <v>15533</v>
      </c>
      <c r="CX25" s="100">
        <v>15363.90395296058</v>
      </c>
      <c r="CY25" s="100">
        <v>16150.322394025541</v>
      </c>
      <c r="CZ25" s="100">
        <v>15246.052541788222</v>
      </c>
      <c r="DA25" s="100">
        <v>15315.37292378948</v>
      </c>
      <c r="DB25" s="100">
        <v>14403.086269378471</v>
      </c>
      <c r="DC25" s="180">
        <v>14186.105408589587</v>
      </c>
      <c r="DD25" s="180">
        <v>13596.552911267167</v>
      </c>
      <c r="DE25" s="180">
        <v>13516.25109496147</v>
      </c>
      <c r="DF25" s="180">
        <v>13226.289862858343</v>
      </c>
      <c r="DG25" s="180">
        <v>13052.108656373333</v>
      </c>
      <c r="DH25" s="180">
        <v>12752.824401636222</v>
      </c>
      <c r="DI25" s="180">
        <v>12578.433902912038</v>
      </c>
      <c r="DJ25" s="180">
        <v>12289.465859706106</v>
      </c>
      <c r="DK25" s="180">
        <v>12368.042809070264</v>
      </c>
      <c r="DL25" s="180">
        <v>12238.678669140598</v>
      </c>
      <c r="DM25" s="180">
        <v>12167.554616551068</v>
      </c>
      <c r="DN25" s="180">
        <v>12079.200663310054</v>
      </c>
      <c r="DO25" s="180">
        <v>12660.281354632345</v>
      </c>
      <c r="DP25" s="180">
        <v>12292.493885766107</v>
      </c>
      <c r="DQ25" s="180">
        <v>11554.709645390476</v>
      </c>
      <c r="DR25" s="180">
        <v>11263.294370976446</v>
      </c>
      <c r="DS25" s="180">
        <v>11215.036773789428</v>
      </c>
      <c r="DT25" s="180">
        <v>11060.34455396577</v>
      </c>
      <c r="DU25" s="180">
        <v>10587.855861674407</v>
      </c>
      <c r="DV25" s="185">
        <f t="shared" ref="DV25:DZ25" si="68">SUM(DV28:DV40)</f>
        <v>49489.486623987461</v>
      </c>
      <c r="DW25" s="185">
        <f t="shared" si="68"/>
        <v>51235.909613909571</v>
      </c>
      <c r="DX25" s="185">
        <f t="shared" si="68"/>
        <v>54046.001369587546</v>
      </c>
      <c r="DY25" s="185">
        <f t="shared" si="68"/>
        <v>52749.091787991216</v>
      </c>
      <c r="DZ25" s="185">
        <f t="shared" si="68"/>
        <v>53283.718641879699</v>
      </c>
      <c r="EA25" s="100">
        <v>55692</v>
      </c>
      <c r="EB25" s="100">
        <v>59942</v>
      </c>
      <c r="EC25" s="100">
        <v>61734</v>
      </c>
      <c r="ED25" s="100">
        <v>64508</v>
      </c>
      <c r="EE25" s="100">
        <v>65852.368962000008</v>
      </c>
      <c r="EF25" s="100">
        <v>68192.670920600009</v>
      </c>
      <c r="EG25" s="100">
        <v>68779</v>
      </c>
      <c r="EH25" s="100">
        <v>69382</v>
      </c>
      <c r="EI25" s="100">
        <v>71614</v>
      </c>
      <c r="EJ25" s="100">
        <v>74640</v>
      </c>
      <c r="EK25" s="100">
        <v>75257</v>
      </c>
      <c r="EL25" s="100">
        <v>77809</v>
      </c>
      <c r="EM25" s="100">
        <v>83405.183151023739</v>
      </c>
      <c r="EN25" s="100">
        <v>82564.082743183928</v>
      </c>
      <c r="EO25" s="100">
        <v>82988.742176702362</v>
      </c>
      <c r="EP25" s="100">
        <v>84669.924914980264</v>
      </c>
      <c r="EQ25" s="100">
        <v>85922.650460199438</v>
      </c>
      <c r="ER25" s="180">
        <v>84273.7769204941</v>
      </c>
      <c r="ES25" s="180">
        <v>82433.18126284171</v>
      </c>
      <c r="ET25" s="180">
        <v>80079.528978096045</v>
      </c>
      <c r="EU25" s="180">
        <v>79467.52388782044</v>
      </c>
      <c r="EV25" s="180">
        <v>83406.573740894863</v>
      </c>
      <c r="EW25" s="180">
        <v>81399.270921611096</v>
      </c>
      <c r="EX25" s="180">
        <v>80756.756895297993</v>
      </c>
      <c r="EY25" s="180">
        <v>82913.234282512043</v>
      </c>
      <c r="EZ25" s="180">
        <v>82519.609488907183</v>
      </c>
      <c r="FA25" s="180">
        <v>81095.507887259824</v>
      </c>
      <c r="FB25" s="180">
        <v>78678.5113034362</v>
      </c>
      <c r="FC25" s="180">
        <v>76078.201027085554</v>
      </c>
      <c r="FD25" s="180">
        <v>83106.515495000582</v>
      </c>
      <c r="FE25" s="180">
        <v>81571.615372908083</v>
      </c>
      <c r="FF25" s="180">
        <v>78580.447216168075</v>
      </c>
      <c r="FG25" s="180">
        <v>76609.303769041173</v>
      </c>
      <c r="FH25" s="180">
        <v>82837.508580659211</v>
      </c>
      <c r="FI25" s="180">
        <v>82838.959869916172</v>
      </c>
      <c r="FJ25" s="180">
        <v>88793.445031635114</v>
      </c>
      <c r="FK25" s="185">
        <f t="shared" ref="FK25:FO25" si="69">SUM(FK28:FK40)</f>
        <v>23723.916227291309</v>
      </c>
      <c r="FL25" s="185">
        <f t="shared" si="69"/>
        <v>24344.633678368202</v>
      </c>
      <c r="FM25" s="185">
        <f t="shared" si="69"/>
        <v>25474.81709807333</v>
      </c>
      <c r="FN25" s="185">
        <f t="shared" si="69"/>
        <v>25292.52217183249</v>
      </c>
      <c r="FO25" s="185">
        <f t="shared" si="69"/>
        <v>26079.905273094326</v>
      </c>
      <c r="FP25" s="100">
        <v>28189</v>
      </c>
      <c r="FQ25" s="100">
        <v>28962</v>
      </c>
      <c r="FR25" s="100">
        <v>30155</v>
      </c>
      <c r="FS25" s="100">
        <v>31146</v>
      </c>
      <c r="FT25" s="100">
        <v>31432.272904000001</v>
      </c>
      <c r="FU25" s="100">
        <v>32707.910388600001</v>
      </c>
      <c r="FV25" s="100">
        <v>34962</v>
      </c>
      <c r="FW25" s="100">
        <v>35537</v>
      </c>
      <c r="FX25" s="100">
        <v>37770</v>
      </c>
      <c r="FY25" s="100">
        <v>36514</v>
      </c>
      <c r="FZ25" s="100">
        <v>37582</v>
      </c>
      <c r="GA25" s="100">
        <v>38657</v>
      </c>
      <c r="GB25" s="100">
        <v>39667.032601672385</v>
      </c>
      <c r="GC25" s="100">
        <v>42941.87926138832</v>
      </c>
      <c r="GD25" s="100">
        <v>42597.939604238993</v>
      </c>
      <c r="GE25" s="100">
        <v>43189.483596630096</v>
      </c>
      <c r="GF25" s="100">
        <v>42234.960978245901</v>
      </c>
      <c r="GG25" s="180">
        <v>41088.779958702391</v>
      </c>
      <c r="GH25" s="180">
        <v>39513.584667526491</v>
      </c>
      <c r="GI25" s="180">
        <v>38580.523980266895</v>
      </c>
      <c r="GJ25" s="180">
        <v>37313.02131599831</v>
      </c>
      <c r="GK25" s="180">
        <v>37287.233967709544</v>
      </c>
      <c r="GL25" s="180">
        <v>36502.465060983261</v>
      </c>
      <c r="GM25" s="180">
        <v>35277.750225836913</v>
      </c>
      <c r="GN25" s="180">
        <v>34843.738234374869</v>
      </c>
      <c r="GO25" s="180">
        <v>34024.512713595235</v>
      </c>
      <c r="GP25" s="180">
        <v>33894.372945222094</v>
      </c>
      <c r="GQ25" s="180">
        <v>34216.746454988053</v>
      </c>
      <c r="GR25" s="180">
        <v>33600.673707806018</v>
      </c>
      <c r="GS25" s="180">
        <v>36035.632982182178</v>
      </c>
      <c r="GT25" s="180">
        <v>35445.121956975163</v>
      </c>
      <c r="GU25" s="180">
        <v>34675.360365944871</v>
      </c>
      <c r="GV25" s="180">
        <v>33638.151332071247</v>
      </c>
      <c r="GW25" s="180">
        <v>33581.086919747642</v>
      </c>
      <c r="GX25" s="180">
        <v>33992.156651006531</v>
      </c>
      <c r="GY25" s="180">
        <v>34331.663252335718</v>
      </c>
      <c r="GZ25" s="185">
        <f t="shared" ref="GZ25:HD25" si="70">SUM(GZ28:GZ40)</f>
        <v>89307.966916521051</v>
      </c>
      <c r="HA25" s="185">
        <f t="shared" si="70"/>
        <v>95565.677577692622</v>
      </c>
      <c r="HB25" s="185">
        <f t="shared" si="70"/>
        <v>100343.17987867381</v>
      </c>
      <c r="HC25" s="185">
        <f t="shared" si="70"/>
        <v>101827.95043336088</v>
      </c>
      <c r="HD25" s="185">
        <f t="shared" si="70"/>
        <v>103799.4472046951</v>
      </c>
      <c r="HE25" s="100">
        <v>109938</v>
      </c>
      <c r="HF25" s="100">
        <v>118343</v>
      </c>
      <c r="HG25" s="100">
        <v>127047</v>
      </c>
      <c r="HH25" s="100">
        <v>134484</v>
      </c>
      <c r="HI25" s="100">
        <v>140673.54606999998</v>
      </c>
      <c r="HJ25" s="100">
        <v>147744.07264100001</v>
      </c>
      <c r="HK25" s="100">
        <v>157539</v>
      </c>
      <c r="HL25" s="100">
        <v>164741</v>
      </c>
      <c r="HM25" s="100">
        <v>177644</v>
      </c>
      <c r="HN25" s="100">
        <v>173234</v>
      </c>
      <c r="HO25" s="100">
        <v>179001</v>
      </c>
      <c r="HP25" s="100">
        <v>199281</v>
      </c>
      <c r="HQ25" s="100">
        <v>209276</v>
      </c>
      <c r="HR25" s="100">
        <v>241390</v>
      </c>
      <c r="HS25" s="100">
        <v>258613</v>
      </c>
      <c r="HT25" s="100">
        <v>270898</v>
      </c>
      <c r="HU25" s="100">
        <v>278499</v>
      </c>
      <c r="HV25" s="180">
        <v>283687.42875149712</v>
      </c>
      <c r="HW25" s="180">
        <v>285524.08006167074</v>
      </c>
      <c r="HX25" s="180">
        <v>289233.17373295123</v>
      </c>
      <c r="HY25" s="180">
        <v>287766.72658140672</v>
      </c>
      <c r="HZ25" s="180">
        <v>300961.53531983617</v>
      </c>
      <c r="IA25" s="180">
        <v>306284.036834236</v>
      </c>
      <c r="IB25" s="180">
        <v>308742.55813642888</v>
      </c>
      <c r="IC25" s="180">
        <v>314760.73898464709</v>
      </c>
      <c r="ID25" s="180">
        <v>320171.15933783172</v>
      </c>
      <c r="IE25" s="180">
        <v>331258.22089038877</v>
      </c>
      <c r="IF25" s="180">
        <v>343887.00855698087</v>
      </c>
      <c r="IG25" s="180">
        <v>340894.97958527092</v>
      </c>
      <c r="IH25" s="180">
        <v>337899.83607245173</v>
      </c>
      <c r="II25" s="180">
        <v>317928.91806457296</v>
      </c>
      <c r="IJ25" s="180">
        <v>300464.7312751881</v>
      </c>
      <c r="IK25" s="180">
        <v>289862.50028954679</v>
      </c>
      <c r="IL25" s="180">
        <v>285012.59497898724</v>
      </c>
      <c r="IM25" s="180">
        <v>280133.43231517723</v>
      </c>
      <c r="IN25" s="180">
        <v>280850.28940524114</v>
      </c>
      <c r="IO25" s="185">
        <f t="shared" ref="IO25:IS25" si="71">SUM(IO28:IO40)</f>
        <v>282889.19756981649</v>
      </c>
      <c r="IP25" s="185">
        <f t="shared" si="71"/>
        <v>282177.36541324068</v>
      </c>
      <c r="IQ25" s="185">
        <f t="shared" si="71"/>
        <v>295622.99204566819</v>
      </c>
      <c r="IR25" s="185">
        <f t="shared" si="71"/>
        <v>302840.30609960423</v>
      </c>
      <c r="IS25" s="185">
        <f t="shared" si="71"/>
        <v>303603.85131534195</v>
      </c>
      <c r="IT25" s="100">
        <v>335104</v>
      </c>
      <c r="IU25" s="100">
        <v>344559</v>
      </c>
      <c r="IV25" s="100">
        <v>353659</v>
      </c>
      <c r="IW25" s="100">
        <v>364814</v>
      </c>
      <c r="IX25" s="100">
        <v>366297.69114000001</v>
      </c>
      <c r="IY25" s="100">
        <v>370653.58360799996</v>
      </c>
      <c r="IZ25" s="100">
        <v>378121</v>
      </c>
      <c r="JA25" s="100">
        <v>370405</v>
      </c>
      <c r="JB25" s="100">
        <v>374277</v>
      </c>
      <c r="JC25" s="100">
        <v>365549</v>
      </c>
      <c r="JD25" s="100">
        <v>365583</v>
      </c>
      <c r="JE25" s="100">
        <v>370347</v>
      </c>
      <c r="JF25" s="100">
        <v>368770.88029434328</v>
      </c>
      <c r="JG25" s="100">
        <v>368423.71560140222</v>
      </c>
      <c r="JH25" s="100">
        <v>365254.26567727042</v>
      </c>
      <c r="JI25" s="100">
        <v>358073.21856460016</v>
      </c>
      <c r="JJ25" s="100">
        <v>355506.30229217617</v>
      </c>
      <c r="JK25" s="180">
        <v>352391.30156408105</v>
      </c>
      <c r="JL25" s="180">
        <v>343342.62128620129</v>
      </c>
      <c r="JM25" s="180">
        <v>341312.33247554424</v>
      </c>
      <c r="JN25" s="180">
        <v>338620.65683486167</v>
      </c>
      <c r="JO25" s="180">
        <v>339242.7564442716</v>
      </c>
      <c r="JP25" s="180">
        <v>336651.68926073331</v>
      </c>
      <c r="JQ25" s="180">
        <v>332949.16748525633</v>
      </c>
      <c r="JR25" s="180">
        <v>337870.35658975929</v>
      </c>
      <c r="JS25" s="180">
        <v>337350.33703003154</v>
      </c>
      <c r="JT25" s="180">
        <v>336695.95012881857</v>
      </c>
      <c r="JU25" s="180">
        <v>343070.87095533981</v>
      </c>
      <c r="JV25" s="180">
        <v>342711.40437683358</v>
      </c>
      <c r="JW25" s="180">
        <v>339055.60515192343</v>
      </c>
      <c r="JX25" s="180">
        <v>329913.57953764504</v>
      </c>
      <c r="JY25" s="180">
        <v>324455.11322401091</v>
      </c>
      <c r="JZ25" s="180">
        <v>316325.21421545208</v>
      </c>
      <c r="KA25" s="180">
        <v>314439.362945573</v>
      </c>
      <c r="KB25" s="180">
        <v>314668.922425205</v>
      </c>
      <c r="KC25" s="180">
        <v>317547.42660009133</v>
      </c>
    </row>
    <row r="26" spans="1:289" ht="12.95">
      <c r="A26" s="285" t="s">
        <v>50</v>
      </c>
      <c r="B26" s="286">
        <f>+B25-B52-B54</f>
        <v>440005</v>
      </c>
      <c r="C26" s="286">
        <f t="shared" ref="C26:BS26" si="72">+C25-C52-C54</f>
        <v>447349</v>
      </c>
      <c r="D26" s="286">
        <f t="shared" si="72"/>
        <v>469137</v>
      </c>
      <c r="E26" s="286">
        <f t="shared" si="72"/>
        <v>476232</v>
      </c>
      <c r="F26" s="286">
        <f t="shared" si="72"/>
        <v>479659</v>
      </c>
      <c r="G26" s="286">
        <f t="shared" si="72"/>
        <v>522736</v>
      </c>
      <c r="H26" s="286">
        <f t="shared" si="72"/>
        <v>545848</v>
      </c>
      <c r="I26" s="286">
        <f t="shared" si="72"/>
        <v>567073</v>
      </c>
      <c r="J26" s="286">
        <f t="shared" si="72"/>
        <v>589179</v>
      </c>
      <c r="K26" s="286">
        <f t="shared" si="72"/>
        <v>600099</v>
      </c>
      <c r="L26" s="286">
        <f t="shared" si="72"/>
        <v>617772</v>
      </c>
      <c r="M26" s="286">
        <f t="shared" si="72"/>
        <v>638982</v>
      </c>
      <c r="N26" s="286">
        <f t="shared" si="72"/>
        <v>640782</v>
      </c>
      <c r="O26" s="286">
        <f t="shared" si="72"/>
        <v>665730</v>
      </c>
      <c r="P26" s="286">
        <f t="shared" si="72"/>
        <v>648153</v>
      </c>
      <c r="Q26" s="286">
        <f t="shared" si="72"/>
        <v>666560</v>
      </c>
      <c r="R26" s="286">
        <f t="shared" si="72"/>
        <v>696055</v>
      </c>
      <c r="S26" s="286">
        <f t="shared" si="72"/>
        <v>700236</v>
      </c>
      <c r="T26" s="286">
        <f t="shared" si="72"/>
        <v>740008</v>
      </c>
      <c r="U26" s="286">
        <f t="shared" si="72"/>
        <v>749296</v>
      </c>
      <c r="V26" s="286">
        <f t="shared" si="72"/>
        <v>757008</v>
      </c>
      <c r="W26" s="286">
        <f t="shared" si="72"/>
        <v>761428</v>
      </c>
      <c r="X26" s="536">
        <f>SUM(X28:X40)</f>
        <v>816850</v>
      </c>
      <c r="Y26" s="287">
        <f t="shared" si="72"/>
        <v>764389.0751705931</v>
      </c>
      <c r="Z26" s="287">
        <f t="shared" si="72"/>
        <v>753513.0028488508</v>
      </c>
      <c r="AA26" s="287">
        <f t="shared" si="72"/>
        <v>751749.78755957505</v>
      </c>
      <c r="AB26" s="287">
        <f t="shared" si="72"/>
        <v>745384.93343504728</v>
      </c>
      <c r="AC26" s="287">
        <f t="shared" si="72"/>
        <v>763075.45183724177</v>
      </c>
      <c r="AD26" s="287">
        <f t="shared" si="72"/>
        <v>763244.02334943553</v>
      </c>
      <c r="AE26" s="287">
        <f t="shared" si="72"/>
        <v>759793.38478722505</v>
      </c>
      <c r="AF26" s="287">
        <f t="shared" si="72"/>
        <v>771396.76577636192</v>
      </c>
      <c r="AG26" s="287">
        <f t="shared" si="72"/>
        <v>774416.90405059711</v>
      </c>
      <c r="AH26" s="287">
        <f t="shared" si="72"/>
        <v>782712.7559579818</v>
      </c>
      <c r="AI26" s="287">
        <f t="shared" si="72"/>
        <v>798840.03554949351</v>
      </c>
      <c r="AJ26" s="287">
        <f t="shared" si="72"/>
        <v>791584.35174854624</v>
      </c>
      <c r="AK26" s="287">
        <f t="shared" si="72"/>
        <v>794707.75579804031</v>
      </c>
      <c r="AL26" s="287">
        <f t="shared" si="72"/>
        <v>763512.02168451564</v>
      </c>
      <c r="AM26" s="287">
        <f t="shared" si="72"/>
        <v>736490.86344670504</v>
      </c>
      <c r="AN26" s="287">
        <f t="shared" si="72"/>
        <v>723334.2093519168</v>
      </c>
      <c r="AO26" s="287">
        <f t="shared" si="72"/>
        <v>724765.81851354206</v>
      </c>
      <c r="AP26" s="287">
        <f t="shared" si="72"/>
        <v>717258.60493554547</v>
      </c>
      <c r="AQ26" s="287">
        <f t="shared" si="72"/>
        <v>727467.05156694993</v>
      </c>
      <c r="AR26" s="535">
        <f t="shared" si="72"/>
        <v>58124.699522364703</v>
      </c>
      <c r="AS26" s="536">
        <f t="shared" si="72"/>
        <v>59595.323330698484</v>
      </c>
      <c r="AT26" s="536">
        <f t="shared" si="72"/>
        <v>62608.010977584658</v>
      </c>
      <c r="AU26" s="536">
        <f t="shared" si="72"/>
        <v>61458.221295202406</v>
      </c>
      <c r="AV26" s="536">
        <f t="shared" si="72"/>
        <v>61699.796206868625</v>
      </c>
      <c r="AW26" s="536">
        <f t="shared" si="72"/>
        <v>65737</v>
      </c>
      <c r="AX26" s="536">
        <f t="shared" si="72"/>
        <v>70480</v>
      </c>
      <c r="AY26" s="536">
        <f t="shared" si="72"/>
        <v>72585</v>
      </c>
      <c r="AZ26" s="536">
        <f t="shared" si="72"/>
        <v>75777</v>
      </c>
      <c r="BA26" s="536">
        <f t="shared" si="72"/>
        <v>77976.489889000004</v>
      </c>
      <c r="BB26" s="536">
        <f t="shared" si="72"/>
        <v>80624.433362600015</v>
      </c>
      <c r="BC26" s="536">
        <f t="shared" si="72"/>
        <v>81158</v>
      </c>
      <c r="BD26" s="536">
        <f t="shared" si="72"/>
        <v>81933</v>
      </c>
      <c r="BE26" s="536">
        <f t="shared" si="72"/>
        <v>85550</v>
      </c>
      <c r="BF26" s="536">
        <f t="shared" si="72"/>
        <v>87505</v>
      </c>
      <c r="BG26" s="536">
        <f t="shared" si="72"/>
        <v>88828</v>
      </c>
      <c r="BH26" s="536">
        <f t="shared" si="72"/>
        <v>92304</v>
      </c>
      <c r="BI26" s="536">
        <f t="shared" si="72"/>
        <v>97618.087103984319</v>
      </c>
      <c r="BJ26" s="536">
        <f t="shared" si="72"/>
        <v>97580.405137209469</v>
      </c>
      <c r="BK26" s="536">
        <f t="shared" si="72"/>
        <v>97082.128192453034</v>
      </c>
      <c r="BL26" s="536">
        <f t="shared" si="72"/>
        <v>98801.263087740066</v>
      </c>
      <c r="BM26" s="536">
        <f t="shared" si="72"/>
        <v>99104.670854931377</v>
      </c>
      <c r="BN26" s="287">
        <f t="shared" si="72"/>
        <v>97199.436816153495</v>
      </c>
      <c r="BO26" s="287">
        <f t="shared" si="72"/>
        <v>94797.334176895121</v>
      </c>
      <c r="BP26" s="287">
        <f t="shared" si="72"/>
        <v>92301.861281791134</v>
      </c>
      <c r="BQ26" s="287">
        <f t="shared" si="72"/>
        <v>91454.304140859065</v>
      </c>
      <c r="BR26" s="287">
        <f t="shared" si="72"/>
        <v>95152.382540729697</v>
      </c>
      <c r="BS26" s="287">
        <f t="shared" si="72"/>
        <v>92749.931324276855</v>
      </c>
      <c r="BT26" s="287">
        <f t="shared" ref="BT26:EM26" si="73">+BT25-BT52-BT54</f>
        <v>91854.780979912888</v>
      </c>
      <c r="BU26" s="287">
        <f t="shared" si="73"/>
        <v>93697.580054338658</v>
      </c>
      <c r="BV26" s="287">
        <f t="shared" si="73"/>
        <v>93273.844818467434</v>
      </c>
      <c r="BW26" s="287">
        <f t="shared" si="73"/>
        <v>91725.256090871218</v>
      </c>
      <c r="BX26" s="287">
        <f t="shared" si="73"/>
        <v>89189.126105980293</v>
      </c>
      <c r="BY26" s="287">
        <f t="shared" si="73"/>
        <v>86435.365742668597</v>
      </c>
      <c r="BZ26" s="287">
        <f t="shared" si="73"/>
        <v>94004.680511972474</v>
      </c>
      <c r="CA26" s="287">
        <f t="shared" si="73"/>
        <v>92069.236932493353</v>
      </c>
      <c r="CB26" s="287">
        <f t="shared" si="73"/>
        <v>88324.369364229729</v>
      </c>
      <c r="CC26" s="287">
        <f t="shared" ref="CC26:CF26" si="74">+CC25-CC52-CC54</f>
        <v>85874.349498319541</v>
      </c>
      <c r="CD26" s="287">
        <f t="shared" si="74"/>
        <v>91963.500138910415</v>
      </c>
      <c r="CE26" s="287">
        <f t="shared" si="74"/>
        <v>91592.044484292244</v>
      </c>
      <c r="CF26" s="287">
        <f t="shared" si="74"/>
        <v>96945.478834814712</v>
      </c>
      <c r="CG26" s="286">
        <f t="shared" si="73"/>
        <v>8749.9119409130108</v>
      </c>
      <c r="CH26" s="286">
        <f t="shared" si="73"/>
        <v>8485.4137167889148</v>
      </c>
      <c r="CI26" s="286">
        <f t="shared" si="73"/>
        <v>8684.0096079971099</v>
      </c>
      <c r="CJ26" s="286">
        <f t="shared" si="73"/>
        <v>8845.129507211188</v>
      </c>
      <c r="CK26" s="286">
        <f t="shared" si="73"/>
        <v>8528.0775649889274</v>
      </c>
      <c r="CL26" s="286">
        <f t="shared" si="73"/>
        <v>10148</v>
      </c>
      <c r="CM26" s="286">
        <f t="shared" si="73"/>
        <v>10658</v>
      </c>
      <c r="CN26" s="286">
        <f t="shared" si="73"/>
        <v>10973</v>
      </c>
      <c r="CO26" s="286">
        <f t="shared" si="73"/>
        <v>11397</v>
      </c>
      <c r="CP26" s="286">
        <f t="shared" si="73"/>
        <v>12255.120927</v>
      </c>
      <c r="CQ26" s="286">
        <f t="shared" si="73"/>
        <v>12592.762441999999</v>
      </c>
      <c r="CR26" s="286">
        <f t="shared" si="73"/>
        <v>12538</v>
      </c>
      <c r="CS26" s="286">
        <f t="shared" si="73"/>
        <v>12735</v>
      </c>
      <c r="CT26" s="286">
        <f t="shared" si="73"/>
        <v>14105</v>
      </c>
      <c r="CU26" s="286">
        <f t="shared" si="73"/>
        <v>13024</v>
      </c>
      <c r="CV26" s="286">
        <f t="shared" si="73"/>
        <v>13744</v>
      </c>
      <c r="CW26" s="286">
        <f t="shared" si="73"/>
        <v>14661</v>
      </c>
      <c r="CX26" s="286">
        <f t="shared" si="73"/>
        <v>14386.90395296058</v>
      </c>
      <c r="CY26" s="286">
        <f t="shared" si="73"/>
        <v>15184.322394025541</v>
      </c>
      <c r="CZ26" s="286">
        <f t="shared" si="73"/>
        <v>14282.277263702981</v>
      </c>
      <c r="DA26" s="286">
        <f t="shared" si="73"/>
        <v>14387.462826888235</v>
      </c>
      <c r="DB26" s="286">
        <f t="shared" si="73"/>
        <v>13435.861045974691</v>
      </c>
      <c r="DC26" s="287">
        <f t="shared" si="73"/>
        <v>13212.324870607443</v>
      </c>
      <c r="DD26" s="287">
        <f t="shared" si="73"/>
        <v>12664.140524736616</v>
      </c>
      <c r="DE26" s="287">
        <f t="shared" si="73"/>
        <v>12578.070993787347</v>
      </c>
      <c r="DF26" s="287">
        <f t="shared" si="73"/>
        <v>12317.98326212063</v>
      </c>
      <c r="DG26" s="287">
        <f t="shared" si="73"/>
        <v>12132.755220646093</v>
      </c>
      <c r="DH26" s="287">
        <f t="shared" si="73"/>
        <v>11756.690167477131</v>
      </c>
      <c r="DI26" s="287">
        <f t="shared" si="73"/>
        <v>11594.972971381201</v>
      </c>
      <c r="DJ26" s="287">
        <f t="shared" si="73"/>
        <v>11323.035510825923</v>
      </c>
      <c r="DK26" s="287">
        <f t="shared" si="73"/>
        <v>11344.059224705175</v>
      </c>
      <c r="DL26" s="287">
        <f t="shared" si="73"/>
        <v>11172.570731447673</v>
      </c>
      <c r="DM26" s="287">
        <f t="shared" si="73"/>
        <v>11126.424193678344</v>
      </c>
      <c r="DN26" s="287">
        <f t="shared" si="73"/>
        <v>11016.977038954401</v>
      </c>
      <c r="DO26" s="287">
        <f t="shared" si="73"/>
        <v>11579.885512430796</v>
      </c>
      <c r="DP26" s="287">
        <f t="shared" si="73"/>
        <v>11240.764581977033</v>
      </c>
      <c r="DQ26" s="287">
        <f t="shared" si="73"/>
        <v>10551.804209729784</v>
      </c>
      <c r="DR26" s="287">
        <f t="shared" si="73"/>
        <v>10212.933202481558</v>
      </c>
      <c r="DS26" s="287">
        <f t="shared" si="73"/>
        <v>10167.264434757806</v>
      </c>
      <c r="DT26" s="287">
        <f t="shared" si="73"/>
        <v>10024.030987909833</v>
      </c>
      <c r="DU26" s="287">
        <f t="shared" si="73"/>
        <v>9554.1224294110434</v>
      </c>
      <c r="DV26" s="286">
        <f t="shared" si="73"/>
        <v>49374.787581451688</v>
      </c>
      <c r="DW26" s="286">
        <f t="shared" si="73"/>
        <v>51109.909613909571</v>
      </c>
      <c r="DX26" s="286">
        <f t="shared" si="73"/>
        <v>53924.001369587546</v>
      </c>
      <c r="DY26" s="286">
        <f t="shared" si="73"/>
        <v>52613.091787991216</v>
      </c>
      <c r="DZ26" s="286">
        <f t="shared" si="73"/>
        <v>53171.718641879699</v>
      </c>
      <c r="EA26" s="286">
        <f t="shared" si="73"/>
        <v>55589</v>
      </c>
      <c r="EB26" s="286">
        <f t="shared" si="73"/>
        <v>59822</v>
      </c>
      <c r="EC26" s="286">
        <f t="shared" si="73"/>
        <v>61612</v>
      </c>
      <c r="ED26" s="286">
        <f t="shared" si="73"/>
        <v>64380</v>
      </c>
      <c r="EE26" s="286">
        <f t="shared" si="73"/>
        <v>65721.368962000008</v>
      </c>
      <c r="EF26" s="286">
        <f t="shared" si="73"/>
        <v>68031.670920600009</v>
      </c>
      <c r="EG26" s="286">
        <f t="shared" si="73"/>
        <v>68620</v>
      </c>
      <c r="EH26" s="286">
        <f t="shared" si="73"/>
        <v>69198</v>
      </c>
      <c r="EI26" s="286">
        <f t="shared" si="73"/>
        <v>71445</v>
      </c>
      <c r="EJ26" s="286">
        <f t="shared" si="73"/>
        <v>74481</v>
      </c>
      <c r="EK26" s="286">
        <f t="shared" si="73"/>
        <v>75084</v>
      </c>
      <c r="EL26" s="286">
        <f t="shared" si="73"/>
        <v>77643</v>
      </c>
      <c r="EM26" s="286">
        <f t="shared" si="73"/>
        <v>83231.183151023739</v>
      </c>
      <c r="EN26" s="286">
        <f t="shared" ref="EN26:HG26" si="75">+EN25-EN52-EN54</f>
        <v>82396.082743183928</v>
      </c>
      <c r="EO26" s="286">
        <f t="shared" si="75"/>
        <v>82799.850928750064</v>
      </c>
      <c r="EP26" s="286">
        <f t="shared" si="75"/>
        <v>84413.800260851844</v>
      </c>
      <c r="EQ26" s="286">
        <f t="shared" si="75"/>
        <v>85668.809808956677</v>
      </c>
      <c r="ER26" s="287">
        <f t="shared" si="75"/>
        <v>83987.111945546043</v>
      </c>
      <c r="ES26" s="287">
        <f t="shared" si="75"/>
        <v>82133.193652158516</v>
      </c>
      <c r="ET26" s="287">
        <f t="shared" si="75"/>
        <v>79723.790288003787</v>
      </c>
      <c r="EU26" s="287">
        <f t="shared" si="75"/>
        <v>79136.320878738421</v>
      </c>
      <c r="EV26" s="287">
        <f t="shared" si="75"/>
        <v>83019.627320083615</v>
      </c>
      <c r="EW26" s="287">
        <f t="shared" si="75"/>
        <v>80993.241156799733</v>
      </c>
      <c r="EX26" s="287">
        <f t="shared" si="75"/>
        <v>80259.808008531676</v>
      </c>
      <c r="EY26" s="287">
        <f t="shared" si="75"/>
        <v>82374.544543512748</v>
      </c>
      <c r="EZ26" s="287">
        <f t="shared" si="75"/>
        <v>81929.785593762252</v>
      </c>
      <c r="FA26" s="287">
        <f t="shared" si="75"/>
        <v>80552.685359423544</v>
      </c>
      <c r="FB26" s="287">
        <f t="shared" si="75"/>
        <v>78062.701912301942</v>
      </c>
      <c r="FC26" s="287">
        <f t="shared" si="75"/>
        <v>75418.388703714198</v>
      </c>
      <c r="FD26" s="287">
        <f t="shared" si="75"/>
        <v>82424.794999541671</v>
      </c>
      <c r="FE26" s="287">
        <f t="shared" si="75"/>
        <v>80828.472350516327</v>
      </c>
      <c r="FF26" s="287">
        <f t="shared" si="75"/>
        <v>77772.565154499956</v>
      </c>
      <c r="FG26" s="287">
        <f t="shared" si="75"/>
        <v>75661.416295837975</v>
      </c>
      <c r="FH26" s="287">
        <f t="shared" si="75"/>
        <v>81796.235704152597</v>
      </c>
      <c r="FI26" s="287">
        <f t="shared" si="75"/>
        <v>81568.013496382409</v>
      </c>
      <c r="FJ26" s="287">
        <f t="shared" si="75"/>
        <v>87391.356405403669</v>
      </c>
      <c r="FK26" s="286">
        <f t="shared" si="75"/>
        <v>23642.274697568111</v>
      </c>
      <c r="FL26" s="286">
        <f t="shared" si="75"/>
        <v>24270.633678368202</v>
      </c>
      <c r="FM26" s="286">
        <f t="shared" si="75"/>
        <v>25385.81709807333</v>
      </c>
      <c r="FN26" s="286">
        <f t="shared" si="75"/>
        <v>25192.52217183249</v>
      </c>
      <c r="FO26" s="286">
        <f t="shared" si="75"/>
        <v>25992.905273094326</v>
      </c>
      <c r="FP26" s="286">
        <f t="shared" si="75"/>
        <v>28099</v>
      </c>
      <c r="FQ26" s="286">
        <f t="shared" si="75"/>
        <v>28868</v>
      </c>
      <c r="FR26" s="286">
        <f t="shared" si="75"/>
        <v>30045</v>
      </c>
      <c r="FS26" s="286">
        <f t="shared" si="75"/>
        <v>31028</v>
      </c>
      <c r="FT26" s="286">
        <f t="shared" si="75"/>
        <v>31344.272904000001</v>
      </c>
      <c r="FU26" s="286">
        <f t="shared" si="75"/>
        <v>32600.910388600001</v>
      </c>
      <c r="FV26" s="286">
        <f t="shared" si="75"/>
        <v>34823</v>
      </c>
      <c r="FW26" s="286">
        <f t="shared" si="75"/>
        <v>35360</v>
      </c>
      <c r="FX26" s="286">
        <f t="shared" si="75"/>
        <v>37611</v>
      </c>
      <c r="FY26" s="286">
        <f t="shared" si="75"/>
        <v>36349</v>
      </c>
      <c r="FZ26" s="286">
        <f t="shared" si="75"/>
        <v>37415</v>
      </c>
      <c r="GA26" s="286">
        <f t="shared" si="75"/>
        <v>38434</v>
      </c>
      <c r="GB26" s="286">
        <f t="shared" si="75"/>
        <v>39388.032601672385</v>
      </c>
      <c r="GC26" s="286">
        <f t="shared" si="75"/>
        <v>42660.87926138832</v>
      </c>
      <c r="GD26" s="286">
        <f t="shared" si="75"/>
        <v>42314.549412496133</v>
      </c>
      <c r="GE26" s="286">
        <f t="shared" si="75"/>
        <v>42841.857198844773</v>
      </c>
      <c r="GF26" s="286">
        <f t="shared" si="75"/>
        <v>41859.363243656793</v>
      </c>
      <c r="GG26" s="287">
        <f t="shared" si="75"/>
        <v>40723.119745344629</v>
      </c>
      <c r="GH26" s="287">
        <f t="shared" si="75"/>
        <v>39105.919878192348</v>
      </c>
      <c r="GI26" s="287">
        <f t="shared" si="75"/>
        <v>38143.521374620075</v>
      </c>
      <c r="GJ26" s="287">
        <f t="shared" si="75"/>
        <v>36863.71519135408</v>
      </c>
      <c r="GK26" s="287">
        <f t="shared" si="75"/>
        <v>36760.632597327945</v>
      </c>
      <c r="GL26" s="287">
        <f t="shared" si="75"/>
        <v>35967.192958412284</v>
      </c>
      <c r="GM26" s="287">
        <f t="shared" si="75"/>
        <v>34705.199671030408</v>
      </c>
      <c r="GN26" s="287">
        <f t="shared" si="75"/>
        <v>34245.511309636742</v>
      </c>
      <c r="GO26" s="287">
        <f t="shared" si="75"/>
        <v>33325.608038232691</v>
      </c>
      <c r="GP26" s="287">
        <f t="shared" si="75"/>
        <v>33136.154145852139</v>
      </c>
      <c r="GQ26" s="287">
        <f t="shared" si="75"/>
        <v>33398.299583050066</v>
      </c>
      <c r="GR26" s="287">
        <f t="shared" si="75"/>
        <v>32724.530384529557</v>
      </c>
      <c r="GS26" s="287">
        <f t="shared" si="75"/>
        <v>35051.843830628066</v>
      </c>
      <c r="GT26" s="287">
        <f t="shared" si="75"/>
        <v>34339.146744979807</v>
      </c>
      <c r="GU26" s="287">
        <f t="shared" si="75"/>
        <v>33452.957280856761</v>
      </c>
      <c r="GV26" s="287">
        <f t="shared" si="75"/>
        <v>32331.839567692445</v>
      </c>
      <c r="GW26" s="287">
        <f t="shared" si="75"/>
        <v>32002.702778034643</v>
      </c>
      <c r="GX26" s="287">
        <f t="shared" si="75"/>
        <v>32101.931700527766</v>
      </c>
      <c r="GY26" s="287">
        <f t="shared" si="75"/>
        <v>31855.470884045058</v>
      </c>
      <c r="GZ26" s="286">
        <f t="shared" si="75"/>
        <v>89223.747947821976</v>
      </c>
      <c r="HA26" s="286">
        <f t="shared" si="75"/>
        <v>95486.677577692622</v>
      </c>
      <c r="HB26" s="286">
        <f t="shared" si="75"/>
        <v>100247.17987867381</v>
      </c>
      <c r="HC26" s="286">
        <f t="shared" si="75"/>
        <v>101731.95043336088</v>
      </c>
      <c r="HD26" s="286">
        <f t="shared" si="75"/>
        <v>103713.4472046951</v>
      </c>
      <c r="HE26" s="286">
        <f t="shared" si="75"/>
        <v>109836</v>
      </c>
      <c r="HF26" s="286">
        <f t="shared" si="75"/>
        <v>118227</v>
      </c>
      <c r="HG26" s="286">
        <f t="shared" si="75"/>
        <v>126927</v>
      </c>
      <c r="HH26" s="286">
        <f t="shared" ref="HH26:JW26" si="76">+HH25-HH52-HH54</f>
        <v>134347</v>
      </c>
      <c r="HI26" s="286">
        <f t="shared" si="76"/>
        <v>140554.54606999998</v>
      </c>
      <c r="HJ26" s="286">
        <f t="shared" si="76"/>
        <v>147614.07264100001</v>
      </c>
      <c r="HK26" s="286">
        <f t="shared" si="76"/>
        <v>157388</v>
      </c>
      <c r="HL26" s="286">
        <f t="shared" si="76"/>
        <v>164560</v>
      </c>
      <c r="HM26" s="286">
        <f t="shared" si="76"/>
        <v>177477</v>
      </c>
      <c r="HN26" s="286">
        <f t="shared" si="76"/>
        <v>173062</v>
      </c>
      <c r="HO26" s="286">
        <f t="shared" si="76"/>
        <v>178817</v>
      </c>
      <c r="HP26" s="286">
        <f t="shared" si="76"/>
        <v>199073</v>
      </c>
      <c r="HQ26" s="286">
        <f t="shared" si="76"/>
        <v>209050</v>
      </c>
      <c r="HR26" s="286">
        <f t="shared" si="76"/>
        <v>241148</v>
      </c>
      <c r="HS26" s="286">
        <f t="shared" si="76"/>
        <v>258327</v>
      </c>
      <c r="HT26" s="286">
        <f t="shared" si="76"/>
        <v>270588</v>
      </c>
      <c r="HU26" s="286">
        <f t="shared" si="76"/>
        <v>278136</v>
      </c>
      <c r="HV26" s="287">
        <f t="shared" si="76"/>
        <v>283328.25451656588</v>
      </c>
      <c r="HW26" s="287">
        <f t="shared" si="76"/>
        <v>285087.20329791633</v>
      </c>
      <c r="HX26" s="287">
        <f t="shared" si="76"/>
        <v>288757.09753644833</v>
      </c>
      <c r="HY26" s="287">
        <f t="shared" si="76"/>
        <v>287267.17516050843</v>
      </c>
      <c r="HZ26" s="287">
        <f t="shared" si="76"/>
        <v>300378.62881787121</v>
      </c>
      <c r="IA26" s="287">
        <f t="shared" si="76"/>
        <v>305640.78025347041</v>
      </c>
      <c r="IB26" s="287">
        <f t="shared" si="76"/>
        <v>308055.45917344117</v>
      </c>
      <c r="IC26" s="287">
        <f t="shared" si="76"/>
        <v>313975.45760234224</v>
      </c>
      <c r="ID26" s="287">
        <f t="shared" si="76"/>
        <v>319290.12740357214</v>
      </c>
      <c r="IE26" s="287">
        <f t="shared" si="76"/>
        <v>330146.07362739393</v>
      </c>
      <c r="IF26" s="287">
        <f t="shared" si="76"/>
        <v>342684.5268942893</v>
      </c>
      <c r="IG26" s="287">
        <f t="shared" si="76"/>
        <v>339465.53928108624</v>
      </c>
      <c r="IH26" s="287">
        <f t="shared" si="76"/>
        <v>336534.22980710753</v>
      </c>
      <c r="II26" s="287">
        <f t="shared" si="76"/>
        <v>316452.60811142344</v>
      </c>
      <c r="IJ26" s="287">
        <f t="shared" si="76"/>
        <v>298930.91726417938</v>
      </c>
      <c r="IK26" s="287">
        <f t="shared" si="76"/>
        <v>288340.36086123064</v>
      </c>
      <c r="IL26" s="287">
        <f t="shared" si="76"/>
        <v>283253.46900933352</v>
      </c>
      <c r="IM26" s="287">
        <f t="shared" si="76"/>
        <v>278278.11767617794</v>
      </c>
      <c r="IN26" s="287">
        <f t="shared" si="76"/>
        <v>278759.77760895155</v>
      </c>
      <c r="IO26" s="286">
        <f t="shared" si="76"/>
        <v>269014.27783224516</v>
      </c>
      <c r="IP26" s="286">
        <f t="shared" si="76"/>
        <v>267996.36541324068</v>
      </c>
      <c r="IQ26" s="286">
        <f t="shared" si="76"/>
        <v>280895.99204566819</v>
      </c>
      <c r="IR26" s="286">
        <f t="shared" si="76"/>
        <v>287849.30609960423</v>
      </c>
      <c r="IS26" s="286">
        <f t="shared" si="76"/>
        <v>288252.85131534195</v>
      </c>
      <c r="IT26" s="286">
        <f t="shared" si="76"/>
        <v>319064</v>
      </c>
      <c r="IU26" s="286">
        <f t="shared" si="76"/>
        <v>328273</v>
      </c>
      <c r="IV26" s="286">
        <f t="shared" si="76"/>
        <v>337516</v>
      </c>
      <c r="IW26" s="286">
        <f t="shared" si="76"/>
        <v>348027</v>
      </c>
      <c r="IX26" s="286">
        <f t="shared" si="76"/>
        <v>350016.69114000001</v>
      </c>
      <c r="IY26" s="286">
        <f t="shared" si="76"/>
        <v>354857.58360799996</v>
      </c>
      <c r="IZ26" s="286">
        <f t="shared" si="76"/>
        <v>362249</v>
      </c>
      <c r="JA26" s="286">
        <f t="shared" si="76"/>
        <v>354890</v>
      </c>
      <c r="JB26" s="286">
        <f t="shared" si="76"/>
        <v>359491</v>
      </c>
      <c r="JC26" s="286">
        <f t="shared" si="76"/>
        <v>351199</v>
      </c>
      <c r="JD26" s="286">
        <f t="shared" si="76"/>
        <v>351506</v>
      </c>
      <c r="JE26" s="286">
        <f t="shared" si="76"/>
        <v>356230</v>
      </c>
      <c r="JF26" s="286">
        <f t="shared" si="76"/>
        <v>355071.88029434328</v>
      </c>
      <c r="JG26" s="286">
        <f t="shared" si="76"/>
        <v>354763.71560140222</v>
      </c>
      <c r="JH26" s="286">
        <f t="shared" si="76"/>
        <v>351572.32239505078</v>
      </c>
      <c r="JI26" s="286">
        <f t="shared" si="76"/>
        <v>344776.87971341517</v>
      </c>
      <c r="JJ26" s="286">
        <f t="shared" si="76"/>
        <v>342327.96590141184</v>
      </c>
      <c r="JK26" s="287">
        <f t="shared" si="76"/>
        <v>339527.50744426291</v>
      </c>
      <c r="JL26" s="287">
        <f t="shared" si="76"/>
        <v>330599.26718932949</v>
      </c>
      <c r="JM26" s="287">
        <f t="shared" si="76"/>
        <v>328728.14312556415</v>
      </c>
      <c r="JN26" s="287">
        <f t="shared" si="76"/>
        <v>325841.72742319392</v>
      </c>
      <c r="JO26" s="287">
        <f t="shared" si="76"/>
        <v>326548.71670652326</v>
      </c>
      <c r="JP26" s="287">
        <f t="shared" si="76"/>
        <v>323966.22222182283</v>
      </c>
      <c r="JQ26" s="287">
        <f t="shared" si="76"/>
        <v>320091.11315139144</v>
      </c>
      <c r="JR26" s="287">
        <f t="shared" si="76"/>
        <v>324620.21985737584</v>
      </c>
      <c r="JS26" s="287">
        <f t="shared" si="76"/>
        <v>323638.50995185226</v>
      </c>
      <c r="JT26" s="287">
        <f t="shared" si="76"/>
        <v>322606.57626743766</v>
      </c>
      <c r="JU26" s="287">
        <f t="shared" si="76"/>
        <v>328169.93612704525</v>
      </c>
      <c r="JV26" s="287">
        <f t="shared" si="76"/>
        <v>327454.12326063507</v>
      </c>
      <c r="JW26" s="287">
        <f t="shared" si="76"/>
        <v>324163.7442232336</v>
      </c>
      <c r="JX26" s="287">
        <f t="shared" ref="JX26:KC26" si="77">+JX25-JX52-JX54</f>
        <v>315082.09934944875</v>
      </c>
      <c r="JY26" s="287">
        <f t="shared" si="77"/>
        <v>309530.52480417589</v>
      </c>
      <c r="JZ26" s="287">
        <f t="shared" si="77"/>
        <v>301216.36668462702</v>
      </c>
      <c r="KA26" s="287">
        <f t="shared" si="77"/>
        <v>298770.93893369508</v>
      </c>
      <c r="KB26" s="287">
        <f t="shared" si="77"/>
        <v>298599.59014806373</v>
      </c>
      <c r="KC26" s="287">
        <f t="shared" si="77"/>
        <v>300962.54661612102</v>
      </c>
    </row>
    <row r="27" spans="1:289">
      <c r="A27" s="113" t="s">
        <v>129</v>
      </c>
      <c r="B27" s="100"/>
      <c r="C27" s="100"/>
      <c r="D27" s="99"/>
      <c r="E27" s="99"/>
      <c r="F27" s="99"/>
      <c r="G27" s="99"/>
      <c r="H27" s="100"/>
      <c r="I27" s="99"/>
      <c r="J27" s="99"/>
      <c r="K27" s="99"/>
      <c r="L27" s="99"/>
      <c r="M27" s="99"/>
      <c r="N27" s="99"/>
      <c r="O27" s="99"/>
      <c r="P27" s="99"/>
      <c r="Q27" s="99"/>
      <c r="R27" s="99"/>
      <c r="S27" s="99"/>
      <c r="T27" s="99"/>
      <c r="U27" s="99"/>
      <c r="V27" s="99"/>
      <c r="W27" s="99"/>
      <c r="X27" s="546"/>
      <c r="Y27" s="181"/>
      <c r="Z27" s="181"/>
      <c r="AA27" s="181"/>
      <c r="AB27" s="181"/>
      <c r="AC27" s="181"/>
      <c r="AD27" s="181"/>
      <c r="AE27" s="181"/>
      <c r="AF27" s="181"/>
      <c r="AG27" s="181"/>
      <c r="AH27" s="181"/>
      <c r="AI27" s="181"/>
      <c r="AJ27" s="181"/>
      <c r="AK27" s="181"/>
      <c r="AL27" s="181"/>
      <c r="AM27" s="181"/>
      <c r="AN27" s="181"/>
      <c r="AO27" s="181"/>
      <c r="AP27" s="181"/>
      <c r="AQ27" s="181"/>
      <c r="AR27" s="537"/>
      <c r="AS27" s="538"/>
      <c r="AT27" s="538"/>
      <c r="AU27" s="538"/>
      <c r="AV27" s="538"/>
      <c r="AW27" s="538"/>
      <c r="AX27" s="538"/>
      <c r="AY27" s="538"/>
      <c r="AZ27" s="538"/>
      <c r="BA27" s="538"/>
      <c r="BB27" s="538"/>
      <c r="BC27" s="538"/>
      <c r="BD27" s="538"/>
      <c r="BE27" s="538"/>
      <c r="BF27" s="538"/>
      <c r="BG27" s="538"/>
      <c r="BH27" s="538"/>
      <c r="BI27" s="538"/>
      <c r="BJ27" s="538"/>
      <c r="BK27" s="538"/>
      <c r="BL27" s="538"/>
      <c r="BM27" s="538"/>
      <c r="BN27" s="260"/>
      <c r="BO27" s="260"/>
      <c r="BP27" s="260"/>
      <c r="BQ27" s="260"/>
      <c r="BR27" s="260"/>
      <c r="BS27" s="260"/>
      <c r="BT27" s="260"/>
      <c r="BU27" s="260"/>
      <c r="BV27" s="260"/>
      <c r="BW27" s="260"/>
      <c r="BX27" s="260"/>
      <c r="BY27" s="260"/>
      <c r="BZ27" s="260"/>
      <c r="CA27" s="260"/>
      <c r="CB27" s="260"/>
      <c r="CC27" s="181"/>
      <c r="CD27" s="181"/>
      <c r="CE27" s="181"/>
      <c r="CF27" s="181"/>
      <c r="CG27" s="100"/>
      <c r="CH27" s="100"/>
      <c r="CI27" s="99"/>
      <c r="CJ27" s="99"/>
      <c r="CK27" s="99"/>
      <c r="CL27" s="99"/>
      <c r="CM27" s="100"/>
      <c r="CN27" s="99"/>
      <c r="CO27" s="99"/>
      <c r="CP27" s="99"/>
      <c r="CQ27" s="99"/>
      <c r="CR27" s="99"/>
      <c r="CS27" s="99"/>
      <c r="CT27" s="99"/>
      <c r="CU27" s="99"/>
      <c r="CV27" s="99"/>
      <c r="CW27" s="99"/>
      <c r="CX27" s="99"/>
      <c r="CY27" s="99"/>
      <c r="CZ27" s="99"/>
      <c r="DA27" s="99"/>
      <c r="DB27" s="99"/>
      <c r="DC27" s="181"/>
      <c r="DD27" s="181"/>
      <c r="DE27" s="181"/>
      <c r="DF27" s="181"/>
      <c r="DG27" s="181"/>
      <c r="DH27" s="181"/>
      <c r="DI27" s="181"/>
      <c r="DJ27" s="181"/>
      <c r="DK27" s="181"/>
      <c r="DL27" s="181"/>
      <c r="DM27" s="181"/>
      <c r="DN27" s="181"/>
      <c r="DO27" s="181"/>
      <c r="DP27" s="181"/>
      <c r="DQ27" s="181"/>
      <c r="DR27" s="181"/>
      <c r="DS27" s="181"/>
      <c r="DT27" s="181"/>
      <c r="DU27" s="181"/>
      <c r="DV27" s="100"/>
      <c r="DW27" s="100"/>
      <c r="DX27" s="99"/>
      <c r="DY27" s="99"/>
      <c r="DZ27" s="99"/>
      <c r="EA27" s="99"/>
      <c r="EB27" s="100"/>
      <c r="EC27" s="99"/>
      <c r="ED27" s="99"/>
      <c r="EE27" s="99"/>
      <c r="EF27" s="99"/>
      <c r="EG27" s="99"/>
      <c r="EH27" s="99"/>
      <c r="EI27" s="99"/>
      <c r="EJ27" s="99"/>
      <c r="EK27" s="99"/>
      <c r="EL27" s="99"/>
      <c r="EM27" s="99"/>
      <c r="EN27" s="99"/>
      <c r="EO27" s="99"/>
      <c r="EP27" s="99"/>
      <c r="EQ27" s="99"/>
      <c r="ER27" s="181"/>
      <c r="ES27" s="181"/>
      <c r="ET27" s="181"/>
      <c r="EU27" s="181"/>
      <c r="EV27" s="181"/>
      <c r="EW27" s="181"/>
      <c r="EX27" s="181"/>
      <c r="EY27" s="181"/>
      <c r="EZ27" s="181"/>
      <c r="FA27" s="181"/>
      <c r="FB27" s="181"/>
      <c r="FC27" s="181"/>
      <c r="FD27" s="181"/>
      <c r="FE27" s="181"/>
      <c r="FF27" s="181"/>
      <c r="FG27" s="181"/>
      <c r="FH27" s="181"/>
      <c r="FI27" s="181"/>
      <c r="FJ27" s="181"/>
      <c r="FK27" s="100"/>
      <c r="FL27" s="100"/>
      <c r="FM27" s="99"/>
      <c r="FN27" s="99"/>
      <c r="FO27" s="99"/>
      <c r="FP27" s="99"/>
      <c r="FQ27" s="100"/>
      <c r="FR27" s="99"/>
      <c r="FS27" s="99"/>
      <c r="FT27" s="99"/>
      <c r="FU27" s="99"/>
      <c r="FV27" s="99"/>
      <c r="FW27" s="99"/>
      <c r="FX27" s="99"/>
      <c r="FY27" s="99"/>
      <c r="FZ27" s="99"/>
      <c r="GA27" s="99"/>
      <c r="GB27" s="99"/>
      <c r="GC27" s="99"/>
      <c r="GD27" s="99"/>
      <c r="GE27" s="99"/>
      <c r="GF27" s="99"/>
      <c r="GG27" s="181"/>
      <c r="GH27" s="181"/>
      <c r="GI27" s="181"/>
      <c r="GJ27" s="181"/>
      <c r="GK27" s="181"/>
      <c r="GL27" s="181"/>
      <c r="GM27" s="181"/>
      <c r="GN27" s="181"/>
      <c r="GO27" s="181"/>
      <c r="GP27" s="181"/>
      <c r="GQ27" s="181"/>
      <c r="GR27" s="181"/>
      <c r="GS27" s="181"/>
      <c r="GT27" s="181"/>
      <c r="GU27" s="181"/>
      <c r="GV27" s="181"/>
      <c r="GW27" s="181"/>
      <c r="GX27" s="181"/>
      <c r="GY27" s="181"/>
      <c r="GZ27" s="100"/>
      <c r="HA27" s="100"/>
      <c r="HB27" s="99"/>
      <c r="HC27" s="99"/>
      <c r="HD27" s="99"/>
      <c r="HE27" s="99"/>
      <c r="HF27" s="100"/>
      <c r="HG27" s="99"/>
      <c r="HH27" s="99"/>
      <c r="HI27" s="99"/>
      <c r="HJ27" s="99"/>
      <c r="HK27" s="99"/>
      <c r="HL27" s="99"/>
      <c r="HM27" s="99"/>
      <c r="HN27" s="99"/>
      <c r="HO27" s="99"/>
      <c r="HP27" s="99"/>
      <c r="HQ27" s="99"/>
      <c r="HR27" s="99"/>
      <c r="HS27" s="99"/>
      <c r="HT27" s="99"/>
      <c r="HU27" s="99"/>
      <c r="HV27" s="181"/>
      <c r="HW27" s="181"/>
      <c r="HX27" s="181"/>
      <c r="HY27" s="181"/>
      <c r="HZ27" s="181"/>
      <c r="IA27" s="181"/>
      <c r="IB27" s="181"/>
      <c r="IC27" s="181"/>
      <c r="ID27" s="181"/>
      <c r="IE27" s="181"/>
      <c r="IF27" s="181"/>
      <c r="IG27" s="181"/>
      <c r="IH27" s="181"/>
      <c r="II27" s="181"/>
      <c r="IJ27" s="181"/>
      <c r="IK27" s="181"/>
      <c r="IL27" s="181"/>
      <c r="IM27" s="181"/>
      <c r="IN27" s="181"/>
      <c r="IO27" s="100"/>
      <c r="IP27" s="100"/>
      <c r="IQ27" s="99"/>
      <c r="IR27" s="99"/>
      <c r="IS27" s="99"/>
      <c r="IT27" s="99"/>
      <c r="IU27" s="100"/>
      <c r="IV27" s="99"/>
      <c r="IW27" s="99"/>
      <c r="IX27" s="99"/>
      <c r="IY27" s="99"/>
      <c r="IZ27" s="99"/>
      <c r="JA27" s="99"/>
      <c r="JB27" s="99"/>
      <c r="JC27" s="99"/>
      <c r="JD27" s="99"/>
      <c r="JE27" s="99"/>
      <c r="JF27" s="99"/>
      <c r="JG27" s="99"/>
      <c r="JH27" s="99"/>
      <c r="JI27" s="99"/>
      <c r="JJ27" s="99"/>
      <c r="JK27" s="181"/>
      <c r="JL27" s="181"/>
      <c r="JM27" s="181"/>
      <c r="JN27" s="181"/>
      <c r="JO27" s="181"/>
      <c r="JP27" s="181"/>
      <c r="JQ27" s="181"/>
      <c r="JR27" s="181"/>
      <c r="JS27" s="181"/>
      <c r="JT27" s="181"/>
      <c r="JU27" s="181"/>
      <c r="JV27" s="181"/>
      <c r="JW27" s="181"/>
      <c r="JX27" s="181"/>
      <c r="JY27" s="181"/>
      <c r="JZ27" s="181"/>
      <c r="KA27" s="181"/>
      <c r="KB27" s="181"/>
      <c r="KC27" s="181"/>
    </row>
    <row r="28" spans="1:289">
      <c r="A28" s="175" t="s">
        <v>51</v>
      </c>
      <c r="B28" s="100">
        <v>5535</v>
      </c>
      <c r="C28" s="100">
        <v>5535</v>
      </c>
      <c r="D28" s="99">
        <v>5747</v>
      </c>
      <c r="E28" s="99">
        <v>5765</v>
      </c>
      <c r="F28" s="99">
        <v>5945</v>
      </c>
      <c r="G28" s="99">
        <v>6133</v>
      </c>
      <c r="H28" s="100">
        <v>6462</v>
      </c>
      <c r="I28" s="99">
        <v>6810</v>
      </c>
      <c r="J28" s="99">
        <v>6615</v>
      </c>
      <c r="K28" s="99">
        <v>6812</v>
      </c>
      <c r="L28" s="99">
        <v>6945</v>
      </c>
      <c r="M28" s="99">
        <v>7297</v>
      </c>
      <c r="N28" s="99">
        <v>7236</v>
      </c>
      <c r="O28" s="99">
        <v>6909</v>
      </c>
      <c r="P28" s="99">
        <v>7361</v>
      </c>
      <c r="Q28" s="99">
        <v>7666</v>
      </c>
      <c r="R28" s="99">
        <v>7855</v>
      </c>
      <c r="S28" s="99">
        <v>8008</v>
      </c>
      <c r="T28" s="99">
        <v>8245</v>
      </c>
      <c r="U28" s="99">
        <v>8064</v>
      </c>
      <c r="V28" s="99">
        <v>7989</v>
      </c>
      <c r="W28" s="99">
        <v>7860</v>
      </c>
      <c r="X28" s="546">
        <v>7950</v>
      </c>
      <c r="Y28" s="180">
        <v>7787.3928649144109</v>
      </c>
      <c r="Z28" s="180">
        <v>7457.3877222170149</v>
      </c>
      <c r="AA28" s="180">
        <v>7415.8758797354458</v>
      </c>
      <c r="AB28" s="180">
        <v>7593.2523917548133</v>
      </c>
      <c r="AC28" s="180">
        <v>7606.5857780547331</v>
      </c>
      <c r="AD28" s="181">
        <v>7561.373754247581</v>
      </c>
      <c r="AE28" s="180">
        <v>7347.5261900024861</v>
      </c>
      <c r="AF28" s="180">
        <v>7301.6256804177456</v>
      </c>
      <c r="AG28" s="180">
        <v>7370.2197374192874</v>
      </c>
      <c r="AH28" s="180">
        <v>7411.2834419112805</v>
      </c>
      <c r="AI28" s="180">
        <v>7552.4252168001931</v>
      </c>
      <c r="AJ28" s="181">
        <v>7733.6604531477178</v>
      </c>
      <c r="AK28" s="180">
        <v>8063.9158428347964</v>
      </c>
      <c r="AL28" s="180">
        <v>7962.2072813707045</v>
      </c>
      <c r="AM28" s="180">
        <v>8043.9853449223574</v>
      </c>
      <c r="AN28" s="180">
        <v>8015.3531192493301</v>
      </c>
      <c r="AO28" s="180">
        <v>7844.3217181831733</v>
      </c>
      <c r="AP28" s="180">
        <v>8032.8005486435786</v>
      </c>
      <c r="AQ28" s="180">
        <v>7991.5477709879278</v>
      </c>
      <c r="AR28" s="533">
        <f t="shared" ref="AR28:AR41" si="78">+CG28+DV28</f>
        <v>1273</v>
      </c>
      <c r="AS28" s="534">
        <f t="shared" ref="AS28:AS41" si="79">+CH28+DW28</f>
        <v>1291</v>
      </c>
      <c r="AT28" s="534">
        <f t="shared" ref="AT28:AT41" si="80">+CI28+DX28</f>
        <v>1369</v>
      </c>
      <c r="AU28" s="534">
        <f t="shared" ref="AU28:AU41" si="81">+CJ28+DY28</f>
        <v>1358</v>
      </c>
      <c r="AV28" s="534">
        <f t="shared" ref="AV28:AV41" si="82">+CK28+DZ28</f>
        <v>1366</v>
      </c>
      <c r="AW28" s="534">
        <f t="shared" ref="AW28:AW41" si="83">+CL28+EA28</f>
        <v>1479</v>
      </c>
      <c r="AX28" s="534">
        <f t="shared" ref="AX28:AX41" si="84">+CM28+EB28</f>
        <v>1439</v>
      </c>
      <c r="AY28" s="534">
        <f t="shared" ref="AY28:AY41" si="85">+CN28+EC28</f>
        <v>1575</v>
      </c>
      <c r="AZ28" s="534">
        <f t="shared" ref="AZ28:AZ41" si="86">+CO28+ED28</f>
        <v>1604</v>
      </c>
      <c r="BA28" s="534">
        <f t="shared" ref="BA28:BA41" si="87">+CP28+EE28</f>
        <v>1715</v>
      </c>
      <c r="BB28" s="534">
        <f t="shared" ref="BB28:BB41" si="88">+CQ28+EF28</f>
        <v>1762</v>
      </c>
      <c r="BC28" s="534">
        <f t="shared" ref="BC28:BC41" si="89">+CR28+EG28</f>
        <v>1811</v>
      </c>
      <c r="BD28" s="534">
        <f t="shared" ref="BD28:BD41" si="90">+CS28+EH28</f>
        <v>1786</v>
      </c>
      <c r="BE28" s="534">
        <f t="shared" ref="BE28:BE41" si="91">+CT28+EI28</f>
        <v>1710</v>
      </c>
      <c r="BF28" s="534">
        <f t="shared" ref="BF28:BF41" si="92">+CU28+EJ28</f>
        <v>1970</v>
      </c>
      <c r="BG28" s="534">
        <f t="shared" ref="BG28:BG41" si="93">+CV28+EK28</f>
        <v>2213</v>
      </c>
      <c r="BH28" s="534">
        <f t="shared" ref="BH28:BH41" si="94">+CW28+EL28</f>
        <v>2098</v>
      </c>
      <c r="BI28" s="534">
        <f t="shared" ref="BI28:BI41" si="95">+CX28+EM28</f>
        <v>2331.5544664886925</v>
      </c>
      <c r="BJ28" s="534">
        <f t="shared" ref="BJ28:BJ41" si="96">+CY28+EN28</f>
        <v>2405.167946470146</v>
      </c>
      <c r="BK28" s="534">
        <f t="shared" ref="BK28:BK41" si="97">+CZ28+EO28</f>
        <v>2299.7980740126454</v>
      </c>
      <c r="BL28" s="534">
        <f t="shared" ref="BL28:BL41" si="98">+DA28+EP28</f>
        <v>2376.7611398436775</v>
      </c>
      <c r="BM28" s="534">
        <f t="shared" ref="BM28:BM41" si="99">+DB28+EQ28</f>
        <v>2363.4444876562634</v>
      </c>
      <c r="BN28" s="186">
        <f t="shared" ref="BN28:BN41" si="100">+DC28+ER28</f>
        <v>2304.1869259866298</v>
      </c>
      <c r="BO28" s="186">
        <f t="shared" ref="BO28:BO41" si="101">+DD28+ES28</f>
        <v>2251.4489728528342</v>
      </c>
      <c r="BP28" s="186">
        <f t="shared" ref="BP28:BP41" si="102">+DE28+ET28</f>
        <v>2278.5215435435794</v>
      </c>
      <c r="BQ28" s="186">
        <f t="shared" ref="BQ28:BQ41" si="103">+DF28+EU28</f>
        <v>2337.5939093753545</v>
      </c>
      <c r="BR28" s="186">
        <f t="shared" ref="BR28:BR41" si="104">+DG28+EV28</f>
        <v>2410.5408956829233</v>
      </c>
      <c r="BS28" s="186">
        <f t="shared" ref="BS28:BS41" si="105">+DH28+EW28</f>
        <v>2447.7875560015818</v>
      </c>
      <c r="BT28" s="186">
        <f t="shared" ref="BT28:BT41" si="106">+DI28+EX28</f>
        <v>2310.1135772463585</v>
      </c>
      <c r="BU28" s="186">
        <f t="shared" ref="BU28:BU41" si="107">+DJ28+EY28</f>
        <v>2302.3186022852647</v>
      </c>
      <c r="BV28" s="186">
        <f t="shared" ref="BV28:BV41" si="108">+DK28+EZ28</f>
        <v>2309.5907859250942</v>
      </c>
      <c r="BW28" s="186">
        <f t="shared" ref="BW28:BW41" si="109">+DL28+FA28</f>
        <v>2379.3777632779424</v>
      </c>
      <c r="BX28" s="186">
        <f t="shared" ref="BX28:BX41" si="110">+DM28+FB28</f>
        <v>2369.5104122913708</v>
      </c>
      <c r="BY28" s="186">
        <f t="shared" ref="BY28:BY41" si="111">+DN28+FC28</f>
        <v>2510.7726501491279</v>
      </c>
      <c r="BZ28" s="186">
        <f t="shared" ref="BZ28:BZ41" si="112">+DO28+FD28</f>
        <v>2745.5077807302082</v>
      </c>
      <c r="CA28" s="186">
        <f t="shared" ref="CA28:CA41" si="113">+DP28+FE28</f>
        <v>2764.7354144550054</v>
      </c>
      <c r="CB28" s="186">
        <f t="shared" ref="CB28:CB41" si="114">+DQ28+FF28</f>
        <v>2794.582533953685</v>
      </c>
      <c r="CC28" s="186">
        <f t="shared" ref="CC28:CC41" si="115">+DR28+FG28</f>
        <v>2658.1864429695052</v>
      </c>
      <c r="CD28" s="186">
        <f t="shared" ref="CD28:CD41" si="116">+DS28+FH28</f>
        <v>2640.9359652218218</v>
      </c>
      <c r="CE28" s="186">
        <f t="shared" ref="CE28:CE41" si="117">+DT28+FI28</f>
        <v>2461.7233058350839</v>
      </c>
      <c r="CF28" s="186">
        <f t="shared" ref="CF28:CF41" si="118">+DU28+FJ28</f>
        <v>2471.4132612830281</v>
      </c>
      <c r="CG28" s="100">
        <v>1036</v>
      </c>
      <c r="CH28" s="100">
        <v>1017</v>
      </c>
      <c r="CI28" s="99">
        <v>1084</v>
      </c>
      <c r="CJ28" s="99">
        <v>1110</v>
      </c>
      <c r="CK28" s="99">
        <v>1077</v>
      </c>
      <c r="CL28" s="99">
        <v>1151</v>
      </c>
      <c r="CM28" s="100">
        <v>1132</v>
      </c>
      <c r="CN28" s="99">
        <v>1210</v>
      </c>
      <c r="CO28" s="99">
        <v>1257</v>
      </c>
      <c r="CP28" s="99">
        <v>1286</v>
      </c>
      <c r="CQ28" s="99">
        <v>1340</v>
      </c>
      <c r="CR28" s="99">
        <v>1343</v>
      </c>
      <c r="CS28" s="99">
        <v>1325</v>
      </c>
      <c r="CT28" s="99">
        <v>1233</v>
      </c>
      <c r="CU28" s="99">
        <v>1442</v>
      </c>
      <c r="CV28" s="99">
        <v>1693</v>
      </c>
      <c r="CW28" s="99">
        <v>1523</v>
      </c>
      <c r="CX28" s="99">
        <v>1592.3640634344206</v>
      </c>
      <c r="CY28" s="99">
        <v>1707.1288693676502</v>
      </c>
      <c r="CZ28" s="99">
        <v>1545.739196227561</v>
      </c>
      <c r="DA28" s="99">
        <v>1595.8024029894948</v>
      </c>
      <c r="DB28" s="99">
        <v>1591.3665258994051</v>
      </c>
      <c r="DC28" s="180">
        <v>1610.8879584914957</v>
      </c>
      <c r="DD28" s="180">
        <v>1519.609021492482</v>
      </c>
      <c r="DE28" s="180">
        <v>1576.34878965194</v>
      </c>
      <c r="DF28" s="180">
        <v>1605.0391480920323</v>
      </c>
      <c r="DG28" s="180">
        <v>1687.723597108034</v>
      </c>
      <c r="DH28" s="181">
        <v>1691.0725336584533</v>
      </c>
      <c r="DI28" s="180">
        <v>1621.8668102604202</v>
      </c>
      <c r="DJ28" s="180">
        <v>1595.8770605580175</v>
      </c>
      <c r="DK28" s="180">
        <v>1639.436242908301</v>
      </c>
      <c r="DL28" s="180">
        <v>1705.3932407259467</v>
      </c>
      <c r="DM28" s="180">
        <v>1740.2286990824227</v>
      </c>
      <c r="DN28" s="181">
        <v>1850.7203312770325</v>
      </c>
      <c r="DO28" s="180">
        <v>1918.8518401306264</v>
      </c>
      <c r="DP28" s="180">
        <v>1954.9590532997086</v>
      </c>
      <c r="DQ28" s="180">
        <v>1918.9966890250482</v>
      </c>
      <c r="DR28" s="180">
        <v>1838.6244361161589</v>
      </c>
      <c r="DS28" s="180">
        <v>1776.9988406131849</v>
      </c>
      <c r="DT28" s="180">
        <v>1597.4432213234657</v>
      </c>
      <c r="DU28" s="180">
        <v>1573.0780956600195</v>
      </c>
      <c r="DV28" s="100">
        <v>237</v>
      </c>
      <c r="DW28" s="100">
        <v>274</v>
      </c>
      <c r="DX28" s="99">
        <v>285</v>
      </c>
      <c r="DY28" s="99">
        <v>248</v>
      </c>
      <c r="DZ28" s="99">
        <v>289</v>
      </c>
      <c r="EA28" s="99">
        <v>328</v>
      </c>
      <c r="EB28" s="100">
        <v>307</v>
      </c>
      <c r="EC28" s="99">
        <v>365</v>
      </c>
      <c r="ED28" s="99">
        <v>347</v>
      </c>
      <c r="EE28" s="99">
        <v>429</v>
      </c>
      <c r="EF28" s="99">
        <v>422</v>
      </c>
      <c r="EG28" s="99">
        <v>468</v>
      </c>
      <c r="EH28" s="99">
        <v>461</v>
      </c>
      <c r="EI28" s="99">
        <v>477</v>
      </c>
      <c r="EJ28" s="99">
        <v>528</v>
      </c>
      <c r="EK28" s="99">
        <v>520</v>
      </c>
      <c r="EL28" s="99">
        <v>575</v>
      </c>
      <c r="EM28" s="99">
        <v>739.19040305427188</v>
      </c>
      <c r="EN28" s="99">
        <v>698.03907710249575</v>
      </c>
      <c r="EO28" s="99">
        <v>754.05887778508452</v>
      </c>
      <c r="EP28" s="99">
        <v>780.95873685418246</v>
      </c>
      <c r="EQ28" s="99">
        <v>772.07796175685814</v>
      </c>
      <c r="ER28" s="180">
        <v>693.29896749513409</v>
      </c>
      <c r="ES28" s="180">
        <v>731.83995136035242</v>
      </c>
      <c r="ET28" s="180">
        <v>702.17275389163945</v>
      </c>
      <c r="EU28" s="180">
        <v>732.55476128332236</v>
      </c>
      <c r="EV28" s="180">
        <v>722.81729857488949</v>
      </c>
      <c r="EW28" s="181">
        <v>756.71502234312845</v>
      </c>
      <c r="EX28" s="180">
        <v>688.24676698593851</v>
      </c>
      <c r="EY28" s="180">
        <v>706.44154172724723</v>
      </c>
      <c r="EZ28" s="180">
        <v>670.15454301679313</v>
      </c>
      <c r="FA28" s="180">
        <v>673.98452255199584</v>
      </c>
      <c r="FB28" s="180">
        <v>629.28171320894808</v>
      </c>
      <c r="FC28" s="181">
        <v>660.05231887209527</v>
      </c>
      <c r="FD28" s="180">
        <v>826.65594059958175</v>
      </c>
      <c r="FE28" s="180">
        <v>809.77636115529685</v>
      </c>
      <c r="FF28" s="180">
        <v>875.5858449286369</v>
      </c>
      <c r="FG28" s="180">
        <v>819.56200685334647</v>
      </c>
      <c r="FH28" s="180">
        <v>863.93712460863662</v>
      </c>
      <c r="FI28" s="180">
        <v>864.2800845116185</v>
      </c>
      <c r="FJ28" s="180">
        <v>898.33516562300849</v>
      </c>
      <c r="FK28" s="100">
        <v>196</v>
      </c>
      <c r="FL28" s="100">
        <v>204</v>
      </c>
      <c r="FM28" s="99">
        <v>233</v>
      </c>
      <c r="FN28" s="99">
        <v>230</v>
      </c>
      <c r="FO28" s="99">
        <v>225</v>
      </c>
      <c r="FP28" s="99">
        <v>255</v>
      </c>
      <c r="FQ28" s="100">
        <v>259</v>
      </c>
      <c r="FR28" s="99">
        <v>282</v>
      </c>
      <c r="FS28" s="99">
        <v>245</v>
      </c>
      <c r="FT28" s="99">
        <v>246</v>
      </c>
      <c r="FU28" s="99">
        <v>252</v>
      </c>
      <c r="FV28" s="99">
        <v>268</v>
      </c>
      <c r="FW28" s="99">
        <v>280</v>
      </c>
      <c r="FX28" s="99">
        <v>229</v>
      </c>
      <c r="FY28" s="99">
        <v>302</v>
      </c>
      <c r="FZ28" s="99">
        <v>282</v>
      </c>
      <c r="GA28" s="99">
        <v>262</v>
      </c>
      <c r="GB28" s="99">
        <v>297.76747093565956</v>
      </c>
      <c r="GC28" s="99">
        <v>289.03766088680186</v>
      </c>
      <c r="GD28" s="99">
        <v>307.49380379309912</v>
      </c>
      <c r="GE28" s="99">
        <v>283.49144595827204</v>
      </c>
      <c r="GF28" s="99">
        <v>288.91403494133112</v>
      </c>
      <c r="GG28" s="180">
        <v>263.41777614830613</v>
      </c>
      <c r="GH28" s="180">
        <v>274.52726692155801</v>
      </c>
      <c r="GI28" s="180">
        <v>259.5960193914479</v>
      </c>
      <c r="GJ28" s="180">
        <v>276.72732735377309</v>
      </c>
      <c r="GK28" s="180">
        <v>280.79684665670595</v>
      </c>
      <c r="GL28" s="181">
        <v>253.79520112197395</v>
      </c>
      <c r="GM28" s="180">
        <v>281.41681503040678</v>
      </c>
      <c r="GN28" s="180">
        <v>234.00598646776871</v>
      </c>
      <c r="GO28" s="180">
        <v>237.58162720095541</v>
      </c>
      <c r="GP28" s="180">
        <v>235.32902430238121</v>
      </c>
      <c r="GQ28" s="180">
        <v>230.77392119215421</v>
      </c>
      <c r="GR28" s="181">
        <v>243.20366391146638</v>
      </c>
      <c r="GS28" s="180">
        <v>246.49897654291598</v>
      </c>
      <c r="GT28" s="180">
        <v>262.91974142479728</v>
      </c>
      <c r="GU28" s="180">
        <v>251.47699042705281</v>
      </c>
      <c r="GV28" s="180">
        <v>256.0914814571488</v>
      </c>
      <c r="GW28" s="180">
        <v>212.29988385776434</v>
      </c>
      <c r="GX28" s="180">
        <v>263.89496138154647</v>
      </c>
      <c r="GY28" s="180">
        <v>263.85451969129485</v>
      </c>
      <c r="GZ28" s="100">
        <v>124</v>
      </c>
      <c r="HA28" s="100">
        <v>119</v>
      </c>
      <c r="HB28" s="99">
        <v>145</v>
      </c>
      <c r="HC28" s="99">
        <v>123</v>
      </c>
      <c r="HD28" s="99">
        <v>148</v>
      </c>
      <c r="HE28" s="99">
        <v>145</v>
      </c>
      <c r="HF28" s="100">
        <v>154</v>
      </c>
      <c r="HG28" s="99">
        <v>184</v>
      </c>
      <c r="HH28" s="99">
        <v>190</v>
      </c>
      <c r="HI28" s="99">
        <v>173</v>
      </c>
      <c r="HJ28" s="99">
        <v>197</v>
      </c>
      <c r="HK28" s="99">
        <v>194</v>
      </c>
      <c r="HL28" s="99">
        <v>198</v>
      </c>
      <c r="HM28" s="99">
        <v>97</v>
      </c>
      <c r="HN28" s="99">
        <v>246</v>
      </c>
      <c r="HO28" s="99">
        <v>250</v>
      </c>
      <c r="HP28" s="99">
        <v>389</v>
      </c>
      <c r="HQ28" s="99">
        <v>364</v>
      </c>
      <c r="HR28" s="99">
        <v>412</v>
      </c>
      <c r="HS28" s="99">
        <v>428</v>
      </c>
      <c r="HT28" s="99">
        <v>448</v>
      </c>
      <c r="HU28" s="99">
        <v>482</v>
      </c>
      <c r="HV28" s="180">
        <v>510.10001383574161</v>
      </c>
      <c r="HW28" s="180">
        <v>434.91249276595397</v>
      </c>
      <c r="HX28" s="180">
        <v>479.4487079088907</v>
      </c>
      <c r="HY28" s="180">
        <v>534.671820160729</v>
      </c>
      <c r="HZ28" s="180">
        <v>554.66265054221174</v>
      </c>
      <c r="IA28" s="181">
        <v>519.70836069680649</v>
      </c>
      <c r="IB28" s="180">
        <v>537.45902659981027</v>
      </c>
      <c r="IC28" s="180">
        <v>490.6642155792253</v>
      </c>
      <c r="ID28" s="180">
        <v>514.31584970558447</v>
      </c>
      <c r="IE28" s="180">
        <v>576.42484379763903</v>
      </c>
      <c r="IF28" s="180">
        <v>609.38948909074873</v>
      </c>
      <c r="IG28" s="181">
        <v>637.72761936343636</v>
      </c>
      <c r="IH28" s="180">
        <v>511.54408904411838</v>
      </c>
      <c r="II28" s="180">
        <v>538.59801702877769</v>
      </c>
      <c r="IJ28" s="180">
        <v>527.86474509035872</v>
      </c>
      <c r="IK28" s="180">
        <v>615.55242545629301</v>
      </c>
      <c r="IL28" s="180">
        <v>590.00762934366765</v>
      </c>
      <c r="IM28" s="180">
        <v>680.76451332448926</v>
      </c>
      <c r="IN28" s="180">
        <v>674.25950548452761</v>
      </c>
      <c r="IO28" s="100">
        <v>3942</v>
      </c>
      <c r="IP28" s="100">
        <v>3921</v>
      </c>
      <c r="IQ28" s="99">
        <v>4000</v>
      </c>
      <c r="IR28" s="99">
        <v>4054</v>
      </c>
      <c r="IS28" s="99">
        <v>4206</v>
      </c>
      <c r="IT28" s="99">
        <v>4254</v>
      </c>
      <c r="IU28" s="100">
        <v>4610</v>
      </c>
      <c r="IV28" s="99">
        <v>4769</v>
      </c>
      <c r="IW28" s="99">
        <v>4576</v>
      </c>
      <c r="IX28" s="99">
        <v>4678</v>
      </c>
      <c r="IY28" s="99">
        <v>4734</v>
      </c>
      <c r="IZ28" s="99">
        <v>5024</v>
      </c>
      <c r="JA28" s="99">
        <v>4972</v>
      </c>
      <c r="JB28" s="99">
        <v>4756</v>
      </c>
      <c r="JC28" s="99">
        <v>4843</v>
      </c>
      <c r="JD28" s="99">
        <v>4921</v>
      </c>
      <c r="JE28" s="99">
        <v>4742</v>
      </c>
      <c r="JF28" s="99">
        <v>5133.6780625756483</v>
      </c>
      <c r="JG28" s="99">
        <v>5138.7943926430526</v>
      </c>
      <c r="JH28" s="99">
        <v>5028.7081221942553</v>
      </c>
      <c r="JI28" s="99">
        <v>4880.747414198051</v>
      </c>
      <c r="JJ28" s="99">
        <v>4725.6414774024051</v>
      </c>
      <c r="JK28" s="180">
        <v>4647.6019287205372</v>
      </c>
      <c r="JL28" s="180">
        <v>4408.4267166062045</v>
      </c>
      <c r="JM28" s="180">
        <v>4283.1815792118823</v>
      </c>
      <c r="JN28" s="180">
        <v>4306.9069921212249</v>
      </c>
      <c r="JO28" s="180">
        <v>4187.80165324261</v>
      </c>
      <c r="JP28" s="181">
        <v>4137.7054341357107</v>
      </c>
      <c r="JQ28" s="180">
        <v>4000.371266485331</v>
      </c>
      <c r="JR28" s="180">
        <v>4039.7335830494267</v>
      </c>
      <c r="JS28" s="180">
        <v>4045.5728546397386</v>
      </c>
      <c r="JT28" s="180">
        <v>3933.0127427912789</v>
      </c>
      <c r="JU28" s="180">
        <v>4031.6832950656349</v>
      </c>
      <c r="JV28" s="181">
        <v>3996.7881576918267</v>
      </c>
      <c r="JW28" s="180">
        <v>4275.3580276889161</v>
      </c>
      <c r="JX28" s="180">
        <v>4119.4205401119407</v>
      </c>
      <c r="JY28" s="180">
        <v>4184.2118636334499</v>
      </c>
      <c r="JZ28" s="180">
        <v>3895.7340734987438</v>
      </c>
      <c r="KA28" s="180">
        <v>3701.4812189273348</v>
      </c>
      <c r="KB28" s="180">
        <v>4260.6200697902996</v>
      </c>
      <c r="KC28" s="180">
        <v>4208.0618588683819</v>
      </c>
    </row>
    <row r="29" spans="1:289">
      <c r="A29" s="175" t="s">
        <v>52</v>
      </c>
      <c r="B29" s="100">
        <v>31264</v>
      </c>
      <c r="C29" s="100">
        <v>31747</v>
      </c>
      <c r="D29" s="99">
        <v>31799</v>
      </c>
      <c r="E29" s="99">
        <v>30989</v>
      </c>
      <c r="F29" s="99">
        <v>30008</v>
      </c>
      <c r="G29" s="99">
        <v>34082</v>
      </c>
      <c r="H29" s="100">
        <v>36361</v>
      </c>
      <c r="I29" s="99">
        <v>35728</v>
      </c>
      <c r="J29" s="99">
        <v>38304</v>
      </c>
      <c r="K29" s="99">
        <v>46733</v>
      </c>
      <c r="L29" s="99">
        <v>47175</v>
      </c>
      <c r="M29" s="99">
        <v>49986</v>
      </c>
      <c r="N29" s="99">
        <v>45508</v>
      </c>
      <c r="O29" s="99">
        <v>59498</v>
      </c>
      <c r="P29" s="99">
        <v>54091</v>
      </c>
      <c r="Q29" s="99">
        <v>55954</v>
      </c>
      <c r="R29" s="99">
        <v>61667</v>
      </c>
      <c r="S29" s="99">
        <v>62374</v>
      </c>
      <c r="T29" s="99">
        <v>61145</v>
      </c>
      <c r="U29" s="99">
        <v>64472</v>
      </c>
      <c r="V29" s="99">
        <v>63208</v>
      </c>
      <c r="W29" s="99">
        <v>62208</v>
      </c>
      <c r="X29" s="546">
        <v>72660</v>
      </c>
      <c r="Y29" s="180">
        <v>65552.839554062753</v>
      </c>
      <c r="Z29" s="180">
        <v>64609.132892419853</v>
      </c>
      <c r="AA29" s="180">
        <v>65131.588762175015</v>
      </c>
      <c r="AB29" s="180">
        <v>65540.31674095949</v>
      </c>
      <c r="AC29" s="180">
        <v>66334.971166610339</v>
      </c>
      <c r="AD29" s="181">
        <v>66850.44528856322</v>
      </c>
      <c r="AE29" s="180">
        <v>66507.860314356585</v>
      </c>
      <c r="AF29" s="180">
        <v>67447.332731825896</v>
      </c>
      <c r="AG29" s="180">
        <v>67396.178993351437</v>
      </c>
      <c r="AH29" s="180">
        <v>68162.09769553208</v>
      </c>
      <c r="AI29" s="180">
        <v>68660.788252163489</v>
      </c>
      <c r="AJ29" s="181">
        <v>70094.059963632375</v>
      </c>
      <c r="AK29" s="180">
        <v>69438.846140560694</v>
      </c>
      <c r="AL29" s="180">
        <v>64601.82573991661</v>
      </c>
      <c r="AM29" s="180">
        <v>60545.039105304852</v>
      </c>
      <c r="AN29" s="180">
        <v>58910.228742512634</v>
      </c>
      <c r="AO29" s="180">
        <v>59691.348626042047</v>
      </c>
      <c r="AP29" s="180">
        <v>59278.187700592651</v>
      </c>
      <c r="AQ29" s="180">
        <v>60136.532332861192</v>
      </c>
      <c r="AR29" s="533">
        <f t="shared" si="78"/>
        <v>2661</v>
      </c>
      <c r="AS29" s="534">
        <f t="shared" si="79"/>
        <v>2786</v>
      </c>
      <c r="AT29" s="534">
        <f t="shared" si="80"/>
        <v>2795.7487371723296</v>
      </c>
      <c r="AU29" s="534">
        <f t="shared" si="81"/>
        <v>2713</v>
      </c>
      <c r="AV29" s="534">
        <f t="shared" si="82"/>
        <v>2494</v>
      </c>
      <c r="AW29" s="534">
        <f t="shared" si="83"/>
        <v>2974</v>
      </c>
      <c r="AX29" s="534">
        <f t="shared" si="84"/>
        <v>3213</v>
      </c>
      <c r="AY29" s="534">
        <f t="shared" si="85"/>
        <v>3210</v>
      </c>
      <c r="AZ29" s="534">
        <f t="shared" si="86"/>
        <v>3204</v>
      </c>
      <c r="BA29" s="534">
        <f t="shared" si="87"/>
        <v>4077.4898889999999</v>
      </c>
      <c r="BB29" s="534">
        <f t="shared" si="88"/>
        <v>4048</v>
      </c>
      <c r="BC29" s="534">
        <f t="shared" si="89"/>
        <v>4085</v>
      </c>
      <c r="BD29" s="534">
        <f t="shared" si="90"/>
        <v>3745</v>
      </c>
      <c r="BE29" s="534">
        <f t="shared" si="91"/>
        <v>5729</v>
      </c>
      <c r="BF29" s="534">
        <f t="shared" si="92"/>
        <v>4468</v>
      </c>
      <c r="BG29" s="534">
        <f t="shared" si="93"/>
        <v>4853</v>
      </c>
      <c r="BH29" s="534">
        <f t="shared" si="94"/>
        <v>5503</v>
      </c>
      <c r="BI29" s="534">
        <f t="shared" si="95"/>
        <v>5353</v>
      </c>
      <c r="BJ29" s="534">
        <f t="shared" si="96"/>
        <v>5249</v>
      </c>
      <c r="BK29" s="534">
        <f t="shared" si="97"/>
        <v>5482.4339864205958</v>
      </c>
      <c r="BL29" s="534">
        <f t="shared" si="98"/>
        <v>5384.1849093552992</v>
      </c>
      <c r="BM29" s="534">
        <f t="shared" si="99"/>
        <v>5262.0194483878513</v>
      </c>
      <c r="BN29" s="186">
        <f t="shared" si="100"/>
        <v>5314.536854421498</v>
      </c>
      <c r="BO29" s="186">
        <f t="shared" si="101"/>
        <v>5090.2002965149804</v>
      </c>
      <c r="BP29" s="186">
        <f t="shared" si="102"/>
        <v>5221.9732207651787</v>
      </c>
      <c r="BQ29" s="186">
        <f t="shared" si="103"/>
        <v>5300.6331403164986</v>
      </c>
      <c r="BR29" s="186">
        <f t="shared" si="104"/>
        <v>5240.9949557993423</v>
      </c>
      <c r="BS29" s="186">
        <f t="shared" si="105"/>
        <v>5241.8692983678011</v>
      </c>
      <c r="BT29" s="186">
        <f t="shared" si="106"/>
        <v>5183.4317918479683</v>
      </c>
      <c r="BU29" s="186">
        <f t="shared" si="107"/>
        <v>5273.2128854815546</v>
      </c>
      <c r="BV29" s="186">
        <f t="shared" si="108"/>
        <v>5379.2732835138058</v>
      </c>
      <c r="BW29" s="186">
        <f t="shared" si="109"/>
        <v>5338.7983611432974</v>
      </c>
      <c r="BX29" s="186">
        <f t="shared" si="110"/>
        <v>5192.9072198499643</v>
      </c>
      <c r="BY29" s="186">
        <f t="shared" si="111"/>
        <v>5268.4386323685285</v>
      </c>
      <c r="BZ29" s="186">
        <f t="shared" si="112"/>
        <v>5687.9688862694511</v>
      </c>
      <c r="CA29" s="186">
        <f t="shared" si="113"/>
        <v>5478.3755844938851</v>
      </c>
      <c r="CB29" s="186">
        <f t="shared" si="114"/>
        <v>5252.830011685066</v>
      </c>
      <c r="CC29" s="186">
        <f t="shared" si="115"/>
        <v>5289.1543774473776</v>
      </c>
      <c r="CD29" s="186">
        <f t="shared" si="116"/>
        <v>5481.8075904260513</v>
      </c>
      <c r="CE29" s="186">
        <f t="shared" si="117"/>
        <v>5361.2639973376699</v>
      </c>
      <c r="CF29" s="186">
        <f t="shared" si="118"/>
        <v>5080.9235304065896</v>
      </c>
      <c r="CG29" s="100">
        <v>1987</v>
      </c>
      <c r="CH29" s="100">
        <v>2061</v>
      </c>
      <c r="CI29" s="99">
        <v>2047.5668102302334</v>
      </c>
      <c r="CJ29" s="99">
        <v>1944</v>
      </c>
      <c r="CK29" s="99">
        <v>1734</v>
      </c>
      <c r="CL29" s="99">
        <v>2139</v>
      </c>
      <c r="CM29" s="100">
        <v>2336</v>
      </c>
      <c r="CN29" s="99">
        <v>2346</v>
      </c>
      <c r="CO29" s="99">
        <v>2293</v>
      </c>
      <c r="CP29" s="99">
        <v>2868.1209269999999</v>
      </c>
      <c r="CQ29" s="99">
        <v>2762</v>
      </c>
      <c r="CR29" s="99">
        <v>2693</v>
      </c>
      <c r="CS29" s="99">
        <v>2571</v>
      </c>
      <c r="CT29" s="99">
        <v>4139</v>
      </c>
      <c r="CU29" s="99">
        <v>2779</v>
      </c>
      <c r="CV29" s="99">
        <v>3154</v>
      </c>
      <c r="CW29" s="99">
        <v>3625</v>
      </c>
      <c r="CX29" s="99">
        <v>3346</v>
      </c>
      <c r="CY29" s="99">
        <v>3370</v>
      </c>
      <c r="CZ29" s="99">
        <v>3344.8180564611457</v>
      </c>
      <c r="DA29" s="99">
        <v>3231.0586041151628</v>
      </c>
      <c r="DB29" s="99">
        <v>2902.7296231147502</v>
      </c>
      <c r="DC29" s="180">
        <v>2954.5772676788688</v>
      </c>
      <c r="DD29" s="180">
        <v>2851.2295005206738</v>
      </c>
      <c r="DE29" s="180">
        <v>2946.1486329986205</v>
      </c>
      <c r="DF29" s="180">
        <v>2962.583317215996</v>
      </c>
      <c r="DG29" s="180">
        <v>2798.4296981412817</v>
      </c>
      <c r="DH29" s="181">
        <v>2689.1650438390534</v>
      </c>
      <c r="DI29" s="180">
        <v>2744.6940478858987</v>
      </c>
      <c r="DJ29" s="180">
        <v>2707.3382695221849</v>
      </c>
      <c r="DK29" s="180">
        <v>2747.9449680120297</v>
      </c>
      <c r="DL29" s="180">
        <v>2751.2333390720732</v>
      </c>
      <c r="DM29" s="180">
        <v>2655.5266531629759</v>
      </c>
      <c r="DN29" s="181">
        <v>2661.9520065241741</v>
      </c>
      <c r="DO29" s="180">
        <v>2755.2962595776244</v>
      </c>
      <c r="DP29" s="180">
        <v>2645.6933742572546</v>
      </c>
      <c r="DQ29" s="180">
        <v>2497.2533933537857</v>
      </c>
      <c r="DR29" s="180">
        <v>2433.3416538814149</v>
      </c>
      <c r="DS29" s="180">
        <v>2425.850975646455</v>
      </c>
      <c r="DT29" s="180">
        <v>2375.7019396464889</v>
      </c>
      <c r="DU29" s="180">
        <v>2154.9089818809603</v>
      </c>
      <c r="DV29" s="100">
        <v>674</v>
      </c>
      <c r="DW29" s="100">
        <v>725</v>
      </c>
      <c r="DX29" s="99">
        <v>748.18192694209608</v>
      </c>
      <c r="DY29" s="99">
        <v>769</v>
      </c>
      <c r="DZ29" s="99">
        <v>760</v>
      </c>
      <c r="EA29" s="99">
        <v>835</v>
      </c>
      <c r="EB29" s="100">
        <v>877</v>
      </c>
      <c r="EC29" s="99">
        <v>864</v>
      </c>
      <c r="ED29" s="99">
        <v>911</v>
      </c>
      <c r="EE29" s="99">
        <v>1209.368962</v>
      </c>
      <c r="EF29" s="99">
        <v>1286</v>
      </c>
      <c r="EG29" s="99">
        <v>1392</v>
      </c>
      <c r="EH29" s="99">
        <v>1174</v>
      </c>
      <c r="EI29" s="99">
        <v>1590</v>
      </c>
      <c r="EJ29" s="99">
        <v>1689</v>
      </c>
      <c r="EK29" s="99">
        <v>1699</v>
      </c>
      <c r="EL29" s="99">
        <v>1878</v>
      </c>
      <c r="EM29" s="99">
        <v>2007</v>
      </c>
      <c r="EN29" s="99">
        <v>1879</v>
      </c>
      <c r="EO29" s="99">
        <v>2137.6159299594506</v>
      </c>
      <c r="EP29" s="99">
        <v>2153.1263052401368</v>
      </c>
      <c r="EQ29" s="99">
        <v>2359.2898252731015</v>
      </c>
      <c r="ER29" s="180">
        <v>2359.9595867426287</v>
      </c>
      <c r="ES29" s="180">
        <v>2238.9707959943062</v>
      </c>
      <c r="ET29" s="180">
        <v>2275.8245877665581</v>
      </c>
      <c r="EU29" s="180">
        <v>2338.0498231005031</v>
      </c>
      <c r="EV29" s="180">
        <v>2442.5652576580601</v>
      </c>
      <c r="EW29" s="181">
        <v>2552.7042545287482</v>
      </c>
      <c r="EX29" s="180">
        <v>2438.7377439620695</v>
      </c>
      <c r="EY29" s="180">
        <v>2565.8746159593702</v>
      </c>
      <c r="EZ29" s="180">
        <v>2631.3283155017762</v>
      </c>
      <c r="FA29" s="180">
        <v>2587.5650220712237</v>
      </c>
      <c r="FB29" s="180">
        <v>2537.3805666869885</v>
      </c>
      <c r="FC29" s="181">
        <v>2606.4866258443544</v>
      </c>
      <c r="FD29" s="180">
        <v>2932.6726266918267</v>
      </c>
      <c r="FE29" s="180">
        <v>2832.6822102366305</v>
      </c>
      <c r="FF29" s="180">
        <v>2755.5766183312799</v>
      </c>
      <c r="FG29" s="180">
        <v>2855.8127235659626</v>
      </c>
      <c r="FH29" s="180">
        <v>3055.9566147795958</v>
      </c>
      <c r="FI29" s="180">
        <v>2985.5620576911811</v>
      </c>
      <c r="FJ29" s="180">
        <v>2926.0145485256289</v>
      </c>
      <c r="FK29" s="100">
        <v>1125</v>
      </c>
      <c r="FL29" s="100">
        <v>1125</v>
      </c>
      <c r="FM29" s="99">
        <v>1244.4336683149891</v>
      </c>
      <c r="FN29" s="99">
        <v>1135</v>
      </c>
      <c r="FO29" s="99">
        <v>1046</v>
      </c>
      <c r="FP29" s="99">
        <v>1255</v>
      </c>
      <c r="FQ29" s="100">
        <v>1435</v>
      </c>
      <c r="FR29" s="99">
        <v>1473</v>
      </c>
      <c r="FS29" s="99">
        <v>1629</v>
      </c>
      <c r="FT29" s="99">
        <v>2038.2729039999999</v>
      </c>
      <c r="FU29" s="99">
        <v>2008</v>
      </c>
      <c r="FV29" s="99">
        <v>2240</v>
      </c>
      <c r="FW29" s="99">
        <v>2204</v>
      </c>
      <c r="FX29" s="99">
        <v>2790</v>
      </c>
      <c r="FY29" s="99">
        <v>2703</v>
      </c>
      <c r="FZ29" s="99">
        <v>2930</v>
      </c>
      <c r="GA29" s="99">
        <v>3398</v>
      </c>
      <c r="GB29" s="99">
        <v>3519</v>
      </c>
      <c r="GC29" s="99">
        <v>3622</v>
      </c>
      <c r="GD29" s="99">
        <v>3777.038583900327</v>
      </c>
      <c r="GE29" s="99">
        <v>3557.6321879378374</v>
      </c>
      <c r="GF29" s="99">
        <v>3406.5386957506207</v>
      </c>
      <c r="GG29" s="180">
        <v>3678.5644869056418</v>
      </c>
      <c r="GH29" s="180">
        <v>3537.9729113181957</v>
      </c>
      <c r="GI29" s="180">
        <v>3641.1186574178082</v>
      </c>
      <c r="GJ29" s="180">
        <v>3420.0539913489483</v>
      </c>
      <c r="GK29" s="180">
        <v>3507.6579750204401</v>
      </c>
      <c r="GL29" s="181">
        <v>3388.9652357543227</v>
      </c>
      <c r="GM29" s="180">
        <v>3424.7184636697216</v>
      </c>
      <c r="GN29" s="180">
        <v>3338.1500279353741</v>
      </c>
      <c r="GO29" s="180">
        <v>3348.9550805170575</v>
      </c>
      <c r="GP29" s="180">
        <v>3257.9768864359294</v>
      </c>
      <c r="GQ29" s="180">
        <v>3199.142850330833</v>
      </c>
      <c r="GR29" s="181">
        <v>3189.3830525258109</v>
      </c>
      <c r="GS29" s="180">
        <v>3860.1176971202658</v>
      </c>
      <c r="GT29" s="180">
        <v>3925.5278688154726</v>
      </c>
      <c r="GU29" s="180">
        <v>3748.2563232245088</v>
      </c>
      <c r="GV29" s="180">
        <v>3661.7553755616568</v>
      </c>
      <c r="GW29" s="180">
        <v>3989.1654548846091</v>
      </c>
      <c r="GX29" s="180">
        <v>4045.4131888556876</v>
      </c>
      <c r="GY29" s="180">
        <v>4258.0876971739581</v>
      </c>
      <c r="GZ29" s="100">
        <v>6524</v>
      </c>
      <c r="HA29" s="100">
        <v>7035</v>
      </c>
      <c r="HB29" s="99">
        <v>7525.7802413994787</v>
      </c>
      <c r="HC29" s="99">
        <v>7047</v>
      </c>
      <c r="HD29" s="99">
        <v>6852</v>
      </c>
      <c r="HE29" s="99">
        <v>7873</v>
      </c>
      <c r="HF29" s="100">
        <v>9265</v>
      </c>
      <c r="HG29" s="99">
        <v>8920</v>
      </c>
      <c r="HH29" s="99">
        <v>10121</v>
      </c>
      <c r="HI29" s="99">
        <v>12467.54607</v>
      </c>
      <c r="HJ29" s="99">
        <v>12479</v>
      </c>
      <c r="HK29" s="99">
        <v>13622</v>
      </c>
      <c r="HL29" s="99">
        <v>13874</v>
      </c>
      <c r="HM29" s="99">
        <v>17616</v>
      </c>
      <c r="HN29" s="99">
        <v>16369</v>
      </c>
      <c r="HO29" s="99">
        <v>17593</v>
      </c>
      <c r="HP29" s="99">
        <v>20276</v>
      </c>
      <c r="HQ29" s="99">
        <v>21607</v>
      </c>
      <c r="HR29" s="99">
        <v>22452</v>
      </c>
      <c r="HS29" s="99">
        <v>23741</v>
      </c>
      <c r="HT29" s="99">
        <v>23517</v>
      </c>
      <c r="HU29" s="99">
        <v>23542</v>
      </c>
      <c r="HV29" s="180">
        <v>25537.241412456104</v>
      </c>
      <c r="HW29" s="180">
        <v>26088.794208546682</v>
      </c>
      <c r="HX29" s="180">
        <v>26490.238733725968</v>
      </c>
      <c r="HY29" s="180">
        <v>26832.132509530842</v>
      </c>
      <c r="HZ29" s="180">
        <v>27509.199121271438</v>
      </c>
      <c r="IA29" s="181">
        <v>28306.331212524699</v>
      </c>
      <c r="IB29" s="180">
        <v>28313.041219232509</v>
      </c>
      <c r="IC29" s="180">
        <v>28773.040019746426</v>
      </c>
      <c r="ID29" s="180">
        <v>29085.217132853417</v>
      </c>
      <c r="IE29" s="180">
        <v>29850.303854914444</v>
      </c>
      <c r="IF29" s="180">
        <v>30532.904781383691</v>
      </c>
      <c r="IG29" s="181">
        <v>31835.686300522448</v>
      </c>
      <c r="IH29" s="180">
        <v>30053.588186025732</v>
      </c>
      <c r="II29" s="180">
        <v>27060.148834358632</v>
      </c>
      <c r="IJ29" s="180">
        <v>24160.651594003219</v>
      </c>
      <c r="IK29" s="180">
        <v>22834.831391035732</v>
      </c>
      <c r="IL29" s="180">
        <v>23347.863035245402</v>
      </c>
      <c r="IM29" s="180">
        <v>23360.051140533</v>
      </c>
      <c r="IN29" s="180">
        <v>24136.843449341282</v>
      </c>
      <c r="IO29" s="100">
        <v>20954</v>
      </c>
      <c r="IP29" s="100">
        <v>20801</v>
      </c>
      <c r="IQ29" s="99">
        <v>20233.037353113203</v>
      </c>
      <c r="IR29" s="99">
        <v>20094</v>
      </c>
      <c r="IS29" s="99">
        <v>19616</v>
      </c>
      <c r="IT29" s="99">
        <v>21980</v>
      </c>
      <c r="IU29" s="100">
        <v>22448</v>
      </c>
      <c r="IV29" s="99">
        <v>22125</v>
      </c>
      <c r="IW29" s="99">
        <v>23350</v>
      </c>
      <c r="IX29" s="99">
        <v>28149.691139999999</v>
      </c>
      <c r="IY29" s="99">
        <v>28640</v>
      </c>
      <c r="IZ29" s="99">
        <v>30039</v>
      </c>
      <c r="JA29" s="99">
        <v>25685</v>
      </c>
      <c r="JB29" s="99">
        <v>33363</v>
      </c>
      <c r="JC29" s="99">
        <v>30551</v>
      </c>
      <c r="JD29" s="99">
        <v>30578</v>
      </c>
      <c r="JE29" s="99">
        <v>32490</v>
      </c>
      <c r="JF29" s="99">
        <v>31895</v>
      </c>
      <c r="JG29" s="99">
        <v>29448</v>
      </c>
      <c r="JH29" s="99">
        <v>31471.527429679078</v>
      </c>
      <c r="JI29" s="99">
        <v>30749.182902706863</v>
      </c>
      <c r="JJ29" s="99">
        <v>29997.441855861529</v>
      </c>
      <c r="JK29" s="180">
        <v>30816.86659404188</v>
      </c>
      <c r="JL29" s="180">
        <v>29670.573062207699</v>
      </c>
      <c r="JM29" s="180">
        <v>29533.819835454542</v>
      </c>
      <c r="JN29" s="180">
        <v>29723.731248707001</v>
      </c>
      <c r="JO29" s="180">
        <v>29828.599587638961</v>
      </c>
      <c r="JP29" s="181">
        <v>29667.040507735579</v>
      </c>
      <c r="JQ29" s="180">
        <v>29298.03187722401</v>
      </c>
      <c r="JR29" s="180">
        <v>29808.069692566991</v>
      </c>
      <c r="JS29" s="180">
        <v>29293.196316469835</v>
      </c>
      <c r="JT29" s="180">
        <v>29409.85299735509</v>
      </c>
      <c r="JU29" s="180">
        <v>29435.096768108469</v>
      </c>
      <c r="JV29" s="181">
        <v>29491.909045248372</v>
      </c>
      <c r="JW29" s="180">
        <v>29792.907117940813</v>
      </c>
      <c r="JX29" s="180">
        <v>28162.185507593462</v>
      </c>
      <c r="JY29" s="180">
        <v>27418.844758298263</v>
      </c>
      <c r="JZ29" s="180">
        <v>26972.408190897324</v>
      </c>
      <c r="KA29" s="180">
        <v>26956.064826595299</v>
      </c>
      <c r="KB29" s="180">
        <v>26691.498416206308</v>
      </c>
      <c r="KC29" s="180">
        <v>26848.070992414217</v>
      </c>
    </row>
    <row r="30" spans="1:289">
      <c r="A30" s="175" t="s">
        <v>53</v>
      </c>
      <c r="B30" s="100">
        <v>244594</v>
      </c>
      <c r="C30" s="100">
        <v>249320</v>
      </c>
      <c r="D30" s="99">
        <v>253083</v>
      </c>
      <c r="E30" s="99">
        <v>255200</v>
      </c>
      <c r="F30" s="99">
        <v>259071</v>
      </c>
      <c r="G30" s="99">
        <v>269071</v>
      </c>
      <c r="H30" s="100">
        <v>282536</v>
      </c>
      <c r="I30" s="99">
        <v>298428</v>
      </c>
      <c r="J30" s="99">
        <v>308905</v>
      </c>
      <c r="K30" s="99">
        <v>315189</v>
      </c>
      <c r="L30" s="99">
        <v>325895</v>
      </c>
      <c r="M30" s="99">
        <v>341097</v>
      </c>
      <c r="N30" s="99">
        <v>343480</v>
      </c>
      <c r="O30" s="99">
        <v>355217</v>
      </c>
      <c r="P30" s="99">
        <v>343515</v>
      </c>
      <c r="Q30" s="99">
        <v>356641</v>
      </c>
      <c r="R30" s="99">
        <v>374561</v>
      </c>
      <c r="S30" s="99">
        <v>372310</v>
      </c>
      <c r="T30" s="99">
        <v>404987</v>
      </c>
      <c r="U30" s="99">
        <v>410467</v>
      </c>
      <c r="V30" s="99">
        <v>418664</v>
      </c>
      <c r="W30" s="99">
        <v>422125</v>
      </c>
      <c r="X30" s="546">
        <v>432560</v>
      </c>
      <c r="Y30" s="180">
        <v>416783.90218595311</v>
      </c>
      <c r="Z30" s="180">
        <v>407838.75651597412</v>
      </c>
      <c r="AA30" s="180">
        <v>403486.86129218515</v>
      </c>
      <c r="AB30" s="180">
        <v>396115.48997935199</v>
      </c>
      <c r="AC30" s="180">
        <v>406350.7593488433</v>
      </c>
      <c r="AD30" s="181">
        <v>403137.54781946313</v>
      </c>
      <c r="AE30" s="180">
        <v>400906.11312871915</v>
      </c>
      <c r="AF30" s="180">
        <v>408053.84517068334</v>
      </c>
      <c r="AG30" s="180">
        <v>408551.5462916703</v>
      </c>
      <c r="AH30" s="180">
        <v>412632.43962340464</v>
      </c>
      <c r="AI30" s="180">
        <v>421903.11653396691</v>
      </c>
      <c r="AJ30" s="181">
        <v>403905.57915363589</v>
      </c>
      <c r="AK30" s="180">
        <v>406223.16663107631</v>
      </c>
      <c r="AL30" s="180">
        <v>389614.05388837628</v>
      </c>
      <c r="AM30" s="180">
        <v>376759.43598917406</v>
      </c>
      <c r="AN30" s="180">
        <v>369655.08234315034</v>
      </c>
      <c r="AO30" s="180">
        <v>369523.10063017538</v>
      </c>
      <c r="AP30" s="180">
        <v>364071.31983415055</v>
      </c>
      <c r="AQ30" s="180">
        <v>370367.84278244321</v>
      </c>
      <c r="AR30" s="533">
        <f t="shared" si="78"/>
        <v>37033</v>
      </c>
      <c r="AS30" s="534">
        <f t="shared" si="79"/>
        <v>38782</v>
      </c>
      <c r="AT30" s="534">
        <f t="shared" si="80"/>
        <v>40498</v>
      </c>
      <c r="AU30" s="534">
        <f t="shared" si="81"/>
        <v>39291</v>
      </c>
      <c r="AV30" s="534">
        <f t="shared" si="82"/>
        <v>39724</v>
      </c>
      <c r="AW30" s="534">
        <f t="shared" si="83"/>
        <v>41818</v>
      </c>
      <c r="AX30" s="534">
        <f t="shared" si="84"/>
        <v>45224</v>
      </c>
      <c r="AY30" s="534">
        <f t="shared" si="85"/>
        <v>46696</v>
      </c>
      <c r="AZ30" s="534">
        <f t="shared" si="86"/>
        <v>48154</v>
      </c>
      <c r="BA30" s="534">
        <f t="shared" si="87"/>
        <v>49692</v>
      </c>
      <c r="BB30" s="534">
        <f t="shared" si="88"/>
        <v>51242</v>
      </c>
      <c r="BC30" s="534">
        <f t="shared" si="89"/>
        <v>51848</v>
      </c>
      <c r="BD30" s="534">
        <f t="shared" si="90"/>
        <v>51810</v>
      </c>
      <c r="BE30" s="534">
        <f t="shared" si="91"/>
        <v>53174</v>
      </c>
      <c r="BF30" s="534">
        <f t="shared" si="92"/>
        <v>55167</v>
      </c>
      <c r="BG30" s="534">
        <f t="shared" si="93"/>
        <v>55118</v>
      </c>
      <c r="BH30" s="534">
        <f t="shared" si="94"/>
        <v>57090</v>
      </c>
      <c r="BI30" s="534">
        <f t="shared" si="95"/>
        <v>62175.769155974383</v>
      </c>
      <c r="BJ30" s="534">
        <f t="shared" si="96"/>
        <v>62329.956334507355</v>
      </c>
      <c r="BK30" s="534">
        <f t="shared" si="97"/>
        <v>61941.400850604856</v>
      </c>
      <c r="BL30" s="534">
        <f t="shared" si="98"/>
        <v>62647.06670783813</v>
      </c>
      <c r="BM30" s="534">
        <f t="shared" si="99"/>
        <v>63427.609402834969</v>
      </c>
      <c r="BN30" s="186">
        <f t="shared" si="100"/>
        <v>61819.644746820981</v>
      </c>
      <c r="BO30" s="186">
        <f t="shared" si="101"/>
        <v>60132.886477187989</v>
      </c>
      <c r="BP30" s="186">
        <f t="shared" si="102"/>
        <v>58062.776421677532</v>
      </c>
      <c r="BQ30" s="186">
        <f t="shared" si="103"/>
        <v>57507.205581940798</v>
      </c>
      <c r="BR30" s="186">
        <f t="shared" si="104"/>
        <v>60365.629253581668</v>
      </c>
      <c r="BS30" s="186">
        <f t="shared" si="105"/>
        <v>58409.274487435025</v>
      </c>
      <c r="BT30" s="186">
        <f t="shared" si="106"/>
        <v>57773.271808266392</v>
      </c>
      <c r="BU30" s="186">
        <f t="shared" si="107"/>
        <v>59282.29418460442</v>
      </c>
      <c r="BV30" s="186">
        <f t="shared" si="108"/>
        <v>58877.666546117514</v>
      </c>
      <c r="BW30" s="186">
        <f t="shared" si="109"/>
        <v>57451.54415725109</v>
      </c>
      <c r="BX30" s="186">
        <f t="shared" si="110"/>
        <v>57411.425631330778</v>
      </c>
      <c r="BY30" s="186">
        <f t="shared" si="111"/>
        <v>54333.453151713962</v>
      </c>
      <c r="BZ30" s="186">
        <f t="shared" si="112"/>
        <v>58551.828859413763</v>
      </c>
      <c r="CA30" s="186">
        <f t="shared" si="113"/>
        <v>57612.658487372617</v>
      </c>
      <c r="CB30" s="186">
        <f t="shared" si="114"/>
        <v>55082.840048849197</v>
      </c>
      <c r="CC30" s="186">
        <f t="shared" si="115"/>
        <v>53489.495020560847</v>
      </c>
      <c r="CD30" s="186">
        <f t="shared" si="116"/>
        <v>58330.795544923814</v>
      </c>
      <c r="CE30" s="186">
        <f t="shared" si="117"/>
        <v>58545.433103783886</v>
      </c>
      <c r="CF30" s="186">
        <f t="shared" si="118"/>
        <v>63901.793182336383</v>
      </c>
      <c r="CG30" s="100">
        <v>2112</v>
      </c>
      <c r="CH30" s="100">
        <v>2138</v>
      </c>
      <c r="CI30" s="99">
        <v>2119</v>
      </c>
      <c r="CJ30" s="99">
        <v>2262</v>
      </c>
      <c r="CK30" s="99">
        <v>2290</v>
      </c>
      <c r="CL30" s="99">
        <v>2364</v>
      </c>
      <c r="CM30" s="100">
        <v>2513</v>
      </c>
      <c r="CN30" s="99">
        <v>2665</v>
      </c>
      <c r="CO30" s="99">
        <v>2655</v>
      </c>
      <c r="CP30" s="99">
        <v>2734</v>
      </c>
      <c r="CQ30" s="99">
        <v>3036</v>
      </c>
      <c r="CR30" s="99">
        <v>3120</v>
      </c>
      <c r="CS30" s="99">
        <v>3040</v>
      </c>
      <c r="CT30" s="99">
        <v>2950</v>
      </c>
      <c r="CU30" s="99">
        <v>2833</v>
      </c>
      <c r="CV30" s="99">
        <v>2866</v>
      </c>
      <c r="CW30" s="99">
        <v>3071</v>
      </c>
      <c r="CX30" s="99">
        <v>2979.9122405995658</v>
      </c>
      <c r="CY30" s="99">
        <v>3319.5903026717315</v>
      </c>
      <c r="CZ30" s="99">
        <v>3048.9693900531192</v>
      </c>
      <c r="DA30" s="99">
        <v>3249.8503642071646</v>
      </c>
      <c r="DB30" s="99">
        <v>3136.5912187780991</v>
      </c>
      <c r="DC30" s="180">
        <v>2980.6013103972377</v>
      </c>
      <c r="DD30" s="180">
        <v>2808.8992154456755</v>
      </c>
      <c r="DE30" s="180">
        <v>2716.912214722005</v>
      </c>
      <c r="DF30" s="180">
        <v>2490.4824903869885</v>
      </c>
      <c r="DG30" s="180">
        <v>2471.7576552385963</v>
      </c>
      <c r="DH30" s="181">
        <v>2271.8523223427028</v>
      </c>
      <c r="DI30" s="180">
        <v>2268.083325689116</v>
      </c>
      <c r="DJ30" s="180">
        <v>2155.7276888180018</v>
      </c>
      <c r="DK30" s="180">
        <v>2112.6697851612071</v>
      </c>
      <c r="DL30" s="180">
        <v>1998.794377524277</v>
      </c>
      <c r="DM30" s="180">
        <v>1993.1356193490922</v>
      </c>
      <c r="DN30" s="181">
        <v>1901.9571044048937</v>
      </c>
      <c r="DO30" s="180">
        <v>2124.1149675729566</v>
      </c>
      <c r="DP30" s="180">
        <v>2021.0990178756822</v>
      </c>
      <c r="DQ30" s="180">
        <v>1972.7900655344606</v>
      </c>
      <c r="DR30" s="180">
        <v>1820.373790664974</v>
      </c>
      <c r="DS30" s="180">
        <v>1831.6479906775364</v>
      </c>
      <c r="DT30" s="180">
        <v>1880.2006985898529</v>
      </c>
      <c r="DU30" s="180">
        <v>1820.3908648918252</v>
      </c>
      <c r="DV30" s="100">
        <v>34921</v>
      </c>
      <c r="DW30" s="100">
        <v>36644</v>
      </c>
      <c r="DX30" s="99">
        <v>38379</v>
      </c>
      <c r="DY30" s="99">
        <v>37029</v>
      </c>
      <c r="DZ30" s="99">
        <v>37434</v>
      </c>
      <c r="EA30" s="99">
        <v>39454</v>
      </c>
      <c r="EB30" s="100">
        <v>42711</v>
      </c>
      <c r="EC30" s="99">
        <v>44031</v>
      </c>
      <c r="ED30" s="99">
        <v>45499</v>
      </c>
      <c r="EE30" s="99">
        <v>46958</v>
      </c>
      <c r="EF30" s="99">
        <v>48206</v>
      </c>
      <c r="EG30" s="99">
        <v>48728</v>
      </c>
      <c r="EH30" s="99">
        <v>48770</v>
      </c>
      <c r="EI30" s="99">
        <v>50224</v>
      </c>
      <c r="EJ30" s="99">
        <v>52334</v>
      </c>
      <c r="EK30" s="99">
        <v>52252</v>
      </c>
      <c r="EL30" s="99">
        <v>54019</v>
      </c>
      <c r="EM30" s="99">
        <v>59195.856915374818</v>
      </c>
      <c r="EN30" s="99">
        <v>59010.366031835627</v>
      </c>
      <c r="EO30" s="99">
        <v>58892.431460551736</v>
      </c>
      <c r="EP30" s="99">
        <v>59397.216343630964</v>
      </c>
      <c r="EQ30" s="99">
        <v>60291.018184056869</v>
      </c>
      <c r="ER30" s="180">
        <v>58839.043436423744</v>
      </c>
      <c r="ES30" s="180">
        <v>57323.98726174231</v>
      </c>
      <c r="ET30" s="180">
        <v>55345.864206955528</v>
      </c>
      <c r="EU30" s="180">
        <v>55016.723091553809</v>
      </c>
      <c r="EV30" s="180">
        <v>57893.871598343074</v>
      </c>
      <c r="EW30" s="181">
        <v>56137.422165092321</v>
      </c>
      <c r="EX30" s="180">
        <v>55505.18848257728</v>
      </c>
      <c r="EY30" s="180">
        <v>57126.566495786421</v>
      </c>
      <c r="EZ30" s="180">
        <v>56764.99676095631</v>
      </c>
      <c r="FA30" s="180">
        <v>55452.749779726815</v>
      </c>
      <c r="FB30" s="180">
        <v>55418.290011981684</v>
      </c>
      <c r="FC30" s="181">
        <v>52431.496047309069</v>
      </c>
      <c r="FD30" s="180">
        <v>56427.713891840809</v>
      </c>
      <c r="FE30" s="180">
        <v>55591.559469496933</v>
      </c>
      <c r="FF30" s="180">
        <v>53110.049983314733</v>
      </c>
      <c r="FG30" s="180">
        <v>51669.121229895871</v>
      </c>
      <c r="FH30" s="180">
        <v>56499.147554246279</v>
      </c>
      <c r="FI30" s="180">
        <v>56665.23240519403</v>
      </c>
      <c r="FJ30" s="180">
        <v>62081.402317444561</v>
      </c>
      <c r="FK30" s="100">
        <v>17656</v>
      </c>
      <c r="FL30" s="100">
        <v>18219</v>
      </c>
      <c r="FM30" s="99">
        <v>18979</v>
      </c>
      <c r="FN30" s="99">
        <v>18864</v>
      </c>
      <c r="FO30" s="99">
        <v>19436</v>
      </c>
      <c r="FP30" s="99">
        <v>20742</v>
      </c>
      <c r="FQ30" s="100">
        <v>21165</v>
      </c>
      <c r="FR30" s="99">
        <v>22065</v>
      </c>
      <c r="FS30" s="99">
        <v>22536</v>
      </c>
      <c r="FT30" s="99">
        <v>22474</v>
      </c>
      <c r="FU30" s="99">
        <v>23451</v>
      </c>
      <c r="FV30" s="99">
        <v>24855</v>
      </c>
      <c r="FW30" s="99">
        <v>25267</v>
      </c>
      <c r="FX30" s="99">
        <v>26800</v>
      </c>
      <c r="FY30" s="99">
        <v>25355</v>
      </c>
      <c r="FZ30" s="99">
        <v>25737</v>
      </c>
      <c r="GA30" s="99">
        <v>25911</v>
      </c>
      <c r="GB30" s="99">
        <v>26205.196516481348</v>
      </c>
      <c r="GC30" s="99">
        <v>28890.51565191129</v>
      </c>
      <c r="GD30" s="99">
        <v>28632.668015775667</v>
      </c>
      <c r="GE30" s="99">
        <v>29230.131146875814</v>
      </c>
      <c r="GF30" s="99">
        <v>28335.466670496131</v>
      </c>
      <c r="GG30" s="180">
        <v>26963.076434787235</v>
      </c>
      <c r="GH30" s="180">
        <v>25727.047807114806</v>
      </c>
      <c r="GI30" s="180">
        <v>25018.472913791258</v>
      </c>
      <c r="GJ30" s="180">
        <v>23893.879105020995</v>
      </c>
      <c r="GK30" s="180">
        <v>23539.275751949866</v>
      </c>
      <c r="GL30" s="181">
        <v>23042.160692872381</v>
      </c>
      <c r="GM30" s="180">
        <v>22000.939711611671</v>
      </c>
      <c r="GN30" s="180">
        <v>21719.137696454633</v>
      </c>
      <c r="GO30" s="180">
        <v>21056.759118440285</v>
      </c>
      <c r="GP30" s="180">
        <v>20741.502341072606</v>
      </c>
      <c r="GQ30" s="180">
        <v>20971.157966805542</v>
      </c>
      <c r="GR30" s="181">
        <v>19911.659325924222</v>
      </c>
      <c r="GS30" s="180">
        <v>21274.272628150331</v>
      </c>
      <c r="GT30" s="180">
        <v>20715.300790474499</v>
      </c>
      <c r="GU30" s="180">
        <v>20066.305781484258</v>
      </c>
      <c r="GV30" s="180">
        <v>19180.609166195307</v>
      </c>
      <c r="GW30" s="180">
        <v>18858.206105310372</v>
      </c>
      <c r="GX30" s="180">
        <v>18646.214994139526</v>
      </c>
      <c r="GY30" s="180">
        <v>18255.200202919415</v>
      </c>
      <c r="GZ30" s="100">
        <v>66199</v>
      </c>
      <c r="HA30" s="100">
        <v>71466</v>
      </c>
      <c r="HB30" s="99">
        <v>75026</v>
      </c>
      <c r="HC30" s="99">
        <v>76557</v>
      </c>
      <c r="HD30" s="99">
        <v>78619</v>
      </c>
      <c r="HE30" s="99">
        <v>82015</v>
      </c>
      <c r="HF30" s="100">
        <v>87742</v>
      </c>
      <c r="HG30" s="99">
        <v>95438</v>
      </c>
      <c r="HH30" s="99">
        <v>100637</v>
      </c>
      <c r="HI30" s="99">
        <v>103795</v>
      </c>
      <c r="HJ30" s="99">
        <v>109038</v>
      </c>
      <c r="HK30" s="99">
        <v>116724</v>
      </c>
      <c r="HL30" s="99">
        <v>121418</v>
      </c>
      <c r="HM30" s="99">
        <v>129671</v>
      </c>
      <c r="HN30" s="99">
        <v>124409</v>
      </c>
      <c r="HO30" s="99">
        <v>128462</v>
      </c>
      <c r="HP30" s="99">
        <v>142491</v>
      </c>
      <c r="HQ30" s="99">
        <v>147717</v>
      </c>
      <c r="HR30" s="99">
        <v>174088</v>
      </c>
      <c r="HS30" s="99">
        <v>184131</v>
      </c>
      <c r="HT30" s="99">
        <v>193516</v>
      </c>
      <c r="HU30" s="99">
        <v>198993</v>
      </c>
      <c r="HV30" s="180">
        <v>199242.01227559458</v>
      </c>
      <c r="HW30" s="180">
        <v>198524.23027953896</v>
      </c>
      <c r="HX30" s="180">
        <v>199026.70144964737</v>
      </c>
      <c r="HY30" s="180">
        <v>195762.83179905897</v>
      </c>
      <c r="HZ30" s="180">
        <v>204334.87598825764</v>
      </c>
      <c r="IA30" s="181">
        <v>205565.56384534747</v>
      </c>
      <c r="IB30" s="180">
        <v>206554.58986951882</v>
      </c>
      <c r="IC30" s="180">
        <v>210572.91935280466</v>
      </c>
      <c r="ID30" s="180">
        <v>213064.78913932963</v>
      </c>
      <c r="IE30" s="180">
        <v>220216.38546165972</v>
      </c>
      <c r="IF30" s="180">
        <v>228376.471088822</v>
      </c>
      <c r="IG30" s="181">
        <v>218862.42768907073</v>
      </c>
      <c r="IH30" s="180">
        <v>219015.61786359991</v>
      </c>
      <c r="II30" s="180">
        <v>206722.8471166915</v>
      </c>
      <c r="IJ30" s="180">
        <v>196901.82838363442</v>
      </c>
      <c r="IK30" s="180">
        <v>190536.17412744716</v>
      </c>
      <c r="IL30" s="180">
        <v>185900.42101472485</v>
      </c>
      <c r="IM30" s="180">
        <v>181629.21499585558</v>
      </c>
      <c r="IN30" s="180">
        <v>181049.94978276885</v>
      </c>
      <c r="IO30" s="100">
        <v>123706</v>
      </c>
      <c r="IP30" s="100">
        <v>120853</v>
      </c>
      <c r="IQ30" s="99">
        <v>118580</v>
      </c>
      <c r="IR30" s="99">
        <v>120488</v>
      </c>
      <c r="IS30" s="99">
        <v>121292</v>
      </c>
      <c r="IT30" s="99">
        <v>124496</v>
      </c>
      <c r="IU30" s="100">
        <v>128405</v>
      </c>
      <c r="IV30" s="99">
        <v>134229</v>
      </c>
      <c r="IW30" s="99">
        <v>137578</v>
      </c>
      <c r="IX30" s="99">
        <v>139228</v>
      </c>
      <c r="IY30" s="99">
        <v>140421</v>
      </c>
      <c r="IZ30" s="99">
        <v>144664</v>
      </c>
      <c r="JA30" s="99">
        <v>141574</v>
      </c>
      <c r="JB30" s="99">
        <v>140807</v>
      </c>
      <c r="JC30" s="99">
        <v>138584</v>
      </c>
      <c r="JD30" s="99">
        <v>138595</v>
      </c>
      <c r="JE30" s="99">
        <v>141011</v>
      </c>
      <c r="JF30" s="99">
        <v>139038.03432754427</v>
      </c>
      <c r="JG30" s="99">
        <v>139678.52801358135</v>
      </c>
      <c r="JH30" s="99">
        <v>135761.93113361948</v>
      </c>
      <c r="JI30" s="99">
        <v>133270.80214528606</v>
      </c>
      <c r="JJ30" s="99">
        <v>131368.92392666891</v>
      </c>
      <c r="JK30" s="180">
        <v>126688.02355255868</v>
      </c>
      <c r="JL30" s="180">
        <v>120788.58694276781</v>
      </c>
      <c r="JM30" s="180">
        <v>118285.68344036405</v>
      </c>
      <c r="JN30" s="180">
        <v>115709.34325447603</v>
      </c>
      <c r="JO30" s="180">
        <v>114544.75897913927</v>
      </c>
      <c r="JP30" s="181">
        <v>111883.35546094499</v>
      </c>
      <c r="JQ30" s="180">
        <v>110060.19450660211</v>
      </c>
      <c r="JR30" s="180">
        <v>111762.34771830293</v>
      </c>
      <c r="JS30" s="180">
        <v>110569.96729623868</v>
      </c>
      <c r="JT30" s="180">
        <v>108709.35455481072</v>
      </c>
      <c r="JU30" s="180">
        <v>109034.54834395421</v>
      </c>
      <c r="JV30" s="181">
        <v>104573.30785927545</v>
      </c>
      <c r="JW30" s="180">
        <v>102624.95096113508</v>
      </c>
      <c r="JX30" s="180">
        <v>99720.521071302122</v>
      </c>
      <c r="JY30" s="180">
        <v>99296.905208141063</v>
      </c>
      <c r="JZ30" s="180">
        <v>94821.053689146021</v>
      </c>
      <c r="KA30" s="180">
        <v>93379.093484596975</v>
      </c>
      <c r="KB30" s="180">
        <v>93992.412016535935</v>
      </c>
      <c r="KC30" s="180">
        <v>94548.380047277547</v>
      </c>
    </row>
    <row r="31" spans="1:289">
      <c r="A31" s="175" t="s">
        <v>54</v>
      </c>
      <c r="B31" s="100">
        <v>31059</v>
      </c>
      <c r="C31" s="100">
        <v>31839</v>
      </c>
      <c r="D31" s="99">
        <v>31867</v>
      </c>
      <c r="E31" s="99">
        <v>32409</v>
      </c>
      <c r="F31" s="99">
        <v>32608</v>
      </c>
      <c r="G31" s="99">
        <v>34231</v>
      </c>
      <c r="H31" s="100">
        <v>35794</v>
      </c>
      <c r="I31" s="99">
        <v>36958</v>
      </c>
      <c r="J31" s="99">
        <v>38924</v>
      </c>
      <c r="K31" s="99">
        <v>39241</v>
      </c>
      <c r="L31" s="99">
        <v>40760</v>
      </c>
      <c r="M31" s="99">
        <v>42379</v>
      </c>
      <c r="N31" s="99">
        <v>44777</v>
      </c>
      <c r="O31" s="99">
        <v>44532</v>
      </c>
      <c r="P31" s="99">
        <v>44424</v>
      </c>
      <c r="Q31" s="99">
        <v>45628</v>
      </c>
      <c r="R31" s="99">
        <v>46082</v>
      </c>
      <c r="S31" s="99">
        <v>47459</v>
      </c>
      <c r="T31" s="99">
        <v>49321</v>
      </c>
      <c r="U31" s="99">
        <v>50122</v>
      </c>
      <c r="V31" s="99">
        <v>50087</v>
      </c>
      <c r="W31" s="99">
        <v>50968</v>
      </c>
      <c r="X31" s="546">
        <v>58510</v>
      </c>
      <c r="Y31" s="180">
        <v>51882.229153633394</v>
      </c>
      <c r="Z31" s="180">
        <v>51501.514666249575</v>
      </c>
      <c r="AA31" s="180">
        <v>52584.721931990432</v>
      </c>
      <c r="AB31" s="180">
        <v>52789.689321481463</v>
      </c>
      <c r="AC31" s="180">
        <v>54850.835297969665</v>
      </c>
      <c r="AD31" s="181">
        <v>55925.482560175064</v>
      </c>
      <c r="AE31" s="180">
        <v>56426.737833329433</v>
      </c>
      <c r="AF31" s="180">
        <v>57665.81372004118</v>
      </c>
      <c r="AG31" s="180">
        <v>57733.000081383005</v>
      </c>
      <c r="AH31" s="180">
        <v>58318.155274859877</v>
      </c>
      <c r="AI31" s="180">
        <v>59411.776052513567</v>
      </c>
      <c r="AJ31" s="181">
        <v>60236.806243073544</v>
      </c>
      <c r="AK31" s="180">
        <v>59125.725858835307</v>
      </c>
      <c r="AL31" s="180">
        <v>57961.768761286679</v>
      </c>
      <c r="AM31" s="180">
        <v>56064.865525430403</v>
      </c>
      <c r="AN31" s="180">
        <v>54962.683578977507</v>
      </c>
      <c r="AO31" s="180">
        <v>55123.25829653236</v>
      </c>
      <c r="AP31" s="180">
        <v>54933.766668732969</v>
      </c>
      <c r="AQ31" s="180">
        <v>55627.351377182618</v>
      </c>
      <c r="AR31" s="533">
        <f t="shared" si="78"/>
        <v>1137</v>
      </c>
      <c r="AS31" s="534">
        <f t="shared" si="79"/>
        <v>1151</v>
      </c>
      <c r="AT31" s="534">
        <f t="shared" si="80"/>
        <v>1203</v>
      </c>
      <c r="AU31" s="534">
        <f t="shared" si="81"/>
        <v>1234</v>
      </c>
      <c r="AV31" s="534">
        <f t="shared" si="82"/>
        <v>1218</v>
      </c>
      <c r="AW31" s="534">
        <f t="shared" si="83"/>
        <v>1244</v>
      </c>
      <c r="AX31" s="534">
        <f t="shared" si="84"/>
        <v>1353</v>
      </c>
      <c r="AY31" s="534">
        <f t="shared" si="85"/>
        <v>1342</v>
      </c>
      <c r="AZ31" s="534">
        <f t="shared" si="86"/>
        <v>1609</v>
      </c>
      <c r="BA31" s="534">
        <f t="shared" si="87"/>
        <v>1555</v>
      </c>
      <c r="BB31" s="534">
        <f t="shared" si="88"/>
        <v>1756</v>
      </c>
      <c r="BC31" s="534">
        <f t="shared" si="89"/>
        <v>1765</v>
      </c>
      <c r="BD31" s="534">
        <f t="shared" si="90"/>
        <v>2000</v>
      </c>
      <c r="BE31" s="534">
        <f t="shared" si="91"/>
        <v>1947</v>
      </c>
      <c r="BF31" s="534">
        <f t="shared" si="92"/>
        <v>2015</v>
      </c>
      <c r="BG31" s="534">
        <f t="shared" si="93"/>
        <v>2080</v>
      </c>
      <c r="BH31" s="534">
        <f t="shared" si="94"/>
        <v>2055</v>
      </c>
      <c r="BI31" s="534">
        <f t="shared" si="95"/>
        <v>2204</v>
      </c>
      <c r="BJ31" s="534">
        <f t="shared" si="96"/>
        <v>2317</v>
      </c>
      <c r="BK31" s="534">
        <f t="shared" si="97"/>
        <v>2064.6083377898412</v>
      </c>
      <c r="BL31" s="534">
        <f t="shared" si="98"/>
        <v>2275.9798943544611</v>
      </c>
      <c r="BM31" s="534">
        <f t="shared" si="99"/>
        <v>2432.4361389578457</v>
      </c>
      <c r="BN31" s="186">
        <f t="shared" si="100"/>
        <v>2421.7829501697643</v>
      </c>
      <c r="BO31" s="186">
        <f t="shared" si="101"/>
        <v>2352.645817053658</v>
      </c>
      <c r="BP31" s="186">
        <f t="shared" si="102"/>
        <v>2337.229535112639</v>
      </c>
      <c r="BQ31" s="186">
        <f t="shared" si="103"/>
        <v>2316.9932961660629</v>
      </c>
      <c r="BR31" s="186">
        <f t="shared" si="104"/>
        <v>2418.5212321600488</v>
      </c>
      <c r="BS31" s="186">
        <f t="shared" si="105"/>
        <v>2444.6340630019554</v>
      </c>
      <c r="BT31" s="186">
        <f t="shared" si="106"/>
        <v>2468.3684066002902</v>
      </c>
      <c r="BU31" s="186">
        <f t="shared" si="107"/>
        <v>2488.5058043862359</v>
      </c>
      <c r="BV31" s="186">
        <f t="shared" si="108"/>
        <v>2412.4805798626066</v>
      </c>
      <c r="BW31" s="186">
        <f t="shared" si="109"/>
        <v>2433.5903746437803</v>
      </c>
      <c r="BX31" s="186">
        <f t="shared" si="110"/>
        <v>2258.9035091733144</v>
      </c>
      <c r="BY31" s="186">
        <f t="shared" si="111"/>
        <v>2210.1519742873511</v>
      </c>
      <c r="BZ31" s="186">
        <f t="shared" si="112"/>
        <v>2332.9696797276283</v>
      </c>
      <c r="CA31" s="186">
        <f t="shared" si="113"/>
        <v>2446.8868644981126</v>
      </c>
      <c r="CB31" s="186">
        <f t="shared" si="114"/>
        <v>2414.1070132560903</v>
      </c>
      <c r="CC31" s="186">
        <f t="shared" si="115"/>
        <v>2335.6879412760777</v>
      </c>
      <c r="CD31" s="186">
        <f t="shared" si="116"/>
        <v>2574.6412042708344</v>
      </c>
      <c r="CE31" s="186">
        <f t="shared" si="117"/>
        <v>2595.6072839686876</v>
      </c>
      <c r="CF31" s="186">
        <f t="shared" si="118"/>
        <v>2735.109404928583</v>
      </c>
      <c r="CG31" s="100">
        <v>222</v>
      </c>
      <c r="CH31" s="100">
        <v>225</v>
      </c>
      <c r="CI31" s="99">
        <v>215</v>
      </c>
      <c r="CJ31" s="99">
        <v>244</v>
      </c>
      <c r="CK31" s="99">
        <v>237</v>
      </c>
      <c r="CL31" s="99">
        <v>238</v>
      </c>
      <c r="CM31" s="100">
        <v>272</v>
      </c>
      <c r="CN31" s="99">
        <v>272</v>
      </c>
      <c r="CO31" s="99">
        <v>321</v>
      </c>
      <c r="CP31" s="99">
        <v>305</v>
      </c>
      <c r="CQ31" s="99">
        <v>314</v>
      </c>
      <c r="CR31" s="99">
        <v>368</v>
      </c>
      <c r="CS31" s="99">
        <v>403</v>
      </c>
      <c r="CT31" s="99">
        <v>419</v>
      </c>
      <c r="CU31" s="99">
        <v>398</v>
      </c>
      <c r="CV31" s="99">
        <v>445</v>
      </c>
      <c r="CW31" s="99">
        <v>438</v>
      </c>
      <c r="CX31" s="99">
        <v>466</v>
      </c>
      <c r="CY31" s="99">
        <v>507</v>
      </c>
      <c r="CZ31" s="99">
        <v>462.65276069588987</v>
      </c>
      <c r="DA31" s="99">
        <v>469.98950997230696</v>
      </c>
      <c r="DB31" s="99">
        <v>449.19938547518649</v>
      </c>
      <c r="DC31" s="180">
        <v>405.89745954845239</v>
      </c>
      <c r="DD31" s="180">
        <v>350.69587035291966</v>
      </c>
      <c r="DE31" s="180">
        <v>351.91289047438835</v>
      </c>
      <c r="DF31" s="180">
        <v>346.68571927882613</v>
      </c>
      <c r="DG31" s="180">
        <v>340.32418776941387</v>
      </c>
      <c r="DH31" s="181">
        <v>336.02948971325674</v>
      </c>
      <c r="DI31" s="180">
        <v>278.53412421298134</v>
      </c>
      <c r="DJ31" s="180">
        <v>281.31830230391654</v>
      </c>
      <c r="DK31" s="180">
        <v>286.24721430599067</v>
      </c>
      <c r="DL31" s="180">
        <v>265.83726412607535</v>
      </c>
      <c r="DM31" s="180">
        <v>263.9182671297587</v>
      </c>
      <c r="DN31" s="181">
        <v>231.51689615989071</v>
      </c>
      <c r="DO31" s="180">
        <v>276.63989655527382</v>
      </c>
      <c r="DP31" s="180">
        <v>293.31679051184517</v>
      </c>
      <c r="DQ31" s="180">
        <v>258.55058968084211</v>
      </c>
      <c r="DR31" s="180">
        <v>230.51589717086392</v>
      </c>
      <c r="DS31" s="180">
        <v>251.60459900492387</v>
      </c>
      <c r="DT31" s="180">
        <v>256.78702115618012</v>
      </c>
      <c r="DU31" s="180">
        <v>253.57747343606289</v>
      </c>
      <c r="DV31" s="100">
        <v>915</v>
      </c>
      <c r="DW31" s="100">
        <v>926</v>
      </c>
      <c r="DX31" s="99">
        <v>988</v>
      </c>
      <c r="DY31" s="99">
        <v>990</v>
      </c>
      <c r="DZ31" s="99">
        <v>981</v>
      </c>
      <c r="EA31" s="99">
        <v>1006</v>
      </c>
      <c r="EB31" s="100">
        <v>1081</v>
      </c>
      <c r="EC31" s="99">
        <v>1070</v>
      </c>
      <c r="ED31" s="99">
        <v>1288</v>
      </c>
      <c r="EE31" s="99">
        <v>1250</v>
      </c>
      <c r="EF31" s="99">
        <v>1442</v>
      </c>
      <c r="EG31" s="99">
        <v>1397</v>
      </c>
      <c r="EH31" s="99">
        <v>1597</v>
      </c>
      <c r="EI31" s="99">
        <v>1528</v>
      </c>
      <c r="EJ31" s="99">
        <v>1617</v>
      </c>
      <c r="EK31" s="99">
        <v>1635</v>
      </c>
      <c r="EL31" s="99">
        <v>1617</v>
      </c>
      <c r="EM31" s="99">
        <v>1738</v>
      </c>
      <c r="EN31" s="99">
        <v>1810</v>
      </c>
      <c r="EO31" s="99">
        <v>1601.9555770939514</v>
      </c>
      <c r="EP31" s="99">
        <v>1805.9903843821539</v>
      </c>
      <c r="EQ31" s="99">
        <v>1983.2367534826594</v>
      </c>
      <c r="ER31" s="180">
        <v>2015.8854906213116</v>
      </c>
      <c r="ES31" s="180">
        <v>2001.9499467007383</v>
      </c>
      <c r="ET31" s="180">
        <v>1985.3166446382506</v>
      </c>
      <c r="EU31" s="180">
        <v>1970.3075768872368</v>
      </c>
      <c r="EV31" s="180">
        <v>2078.1970443906348</v>
      </c>
      <c r="EW31" s="181">
        <v>2108.6045732886987</v>
      </c>
      <c r="EX31" s="180">
        <v>2189.834282387309</v>
      </c>
      <c r="EY31" s="180">
        <v>2207.1875020823195</v>
      </c>
      <c r="EZ31" s="180">
        <v>2126.2333655566158</v>
      </c>
      <c r="FA31" s="180">
        <v>2167.753110517705</v>
      </c>
      <c r="FB31" s="180">
        <v>1994.9852420435559</v>
      </c>
      <c r="FC31" s="181">
        <v>1978.6350781274605</v>
      </c>
      <c r="FD31" s="180">
        <v>2056.3297831723544</v>
      </c>
      <c r="FE31" s="180">
        <v>2153.5700739862673</v>
      </c>
      <c r="FF31" s="180">
        <v>2155.5564235752481</v>
      </c>
      <c r="FG31" s="180">
        <v>2105.1720441052139</v>
      </c>
      <c r="FH31" s="180">
        <v>2323.0366052659106</v>
      </c>
      <c r="FI31" s="180">
        <v>2338.8202628125077</v>
      </c>
      <c r="FJ31" s="180">
        <v>2481.53193149252</v>
      </c>
      <c r="FK31" s="100">
        <v>1286</v>
      </c>
      <c r="FL31" s="100">
        <v>1356</v>
      </c>
      <c r="FM31" s="99">
        <v>1346</v>
      </c>
      <c r="FN31" s="99">
        <v>1396</v>
      </c>
      <c r="FO31" s="99">
        <v>1364</v>
      </c>
      <c r="FP31" s="99">
        <v>1557</v>
      </c>
      <c r="FQ31" s="100">
        <v>1594</v>
      </c>
      <c r="FR31" s="99">
        <v>1609</v>
      </c>
      <c r="FS31" s="99">
        <v>1693</v>
      </c>
      <c r="FT31" s="99">
        <v>1681</v>
      </c>
      <c r="FU31" s="99">
        <v>1798</v>
      </c>
      <c r="FV31" s="99">
        <v>1849</v>
      </c>
      <c r="FW31" s="99">
        <v>2194</v>
      </c>
      <c r="FX31" s="99">
        <v>2224</v>
      </c>
      <c r="FY31" s="99">
        <v>2129</v>
      </c>
      <c r="FZ31" s="99">
        <v>2417</v>
      </c>
      <c r="GA31" s="99">
        <v>2498</v>
      </c>
      <c r="GB31" s="99">
        <v>2619</v>
      </c>
      <c r="GC31" s="99">
        <v>2913</v>
      </c>
      <c r="GD31" s="99">
        <v>2667.9865042451888</v>
      </c>
      <c r="GE31" s="99">
        <v>2564.4190894587787</v>
      </c>
      <c r="GF31" s="99">
        <v>2537.6798773501914</v>
      </c>
      <c r="GG31" s="180">
        <v>2536.4193903744604</v>
      </c>
      <c r="GH31" s="180">
        <v>2417.8581869525524</v>
      </c>
      <c r="GI31" s="180">
        <v>2486.5403185347009</v>
      </c>
      <c r="GJ31" s="180">
        <v>2438.5264961254302</v>
      </c>
      <c r="GK31" s="180">
        <v>2440.0557914414285</v>
      </c>
      <c r="GL31" s="181">
        <v>2380.3221822515111</v>
      </c>
      <c r="GM31" s="180">
        <v>2320.6348266001642</v>
      </c>
      <c r="GN31" s="180">
        <v>2312.4800462758681</v>
      </c>
      <c r="GO31" s="180">
        <v>2219.2918915454061</v>
      </c>
      <c r="GP31" s="180">
        <v>2309.5482886920427</v>
      </c>
      <c r="GQ31" s="180">
        <v>2248.3504529729412</v>
      </c>
      <c r="GR31" s="181">
        <v>2325.8996196187891</v>
      </c>
      <c r="GS31" s="180">
        <v>2450.0574271361129</v>
      </c>
      <c r="GT31" s="180">
        <v>2429.0537047582852</v>
      </c>
      <c r="GU31" s="180">
        <v>2466.1820070673753</v>
      </c>
      <c r="GV31" s="180">
        <v>2322.1566002604841</v>
      </c>
      <c r="GW31" s="180">
        <v>2372.8681207645777</v>
      </c>
      <c r="GX31" s="180">
        <v>2462.0397338174434</v>
      </c>
      <c r="GY31" s="180">
        <v>2561.1903221071211</v>
      </c>
      <c r="GZ31" s="100">
        <v>4094</v>
      </c>
      <c r="HA31" s="100">
        <v>4247</v>
      </c>
      <c r="HB31" s="99">
        <v>4186</v>
      </c>
      <c r="HC31" s="99">
        <v>4195</v>
      </c>
      <c r="HD31" s="99">
        <v>4109</v>
      </c>
      <c r="HE31" s="99">
        <v>4433</v>
      </c>
      <c r="HF31" s="100">
        <v>4612</v>
      </c>
      <c r="HG31" s="99">
        <v>4973</v>
      </c>
      <c r="HH31" s="99">
        <v>5172</v>
      </c>
      <c r="HI31" s="99">
        <v>5321</v>
      </c>
      <c r="HJ31" s="99">
        <v>5700</v>
      </c>
      <c r="HK31" s="99">
        <v>6270</v>
      </c>
      <c r="HL31" s="99">
        <v>7198</v>
      </c>
      <c r="HM31" s="99">
        <v>7362</v>
      </c>
      <c r="HN31" s="99">
        <v>7727</v>
      </c>
      <c r="HO31" s="99">
        <v>8100</v>
      </c>
      <c r="HP31" s="99">
        <v>8454</v>
      </c>
      <c r="HQ31" s="99">
        <v>9364</v>
      </c>
      <c r="HR31" s="99">
        <v>10533</v>
      </c>
      <c r="HS31" s="99">
        <v>12343</v>
      </c>
      <c r="HT31" s="99">
        <v>12559</v>
      </c>
      <c r="HU31" s="99">
        <v>13219</v>
      </c>
      <c r="HV31" s="180">
        <v>13798.243969627909</v>
      </c>
      <c r="HW31" s="180">
        <v>14141.391838619451</v>
      </c>
      <c r="HX31" s="180">
        <v>15045.755818186584</v>
      </c>
      <c r="HY31" s="180">
        <v>15261.438756903584</v>
      </c>
      <c r="HZ31" s="180">
        <v>16658.629163131824</v>
      </c>
      <c r="IA31" s="181">
        <v>17169.014017625323</v>
      </c>
      <c r="IB31" s="180">
        <v>17644.586251003904</v>
      </c>
      <c r="IC31" s="180">
        <v>18257.409719476283</v>
      </c>
      <c r="ID31" s="180">
        <v>18521.28810090504</v>
      </c>
      <c r="IE31" s="180">
        <v>19122.007218401337</v>
      </c>
      <c r="IF31" s="180">
        <v>19449.460982898905</v>
      </c>
      <c r="IG31" s="181">
        <v>20361.396732519486</v>
      </c>
      <c r="IH31" s="180">
        <v>19288.803086378637</v>
      </c>
      <c r="II31" s="180">
        <v>18146.17979407265</v>
      </c>
      <c r="IJ31" s="180">
        <v>17125.287429813656</v>
      </c>
      <c r="IK31" s="180">
        <v>15927.931297667401</v>
      </c>
      <c r="IL31" s="180">
        <v>15756.550387101204</v>
      </c>
      <c r="IM31" s="180">
        <v>15724.833855775272</v>
      </c>
      <c r="IN31" s="180">
        <v>15564.58257595752</v>
      </c>
      <c r="IO31" s="100">
        <v>24542</v>
      </c>
      <c r="IP31" s="100">
        <v>25085</v>
      </c>
      <c r="IQ31" s="99">
        <v>25132</v>
      </c>
      <c r="IR31" s="99">
        <v>25584</v>
      </c>
      <c r="IS31" s="99">
        <v>25917</v>
      </c>
      <c r="IT31" s="99">
        <v>26997</v>
      </c>
      <c r="IU31" s="100">
        <v>28235</v>
      </c>
      <c r="IV31" s="99">
        <v>29034</v>
      </c>
      <c r="IW31" s="99">
        <v>30450</v>
      </c>
      <c r="IX31" s="99">
        <v>30684</v>
      </c>
      <c r="IY31" s="99">
        <v>31506</v>
      </c>
      <c r="IZ31" s="99">
        <v>32495</v>
      </c>
      <c r="JA31" s="99">
        <v>33385</v>
      </c>
      <c r="JB31" s="99">
        <v>32999</v>
      </c>
      <c r="JC31" s="99">
        <v>32553</v>
      </c>
      <c r="JD31" s="99">
        <v>33031</v>
      </c>
      <c r="JE31" s="99">
        <v>33075</v>
      </c>
      <c r="JF31" s="99">
        <v>33272</v>
      </c>
      <c r="JG31" s="99">
        <v>33558</v>
      </c>
      <c r="JH31" s="99">
        <v>33046.405157964968</v>
      </c>
      <c r="JI31" s="99">
        <v>32687.60101618676</v>
      </c>
      <c r="JJ31" s="99">
        <v>32778.883983691965</v>
      </c>
      <c r="JK31" s="180">
        <v>32904.089802087859</v>
      </c>
      <c r="JL31" s="180">
        <v>32427.513605600998</v>
      </c>
      <c r="JM31" s="180">
        <v>32521.346968605667</v>
      </c>
      <c r="JN31" s="180">
        <v>32533.628439647837</v>
      </c>
      <c r="JO31" s="180">
        <v>33083.738547420311</v>
      </c>
      <c r="JP31" s="181">
        <v>33696.927890784122</v>
      </c>
      <c r="JQ31" s="180">
        <v>33812.515859070947</v>
      </c>
      <c r="JR31" s="180">
        <v>34447.474891344624</v>
      </c>
      <c r="JS31" s="180">
        <v>34444.411241963287</v>
      </c>
      <c r="JT31" s="180">
        <v>34325.070943525963</v>
      </c>
      <c r="JU31" s="180">
        <v>35384.848535472142</v>
      </c>
      <c r="JV31" s="181">
        <v>35297.845382650696</v>
      </c>
      <c r="JW31" s="180">
        <v>34972.250352609801</v>
      </c>
      <c r="JX31" s="180">
        <v>34795.421650107906</v>
      </c>
      <c r="JY31" s="180">
        <v>33897.942862448268</v>
      </c>
      <c r="JZ31" s="180">
        <v>33674.411567237097</v>
      </c>
      <c r="KA31" s="180">
        <v>33269.980996845399</v>
      </c>
      <c r="KB31" s="180">
        <v>33163.160741907763</v>
      </c>
      <c r="KC31" s="180">
        <v>33803.607525039159</v>
      </c>
    </row>
    <row r="32" spans="1:289">
      <c r="A32" s="175" t="s">
        <v>55</v>
      </c>
      <c r="B32" s="100">
        <v>9160</v>
      </c>
      <c r="C32" s="100">
        <v>8854</v>
      </c>
      <c r="D32" s="99">
        <v>9369</v>
      </c>
      <c r="E32" s="99">
        <v>9407</v>
      </c>
      <c r="F32" s="99">
        <v>9387</v>
      </c>
      <c r="G32" s="99">
        <v>8929</v>
      </c>
      <c r="H32" s="100">
        <v>9670</v>
      </c>
      <c r="I32" s="99">
        <v>9714</v>
      </c>
      <c r="J32" s="99">
        <v>10437</v>
      </c>
      <c r="K32" s="99">
        <v>10102</v>
      </c>
      <c r="L32" s="99">
        <v>10452</v>
      </c>
      <c r="M32" s="99">
        <v>10013</v>
      </c>
      <c r="N32" s="99">
        <v>10324</v>
      </c>
      <c r="O32" s="99">
        <v>10813</v>
      </c>
      <c r="P32" s="99">
        <v>10922</v>
      </c>
      <c r="Q32" s="99">
        <v>11063</v>
      </c>
      <c r="R32" s="99">
        <v>11613</v>
      </c>
      <c r="S32" s="99">
        <v>11508</v>
      </c>
      <c r="T32" s="99">
        <v>10998</v>
      </c>
      <c r="U32" s="99">
        <v>10716</v>
      </c>
      <c r="V32" s="99">
        <v>11360</v>
      </c>
      <c r="W32" s="99">
        <v>10790</v>
      </c>
      <c r="X32" s="546">
        <v>11180</v>
      </c>
      <c r="Y32" s="180">
        <v>11062.982001693217</v>
      </c>
      <c r="Z32" s="180">
        <v>10862.014145745947</v>
      </c>
      <c r="AA32" s="180">
        <v>10579.600342733118</v>
      </c>
      <c r="AB32" s="180">
        <v>10465.905950790322</v>
      </c>
      <c r="AC32" s="180">
        <v>11069.995632568725</v>
      </c>
      <c r="AD32" s="181">
        <v>10612.986753045554</v>
      </c>
      <c r="AE32" s="180">
        <v>11162.661580146663</v>
      </c>
      <c r="AF32" s="180">
        <v>11350.192161263776</v>
      </c>
      <c r="AG32" s="180">
        <v>11512.217173086447</v>
      </c>
      <c r="AH32" s="180">
        <v>11881.539134470861</v>
      </c>
      <c r="AI32" s="180">
        <v>12015.000082258863</v>
      </c>
      <c r="AJ32" s="181">
        <v>12627.051995336755</v>
      </c>
      <c r="AK32" s="180">
        <v>12603.499833478734</v>
      </c>
      <c r="AL32" s="180">
        <v>12211.720976476468</v>
      </c>
      <c r="AM32" s="180">
        <v>12323.328872861668</v>
      </c>
      <c r="AN32" s="180">
        <v>12274.851803892201</v>
      </c>
      <c r="AO32" s="180">
        <v>12325.133606724703</v>
      </c>
      <c r="AP32" s="180">
        <v>12308.278515037271</v>
      </c>
      <c r="AQ32" s="180">
        <v>12021.02238495442</v>
      </c>
      <c r="AR32" s="533">
        <f t="shared" si="78"/>
        <v>6804</v>
      </c>
      <c r="AS32" s="534">
        <f t="shared" si="79"/>
        <v>6530</v>
      </c>
      <c r="AT32" s="534">
        <f t="shared" si="80"/>
        <v>6923</v>
      </c>
      <c r="AU32" s="534">
        <f t="shared" si="81"/>
        <v>6969</v>
      </c>
      <c r="AV32" s="534">
        <f t="shared" si="82"/>
        <v>6952</v>
      </c>
      <c r="AW32" s="534">
        <f t="shared" si="83"/>
        <v>6592</v>
      </c>
      <c r="AX32" s="534">
        <f t="shared" si="84"/>
        <v>7231</v>
      </c>
      <c r="AY32" s="534">
        <f t="shared" si="85"/>
        <v>7275</v>
      </c>
      <c r="AZ32" s="534">
        <f t="shared" si="86"/>
        <v>7868</v>
      </c>
      <c r="BA32" s="534">
        <f t="shared" si="87"/>
        <v>7567</v>
      </c>
      <c r="BB32" s="534">
        <f t="shared" si="88"/>
        <v>7805</v>
      </c>
      <c r="BC32" s="534">
        <f t="shared" si="89"/>
        <v>7420</v>
      </c>
      <c r="BD32" s="534">
        <f t="shared" si="90"/>
        <v>7701</v>
      </c>
      <c r="BE32" s="534">
        <f t="shared" si="91"/>
        <v>8047</v>
      </c>
      <c r="BF32" s="534">
        <f t="shared" si="92"/>
        <v>8224</v>
      </c>
      <c r="BG32" s="534">
        <f t="shared" si="93"/>
        <v>8345</v>
      </c>
      <c r="BH32" s="534">
        <f t="shared" si="94"/>
        <v>8771</v>
      </c>
      <c r="BI32" s="534">
        <f t="shared" si="95"/>
        <v>8730</v>
      </c>
      <c r="BJ32" s="534">
        <f t="shared" si="96"/>
        <v>8353</v>
      </c>
      <c r="BK32" s="534">
        <f t="shared" si="97"/>
        <v>8548.9207945999915</v>
      </c>
      <c r="BL32" s="534">
        <f t="shared" si="98"/>
        <v>8953.1143535852425</v>
      </c>
      <c r="BM32" s="534">
        <f t="shared" si="99"/>
        <v>8576.0715510242517</v>
      </c>
      <c r="BN32" s="186">
        <f t="shared" si="100"/>
        <v>8231.1708143024025</v>
      </c>
      <c r="BO32" s="186">
        <f t="shared" si="101"/>
        <v>8145.2583259152916</v>
      </c>
      <c r="BP32" s="186">
        <f t="shared" si="102"/>
        <v>8145.0507624171933</v>
      </c>
      <c r="BQ32" s="186">
        <f t="shared" si="103"/>
        <v>8001.2930228742161</v>
      </c>
      <c r="BR32" s="186">
        <f t="shared" si="104"/>
        <v>8455.0772968938782</v>
      </c>
      <c r="BS32" s="186">
        <f t="shared" si="105"/>
        <v>8115.4457069225673</v>
      </c>
      <c r="BT32" s="186">
        <f t="shared" si="106"/>
        <v>8422.2681688566081</v>
      </c>
      <c r="BU32" s="186">
        <f t="shared" si="107"/>
        <v>8633.7501945219356</v>
      </c>
      <c r="BV32" s="186">
        <f t="shared" si="108"/>
        <v>8746.4768025144167</v>
      </c>
      <c r="BW32" s="186">
        <f t="shared" si="109"/>
        <v>8883.1770499666436</v>
      </c>
      <c r="BX32" s="186">
        <f t="shared" si="110"/>
        <v>8047.8463376188593</v>
      </c>
      <c r="BY32" s="186">
        <f t="shared" si="111"/>
        <v>8182.5155980898753</v>
      </c>
      <c r="BZ32" s="186">
        <f t="shared" si="112"/>
        <v>9070.5066397977425</v>
      </c>
      <c r="CA32" s="186">
        <f t="shared" si="113"/>
        <v>8756.0157430728977</v>
      </c>
      <c r="CB32" s="186">
        <f t="shared" si="114"/>
        <v>8582.9604811613954</v>
      </c>
      <c r="CC32" s="186">
        <f t="shared" si="115"/>
        <v>8273.1371405876453</v>
      </c>
      <c r="CD32" s="186">
        <f t="shared" si="116"/>
        <v>8519.3821319419203</v>
      </c>
      <c r="CE32" s="186">
        <f t="shared" si="117"/>
        <v>8377.4334928550488</v>
      </c>
      <c r="CF32" s="186">
        <f t="shared" si="118"/>
        <v>8268.8081120516727</v>
      </c>
      <c r="CG32" s="100">
        <v>29</v>
      </c>
      <c r="CH32" s="100">
        <v>29</v>
      </c>
      <c r="CI32" s="99">
        <v>26</v>
      </c>
      <c r="CJ32" s="99">
        <v>31</v>
      </c>
      <c r="CK32" s="99">
        <v>21</v>
      </c>
      <c r="CL32" s="99">
        <v>1</v>
      </c>
      <c r="CM32" s="100">
        <v>26</v>
      </c>
      <c r="CN32" s="99">
        <v>27</v>
      </c>
      <c r="CO32" s="99">
        <v>27</v>
      </c>
      <c r="CP32" s="99">
        <v>33</v>
      </c>
      <c r="CQ32" s="99">
        <v>34</v>
      </c>
      <c r="CR32" s="99">
        <v>35</v>
      </c>
      <c r="CS32" s="99">
        <v>32</v>
      </c>
      <c r="CT32" s="99">
        <v>44</v>
      </c>
      <c r="CU32" s="99">
        <v>27</v>
      </c>
      <c r="CV32" s="99">
        <v>44</v>
      </c>
      <c r="CW32" s="99">
        <v>53</v>
      </c>
      <c r="CX32" s="99">
        <v>57</v>
      </c>
      <c r="CY32" s="99">
        <v>56</v>
      </c>
      <c r="CZ32" s="99">
        <v>41.408467504397812</v>
      </c>
      <c r="DA32" s="99">
        <v>61.12331191644288</v>
      </c>
      <c r="DB32" s="99">
        <v>44.904043929477453</v>
      </c>
      <c r="DC32" s="180">
        <v>36.154956651940559</v>
      </c>
      <c r="DD32" s="180">
        <v>41.5851173910998</v>
      </c>
      <c r="DE32" s="180">
        <v>50.544524947039527</v>
      </c>
      <c r="DF32" s="180">
        <v>47.897467689857287</v>
      </c>
      <c r="DG32" s="180">
        <v>59.968254184639513</v>
      </c>
      <c r="DH32" s="181">
        <v>35.952680686812776</v>
      </c>
      <c r="DI32" s="180">
        <v>35.136900067543813</v>
      </c>
      <c r="DJ32" s="180">
        <v>30.673646538408853</v>
      </c>
      <c r="DK32" s="180">
        <v>25.413686369100471</v>
      </c>
      <c r="DL32" s="180">
        <v>27.222737534045869</v>
      </c>
      <c r="DM32" s="180">
        <v>19.13746616234101</v>
      </c>
      <c r="DN32" s="181">
        <v>15.804660357720671</v>
      </c>
      <c r="DO32" s="180">
        <v>24.346956810967825</v>
      </c>
      <c r="DP32" s="180">
        <v>23.837074516476925</v>
      </c>
      <c r="DQ32" s="180">
        <v>19.16628799047038</v>
      </c>
      <c r="DR32" s="180">
        <v>23.615536101746912</v>
      </c>
      <c r="DS32" s="180">
        <v>19.641693735233485</v>
      </c>
      <c r="DT32" s="180">
        <v>15.507180857546224</v>
      </c>
      <c r="DU32" s="180">
        <v>10.27390856322465</v>
      </c>
      <c r="DV32" s="100">
        <v>6775</v>
      </c>
      <c r="DW32" s="100">
        <v>6501</v>
      </c>
      <c r="DX32" s="99">
        <v>6897</v>
      </c>
      <c r="DY32" s="99">
        <v>6938</v>
      </c>
      <c r="DZ32" s="99">
        <v>6931</v>
      </c>
      <c r="EA32" s="99">
        <v>6591</v>
      </c>
      <c r="EB32" s="100">
        <v>7205</v>
      </c>
      <c r="EC32" s="99">
        <v>7248</v>
      </c>
      <c r="ED32" s="99">
        <v>7841</v>
      </c>
      <c r="EE32" s="99">
        <v>7534</v>
      </c>
      <c r="EF32" s="99">
        <v>7771</v>
      </c>
      <c r="EG32" s="99">
        <v>7385</v>
      </c>
      <c r="EH32" s="99">
        <v>7669</v>
      </c>
      <c r="EI32" s="99">
        <v>8003</v>
      </c>
      <c r="EJ32" s="99">
        <v>8197</v>
      </c>
      <c r="EK32" s="99">
        <v>8301</v>
      </c>
      <c r="EL32" s="99">
        <v>8718</v>
      </c>
      <c r="EM32" s="99">
        <v>8673</v>
      </c>
      <c r="EN32" s="99">
        <v>8297</v>
      </c>
      <c r="EO32" s="99">
        <v>8507.5123270955937</v>
      </c>
      <c r="EP32" s="99">
        <v>8891.9910416687999</v>
      </c>
      <c r="EQ32" s="99">
        <v>8531.1675070947749</v>
      </c>
      <c r="ER32" s="180">
        <v>8195.0158576504618</v>
      </c>
      <c r="ES32" s="180">
        <v>8103.673208524192</v>
      </c>
      <c r="ET32" s="180">
        <v>8094.5062374701538</v>
      </c>
      <c r="EU32" s="180">
        <v>7953.3955551843592</v>
      </c>
      <c r="EV32" s="180">
        <v>8395.1090427092386</v>
      </c>
      <c r="EW32" s="181">
        <v>8079.4930262357548</v>
      </c>
      <c r="EX32" s="180">
        <v>8387.1312687890641</v>
      </c>
      <c r="EY32" s="180">
        <v>8603.0765479835263</v>
      </c>
      <c r="EZ32" s="180">
        <v>8721.0631161453166</v>
      </c>
      <c r="FA32" s="180">
        <v>8855.9543124325974</v>
      </c>
      <c r="FB32" s="180">
        <v>8028.708871456518</v>
      </c>
      <c r="FC32" s="181">
        <v>8166.7109377321549</v>
      </c>
      <c r="FD32" s="180">
        <v>9046.159682986774</v>
      </c>
      <c r="FE32" s="180">
        <v>8732.1786685564202</v>
      </c>
      <c r="FF32" s="180">
        <v>8563.7941931709247</v>
      </c>
      <c r="FG32" s="180">
        <v>8249.5216044858989</v>
      </c>
      <c r="FH32" s="180">
        <v>8499.740438206687</v>
      </c>
      <c r="FI32" s="180">
        <v>8361.9263119975021</v>
      </c>
      <c r="FJ32" s="180">
        <v>8258.5342034884488</v>
      </c>
      <c r="FK32" s="100">
        <v>137</v>
      </c>
      <c r="FL32" s="100">
        <v>122</v>
      </c>
      <c r="FM32" s="99">
        <v>172</v>
      </c>
      <c r="FN32" s="99">
        <v>171</v>
      </c>
      <c r="FO32" s="99">
        <v>177</v>
      </c>
      <c r="FP32" s="99">
        <v>136</v>
      </c>
      <c r="FQ32" s="100">
        <v>145</v>
      </c>
      <c r="FR32" s="99">
        <v>161</v>
      </c>
      <c r="FS32" s="99">
        <v>172</v>
      </c>
      <c r="FT32" s="99">
        <v>177</v>
      </c>
      <c r="FU32" s="99">
        <v>167</v>
      </c>
      <c r="FV32" s="99">
        <v>192</v>
      </c>
      <c r="FW32" s="99">
        <v>167</v>
      </c>
      <c r="FX32" s="99">
        <v>183</v>
      </c>
      <c r="FY32" s="99">
        <v>201</v>
      </c>
      <c r="FZ32" s="99">
        <v>197</v>
      </c>
      <c r="GA32" s="99">
        <v>217</v>
      </c>
      <c r="GB32" s="99">
        <v>226</v>
      </c>
      <c r="GC32" s="99">
        <v>210</v>
      </c>
      <c r="GD32" s="99">
        <v>256.45798538498656</v>
      </c>
      <c r="GE32" s="99">
        <v>271.33539805640601</v>
      </c>
      <c r="GF32" s="99">
        <v>239.24051870618425</v>
      </c>
      <c r="GG32" s="180">
        <v>244.0805667793442</v>
      </c>
      <c r="GH32" s="180">
        <v>263.96541033503763</v>
      </c>
      <c r="GI32" s="180">
        <v>234.36803426945238</v>
      </c>
      <c r="GJ32" s="180">
        <v>239.36933962835823</v>
      </c>
      <c r="GK32" s="180">
        <v>236.32580817445213</v>
      </c>
      <c r="GL32" s="181">
        <v>232.40782361593034</v>
      </c>
      <c r="GM32" s="180">
        <v>237.21523477958286</v>
      </c>
      <c r="GN32" s="180">
        <v>229.7680873974023</v>
      </c>
      <c r="GO32" s="180">
        <v>211.75474351756401</v>
      </c>
      <c r="GP32" s="180">
        <v>221.55776287789746</v>
      </c>
      <c r="GQ32" s="180">
        <v>214.49106701277032</v>
      </c>
      <c r="GR32" s="181">
        <v>239.75754575496379</v>
      </c>
      <c r="GS32" s="180">
        <v>245.37375136365122</v>
      </c>
      <c r="GT32" s="180">
        <v>205.84238600087713</v>
      </c>
      <c r="GU32" s="180">
        <v>258.29397741514299</v>
      </c>
      <c r="GV32" s="180">
        <v>255.7530348350042</v>
      </c>
      <c r="GW32" s="180">
        <v>250.65795583743224</v>
      </c>
      <c r="GX32" s="180">
        <v>275.83960597341007</v>
      </c>
      <c r="GY32" s="180">
        <v>283.11949802415177</v>
      </c>
      <c r="GZ32" s="100">
        <v>521</v>
      </c>
      <c r="HA32" s="100">
        <v>484</v>
      </c>
      <c r="HB32" s="99">
        <v>459</v>
      </c>
      <c r="HC32" s="99">
        <v>456</v>
      </c>
      <c r="HD32" s="99">
        <v>466</v>
      </c>
      <c r="HE32" s="99">
        <v>441</v>
      </c>
      <c r="HF32" s="100">
        <v>470</v>
      </c>
      <c r="HG32" s="99">
        <v>396</v>
      </c>
      <c r="HH32" s="99">
        <v>491</v>
      </c>
      <c r="HI32" s="99">
        <v>441</v>
      </c>
      <c r="HJ32" s="99">
        <v>467</v>
      </c>
      <c r="HK32" s="99">
        <v>477</v>
      </c>
      <c r="HL32" s="99">
        <v>465</v>
      </c>
      <c r="HM32" s="99">
        <v>489</v>
      </c>
      <c r="HN32" s="99">
        <v>429</v>
      </c>
      <c r="HO32" s="99">
        <v>450</v>
      </c>
      <c r="HP32" s="99">
        <v>468</v>
      </c>
      <c r="HQ32" s="99">
        <v>487</v>
      </c>
      <c r="HR32" s="99">
        <v>481</v>
      </c>
      <c r="HS32" s="99">
        <v>378</v>
      </c>
      <c r="HT32" s="99">
        <v>477</v>
      </c>
      <c r="HU32" s="99">
        <v>504</v>
      </c>
      <c r="HV32" s="180">
        <v>587.04240311256206</v>
      </c>
      <c r="HW32" s="180">
        <v>655.30637136262294</v>
      </c>
      <c r="HX32" s="180">
        <v>631.68610186776323</v>
      </c>
      <c r="HY32" s="180">
        <v>687.74098867088719</v>
      </c>
      <c r="HZ32" s="180">
        <v>787.34740305419245</v>
      </c>
      <c r="IA32" s="181">
        <v>772.16173351902808</v>
      </c>
      <c r="IB32" s="180">
        <v>901.40001246481336</v>
      </c>
      <c r="IC32" s="180">
        <v>890.50576957156386</v>
      </c>
      <c r="ID32" s="180">
        <v>910.35543894224145</v>
      </c>
      <c r="IE32" s="180">
        <v>1007.6130130767094</v>
      </c>
      <c r="IF32" s="180">
        <v>2020.3239687818714</v>
      </c>
      <c r="IG32" s="181">
        <v>2185.1817006361125</v>
      </c>
      <c r="IH32" s="180">
        <v>2072.8661256454766</v>
      </c>
      <c r="II32" s="180">
        <v>2122.2655629721162</v>
      </c>
      <c r="IJ32" s="180">
        <v>2009.1329353042513</v>
      </c>
      <c r="IK32" s="180">
        <v>2056.4944198592489</v>
      </c>
      <c r="IL32" s="180">
        <v>2010.4939253779285</v>
      </c>
      <c r="IM32" s="180">
        <v>2032.8520755598308</v>
      </c>
      <c r="IN32" s="180">
        <v>1871.0576669660529</v>
      </c>
      <c r="IO32" s="100">
        <v>1698</v>
      </c>
      <c r="IP32" s="100">
        <v>1718</v>
      </c>
      <c r="IQ32" s="99">
        <v>1815</v>
      </c>
      <c r="IR32" s="99">
        <v>1811</v>
      </c>
      <c r="IS32" s="99">
        <v>1792</v>
      </c>
      <c r="IT32" s="99">
        <v>1760</v>
      </c>
      <c r="IU32" s="100">
        <v>1824</v>
      </c>
      <c r="IV32" s="99">
        <v>1882</v>
      </c>
      <c r="IW32" s="99">
        <v>1906</v>
      </c>
      <c r="IX32" s="99">
        <v>1917</v>
      </c>
      <c r="IY32" s="99">
        <v>2013</v>
      </c>
      <c r="IZ32" s="99">
        <v>1924</v>
      </c>
      <c r="JA32" s="99">
        <v>1991</v>
      </c>
      <c r="JB32" s="99">
        <v>2094</v>
      </c>
      <c r="JC32" s="99">
        <v>2068</v>
      </c>
      <c r="JD32" s="99">
        <v>2071</v>
      </c>
      <c r="JE32" s="99">
        <v>2157</v>
      </c>
      <c r="JF32" s="99">
        <v>2065</v>
      </c>
      <c r="JG32" s="99">
        <v>1954</v>
      </c>
      <c r="JH32" s="99">
        <v>1532.6212200150217</v>
      </c>
      <c r="JI32" s="99">
        <v>1658.5502483583516</v>
      </c>
      <c r="JJ32" s="99">
        <v>1470.6879302695636</v>
      </c>
      <c r="JK32" s="180">
        <v>1660.5091545656655</v>
      </c>
      <c r="JL32" s="180">
        <v>1465.5580117637735</v>
      </c>
      <c r="JM32" s="180">
        <v>1293.9017672937027</v>
      </c>
      <c r="JN32" s="180">
        <v>1221.0019849532532</v>
      </c>
      <c r="JO32" s="180">
        <v>1275.766718787198</v>
      </c>
      <c r="JP32" s="181">
        <v>1165.0689243119061</v>
      </c>
      <c r="JQ32" s="180">
        <v>1231.6512621131003</v>
      </c>
      <c r="JR32" s="180">
        <v>1215.1578995340146</v>
      </c>
      <c r="JS32" s="180">
        <v>1190.1558034474322</v>
      </c>
      <c r="JT32" s="180">
        <v>1221.1329182722377</v>
      </c>
      <c r="JU32" s="180">
        <v>1143.4194196664218</v>
      </c>
      <c r="JV32" s="181">
        <v>1220.0705287179703</v>
      </c>
      <c r="JW32" s="180">
        <v>1321.650704140043</v>
      </c>
      <c r="JX32" s="180">
        <v>1255.2141769389773</v>
      </c>
      <c r="JY32" s="180">
        <v>1293.1102913067805</v>
      </c>
      <c r="JZ32" s="180">
        <v>1303.9430988581469</v>
      </c>
      <c r="KA32" s="180">
        <v>1278.326386745375</v>
      </c>
      <c r="KB32" s="180">
        <v>1339.4462254341524</v>
      </c>
      <c r="KC32" s="180">
        <v>1321.9012689140775</v>
      </c>
    </row>
    <row r="33" spans="1:289">
      <c r="A33" s="175" t="s">
        <v>56</v>
      </c>
      <c r="B33" s="100"/>
      <c r="C33" s="100"/>
      <c r="D33" s="99">
        <v>13281</v>
      </c>
      <c r="E33" s="99">
        <v>14198</v>
      </c>
      <c r="F33" s="99">
        <v>14667</v>
      </c>
      <c r="G33" s="99">
        <v>15380</v>
      </c>
      <c r="H33" s="100">
        <v>15523</v>
      </c>
      <c r="I33" s="99">
        <v>15716</v>
      </c>
      <c r="J33" s="99">
        <v>16168</v>
      </c>
      <c r="K33" s="99">
        <v>15941</v>
      </c>
      <c r="L33" s="99">
        <v>15874</v>
      </c>
      <c r="M33" s="99">
        <v>15858</v>
      </c>
      <c r="N33" s="99">
        <v>15547</v>
      </c>
      <c r="O33" s="99">
        <v>15768</v>
      </c>
      <c r="P33" s="99">
        <v>16096</v>
      </c>
      <c r="Q33" s="99">
        <v>16242</v>
      </c>
      <c r="R33" s="99">
        <v>16567</v>
      </c>
      <c r="S33" s="99">
        <v>16807</v>
      </c>
      <c r="T33" s="99">
        <v>17793</v>
      </c>
      <c r="U33" s="99">
        <v>17525</v>
      </c>
      <c r="V33" s="99">
        <v>17568</v>
      </c>
      <c r="W33" s="99">
        <v>17198</v>
      </c>
      <c r="X33" s="546">
        <v>19770</v>
      </c>
      <c r="Y33" s="180">
        <v>19032.640392154248</v>
      </c>
      <c r="Z33" s="180">
        <v>18781.337642949085</v>
      </c>
      <c r="AA33" s="180">
        <v>19355.204452081394</v>
      </c>
      <c r="AB33" s="180">
        <v>19616.685950673731</v>
      </c>
      <c r="AC33" s="180">
        <v>19724.406823282061</v>
      </c>
      <c r="AD33" s="181">
        <v>20274.620796294104</v>
      </c>
      <c r="AE33" s="180">
        <v>20185.445572624252</v>
      </c>
      <c r="AF33" s="180">
        <v>20528.320205130982</v>
      </c>
      <c r="AG33" s="180">
        <v>21222.843501896637</v>
      </c>
      <c r="AH33" s="180">
        <v>21786.785443524768</v>
      </c>
      <c r="AI33" s="180">
        <v>22125.654541932327</v>
      </c>
      <c r="AJ33" s="181">
        <v>23058.184538852987</v>
      </c>
      <c r="AK33" s="180">
        <v>23398.445776955723</v>
      </c>
      <c r="AL33" s="180">
        <v>22092.879586402421</v>
      </c>
      <c r="AM33" s="180">
        <v>21554.076263975174</v>
      </c>
      <c r="AN33" s="180">
        <v>20662.606072729115</v>
      </c>
      <c r="AO33" s="180">
        <v>21294.361368751201</v>
      </c>
      <c r="AP33" s="180">
        <v>20738.382044714916</v>
      </c>
      <c r="AQ33" s="180">
        <v>21238.293230287396</v>
      </c>
      <c r="AR33" s="533" t="e">
        <f t="shared" si="78"/>
        <v>#VALUE!</v>
      </c>
      <c r="AS33" s="534" t="e">
        <f t="shared" si="79"/>
        <v>#VALUE!</v>
      </c>
      <c r="AT33" s="534">
        <f t="shared" si="80"/>
        <v>296</v>
      </c>
      <c r="AU33" s="534">
        <f t="shared" si="81"/>
        <v>286</v>
      </c>
      <c r="AV33" s="534">
        <f t="shared" si="82"/>
        <v>300</v>
      </c>
      <c r="AW33" s="534">
        <f t="shared" si="83"/>
        <v>347</v>
      </c>
      <c r="AX33" s="534">
        <f t="shared" si="84"/>
        <v>325</v>
      </c>
      <c r="AY33" s="534">
        <f t="shared" si="85"/>
        <v>316</v>
      </c>
      <c r="AZ33" s="534">
        <f t="shared" si="86"/>
        <v>364</v>
      </c>
      <c r="BA33" s="534">
        <f t="shared" si="87"/>
        <v>357</v>
      </c>
      <c r="BB33" s="534">
        <f t="shared" si="88"/>
        <v>439</v>
      </c>
      <c r="BC33" s="534">
        <f t="shared" si="89"/>
        <v>394</v>
      </c>
      <c r="BD33" s="534">
        <f t="shared" si="90"/>
        <v>471</v>
      </c>
      <c r="BE33" s="534">
        <f t="shared" si="91"/>
        <v>499</v>
      </c>
      <c r="BF33" s="534">
        <f t="shared" si="92"/>
        <v>454</v>
      </c>
      <c r="BG33" s="534">
        <f t="shared" si="93"/>
        <v>481</v>
      </c>
      <c r="BH33" s="534">
        <f t="shared" si="94"/>
        <v>481</v>
      </c>
      <c r="BI33" s="534">
        <f t="shared" si="95"/>
        <v>495</v>
      </c>
      <c r="BJ33" s="534">
        <f t="shared" si="96"/>
        <v>509</v>
      </c>
      <c r="BK33" s="534">
        <f t="shared" si="97"/>
        <v>598.18649664916711</v>
      </c>
      <c r="BL33" s="534">
        <f t="shared" si="98"/>
        <v>602.21172050734208</v>
      </c>
      <c r="BM33" s="534">
        <f t="shared" si="99"/>
        <v>535.19713223271219</v>
      </c>
      <c r="BN33" s="186">
        <f t="shared" si="100"/>
        <v>601.3431499126184</v>
      </c>
      <c r="BO33" s="186">
        <f t="shared" si="101"/>
        <v>566.33143117439954</v>
      </c>
      <c r="BP33" s="186">
        <f t="shared" si="102"/>
        <v>569.36178009067544</v>
      </c>
      <c r="BQ33" s="186">
        <f t="shared" si="103"/>
        <v>582.39510331644442</v>
      </c>
      <c r="BR33" s="186">
        <f t="shared" si="104"/>
        <v>561.34130603206074</v>
      </c>
      <c r="BS33" s="186">
        <f t="shared" si="105"/>
        <v>593.53607410992868</v>
      </c>
      <c r="BT33" s="186">
        <f t="shared" si="106"/>
        <v>579.15158598122707</v>
      </c>
      <c r="BU33" s="186">
        <f t="shared" si="107"/>
        <v>613.19660501491512</v>
      </c>
      <c r="BV33" s="186">
        <f t="shared" si="108"/>
        <v>618.75415118710509</v>
      </c>
      <c r="BW33" s="186">
        <f t="shared" si="109"/>
        <v>609.50809035726752</v>
      </c>
      <c r="BX33" s="186">
        <f t="shared" si="110"/>
        <v>570.51449179763529</v>
      </c>
      <c r="BY33" s="186">
        <f t="shared" si="111"/>
        <v>603.19002404047944</v>
      </c>
      <c r="BZ33" s="186">
        <f t="shared" si="112"/>
        <v>687.88695038504079</v>
      </c>
      <c r="CA33" s="186">
        <f t="shared" si="113"/>
        <v>638.66992847671395</v>
      </c>
      <c r="CB33" s="186">
        <f t="shared" si="114"/>
        <v>673.72926728563982</v>
      </c>
      <c r="CC33" s="186">
        <f t="shared" si="115"/>
        <v>645.82731305582445</v>
      </c>
      <c r="CD33" s="186">
        <f t="shared" si="116"/>
        <v>710.07538862274919</v>
      </c>
      <c r="CE33" s="186">
        <f t="shared" si="117"/>
        <v>703.71197573942482</v>
      </c>
      <c r="CF33" s="186">
        <f t="shared" si="118"/>
        <v>712.88595215175621</v>
      </c>
      <c r="CG33" s="100" t="s">
        <v>326</v>
      </c>
      <c r="CH33" s="100" t="s">
        <v>326</v>
      </c>
      <c r="CI33" s="99">
        <v>133</v>
      </c>
      <c r="CJ33" s="99">
        <v>117</v>
      </c>
      <c r="CK33" s="99">
        <v>140</v>
      </c>
      <c r="CL33" s="99">
        <v>141</v>
      </c>
      <c r="CM33" s="100">
        <v>134</v>
      </c>
      <c r="CN33" s="99">
        <v>119</v>
      </c>
      <c r="CO33" s="99">
        <v>130</v>
      </c>
      <c r="CP33" s="99">
        <v>133</v>
      </c>
      <c r="CQ33" s="99">
        <v>191</v>
      </c>
      <c r="CR33" s="99">
        <v>151</v>
      </c>
      <c r="CS33" s="99">
        <v>182</v>
      </c>
      <c r="CT33" s="99">
        <v>203</v>
      </c>
      <c r="CU33" s="99">
        <v>203</v>
      </c>
      <c r="CV33" s="99">
        <v>202</v>
      </c>
      <c r="CW33" s="99">
        <v>202</v>
      </c>
      <c r="CX33" s="99">
        <v>198</v>
      </c>
      <c r="CY33" s="99">
        <v>199</v>
      </c>
      <c r="CZ33" s="99">
        <v>264.9707570181701</v>
      </c>
      <c r="DA33" s="99">
        <v>250.85470287462374</v>
      </c>
      <c r="DB33" s="99">
        <v>201.38407010762</v>
      </c>
      <c r="DC33" s="180">
        <v>206.14826772251038</v>
      </c>
      <c r="DD33" s="180">
        <v>201.41954595720503</v>
      </c>
      <c r="DE33" s="180">
        <v>193.92424635785486</v>
      </c>
      <c r="DF33" s="180">
        <v>193.15217378134844</v>
      </c>
      <c r="DG33" s="180">
        <v>183.8304419788287</v>
      </c>
      <c r="DH33" s="181">
        <v>195.1448668587642</v>
      </c>
      <c r="DI33" s="180">
        <v>194.41706141704526</v>
      </c>
      <c r="DJ33" s="180">
        <v>196.64548208146417</v>
      </c>
      <c r="DK33" s="180">
        <v>209.12787726398082</v>
      </c>
      <c r="DL33" s="180">
        <v>204.66345406663993</v>
      </c>
      <c r="DM33" s="180">
        <v>199.61668738466219</v>
      </c>
      <c r="DN33" s="181">
        <v>195.16613429731296</v>
      </c>
      <c r="DO33" s="180">
        <v>209.42018010936039</v>
      </c>
      <c r="DP33" s="180">
        <v>204.41757594702293</v>
      </c>
      <c r="DQ33" s="180">
        <v>201.34696310227832</v>
      </c>
      <c r="DR33" s="180">
        <v>188.66336568800727</v>
      </c>
      <c r="DS33" s="180">
        <v>218.32055596293844</v>
      </c>
      <c r="DT33" s="180">
        <v>188.71151103932544</v>
      </c>
      <c r="DU33" s="180">
        <v>187.16288378030148</v>
      </c>
      <c r="DV33" s="100" t="s">
        <v>326</v>
      </c>
      <c r="DW33" s="100" t="s">
        <v>326</v>
      </c>
      <c r="DX33" s="99">
        <v>163</v>
      </c>
      <c r="DY33" s="99">
        <v>169</v>
      </c>
      <c r="DZ33" s="99">
        <v>160</v>
      </c>
      <c r="EA33" s="99">
        <v>206</v>
      </c>
      <c r="EB33" s="100">
        <v>191</v>
      </c>
      <c r="EC33" s="99">
        <v>197</v>
      </c>
      <c r="ED33" s="99">
        <v>234</v>
      </c>
      <c r="EE33" s="99">
        <v>224</v>
      </c>
      <c r="EF33" s="99">
        <v>248</v>
      </c>
      <c r="EG33" s="99">
        <v>243</v>
      </c>
      <c r="EH33" s="99">
        <v>289</v>
      </c>
      <c r="EI33" s="99">
        <v>296</v>
      </c>
      <c r="EJ33" s="99">
        <v>251</v>
      </c>
      <c r="EK33" s="99">
        <v>279</v>
      </c>
      <c r="EL33" s="99">
        <v>279</v>
      </c>
      <c r="EM33" s="99">
        <v>297</v>
      </c>
      <c r="EN33" s="99">
        <v>310</v>
      </c>
      <c r="EO33" s="99">
        <v>333.21573963099695</v>
      </c>
      <c r="EP33" s="99">
        <v>351.35701763271828</v>
      </c>
      <c r="EQ33" s="99">
        <v>333.81306212509213</v>
      </c>
      <c r="ER33" s="180">
        <v>395.19488219010805</v>
      </c>
      <c r="ES33" s="180">
        <v>364.91188521719448</v>
      </c>
      <c r="ET33" s="180">
        <v>375.43753373282055</v>
      </c>
      <c r="EU33" s="180">
        <v>389.24292953509604</v>
      </c>
      <c r="EV33" s="180">
        <v>377.51086405323201</v>
      </c>
      <c r="EW33" s="181">
        <v>398.39120725116447</v>
      </c>
      <c r="EX33" s="180">
        <v>384.73452456418175</v>
      </c>
      <c r="EY33" s="180">
        <v>416.55112293345098</v>
      </c>
      <c r="EZ33" s="180">
        <v>409.6262739231243</v>
      </c>
      <c r="FA33" s="180">
        <v>404.84463629062759</v>
      </c>
      <c r="FB33" s="180">
        <v>370.89780441297307</v>
      </c>
      <c r="FC33" s="181">
        <v>408.02388974316648</v>
      </c>
      <c r="FD33" s="180">
        <v>478.46677027568035</v>
      </c>
      <c r="FE33" s="180">
        <v>434.25235252969105</v>
      </c>
      <c r="FF33" s="180">
        <v>472.3823041833615</v>
      </c>
      <c r="FG33" s="180">
        <v>457.16394736781717</v>
      </c>
      <c r="FH33" s="180">
        <v>491.75483265981075</v>
      </c>
      <c r="FI33" s="180">
        <v>515.00046470009943</v>
      </c>
      <c r="FJ33" s="180">
        <v>525.7230683714547</v>
      </c>
      <c r="FK33" s="100" t="s">
        <v>326</v>
      </c>
      <c r="FL33" s="100" t="s">
        <v>326</v>
      </c>
      <c r="FM33" s="99">
        <v>33</v>
      </c>
      <c r="FN33" s="99">
        <v>41</v>
      </c>
      <c r="FO33" s="99">
        <v>39</v>
      </c>
      <c r="FP33" s="99">
        <v>46</v>
      </c>
      <c r="FQ33" s="100">
        <v>47</v>
      </c>
      <c r="FR33" s="99">
        <v>58</v>
      </c>
      <c r="FS33" s="99">
        <v>64</v>
      </c>
      <c r="FT33" s="99">
        <v>70</v>
      </c>
      <c r="FU33" s="99">
        <v>76</v>
      </c>
      <c r="FV33" s="99">
        <v>80</v>
      </c>
      <c r="FW33" s="99">
        <v>79</v>
      </c>
      <c r="FX33" s="99">
        <v>88</v>
      </c>
      <c r="FY33" s="99">
        <v>91</v>
      </c>
      <c r="FZ33" s="99">
        <v>129</v>
      </c>
      <c r="GA33" s="99">
        <v>133</v>
      </c>
      <c r="GB33" s="99">
        <v>181</v>
      </c>
      <c r="GC33" s="99">
        <v>165</v>
      </c>
      <c r="GD33" s="99">
        <v>169.31169533280604</v>
      </c>
      <c r="GE33" s="99">
        <v>182.7838763596946</v>
      </c>
      <c r="GF33" s="99">
        <v>201.62023413575798</v>
      </c>
      <c r="GG33" s="180">
        <v>240.91117570409264</v>
      </c>
      <c r="GH33" s="180">
        <v>210.81570493343241</v>
      </c>
      <c r="GI33" s="180">
        <v>247.5889077303836</v>
      </c>
      <c r="GJ33" s="180">
        <v>232.28289354857912</v>
      </c>
      <c r="GK33" s="180">
        <v>238.79432874582506</v>
      </c>
      <c r="GL33" s="181">
        <v>274.78113989930074</v>
      </c>
      <c r="GM33" s="180">
        <v>239.29742941252229</v>
      </c>
      <c r="GN33" s="180">
        <v>235.73288971247479</v>
      </c>
      <c r="GO33" s="180">
        <v>235.31448169338503</v>
      </c>
      <c r="GP33" s="180">
        <v>282.01898429210246</v>
      </c>
      <c r="GQ33" s="180">
        <v>226.16880924206018</v>
      </c>
      <c r="GR33" s="181">
        <v>267.79505558092734</v>
      </c>
      <c r="GS33" s="180">
        <v>343.43566512206309</v>
      </c>
      <c r="GT33" s="180">
        <v>321.17153256707843</v>
      </c>
      <c r="GU33" s="180">
        <v>334.400209448775</v>
      </c>
      <c r="GV33" s="180">
        <v>394.80956730618669</v>
      </c>
      <c r="GW33" s="180">
        <v>376.38056013931481</v>
      </c>
      <c r="GX33" s="180">
        <v>402.18250621838678</v>
      </c>
      <c r="GY33" s="180">
        <v>433.74563102499343</v>
      </c>
      <c r="GZ33" s="100" t="s">
        <v>326</v>
      </c>
      <c r="HA33" s="100" t="s">
        <v>326</v>
      </c>
      <c r="HB33" s="99">
        <v>519</v>
      </c>
      <c r="HC33" s="99">
        <v>548</v>
      </c>
      <c r="HD33" s="99">
        <v>645</v>
      </c>
      <c r="HE33" s="99">
        <v>716</v>
      </c>
      <c r="HF33" s="100">
        <v>770</v>
      </c>
      <c r="HG33" s="99">
        <v>865</v>
      </c>
      <c r="HH33" s="99">
        <v>948</v>
      </c>
      <c r="HI33" s="99">
        <v>973</v>
      </c>
      <c r="HJ33" s="99">
        <v>1063</v>
      </c>
      <c r="HK33" s="99">
        <v>1135</v>
      </c>
      <c r="HL33" s="99">
        <v>1175</v>
      </c>
      <c r="HM33" s="99">
        <v>1260</v>
      </c>
      <c r="HN33" s="99">
        <v>1359</v>
      </c>
      <c r="HO33" s="99">
        <v>1446</v>
      </c>
      <c r="HP33" s="99">
        <v>1632</v>
      </c>
      <c r="HQ33" s="99">
        <v>1778</v>
      </c>
      <c r="HR33" s="99">
        <v>2176</v>
      </c>
      <c r="HS33" s="99">
        <v>2215</v>
      </c>
      <c r="HT33" s="99">
        <v>2387</v>
      </c>
      <c r="HU33" s="99">
        <v>2375</v>
      </c>
      <c r="HV33" s="180">
        <v>2813.5909380904777</v>
      </c>
      <c r="HW33" s="180">
        <v>2884.9797319232198</v>
      </c>
      <c r="HX33" s="180">
        <v>3077.9703484054444</v>
      </c>
      <c r="HY33" s="180">
        <v>3148.1081986221802</v>
      </c>
      <c r="HZ33" s="180">
        <v>3371.3770724457322</v>
      </c>
      <c r="IA33" s="181">
        <v>3512.1632311345925</v>
      </c>
      <c r="IB33" s="180">
        <v>3605.5323487127057</v>
      </c>
      <c r="IC33" s="180">
        <v>3700.1591968693342</v>
      </c>
      <c r="ID33" s="180">
        <v>4057.8179464308369</v>
      </c>
      <c r="IE33" s="180">
        <v>4374.4914679152807</v>
      </c>
      <c r="IF33" s="180">
        <v>4463.4814291894645</v>
      </c>
      <c r="IG33" s="181">
        <v>4906.3805553674047</v>
      </c>
      <c r="IH33" s="180">
        <v>5065.5864981522263</v>
      </c>
      <c r="II33" s="180">
        <v>4574.089535565884</v>
      </c>
      <c r="IJ33" s="180">
        <v>4511.7472960227497</v>
      </c>
      <c r="IK33" s="180">
        <v>4297.7108266802197</v>
      </c>
      <c r="IL33" s="180">
        <v>4351.1411192827763</v>
      </c>
      <c r="IM33" s="180">
        <v>4255.389114302634</v>
      </c>
      <c r="IN33" s="180">
        <v>4534.1789366018111</v>
      </c>
      <c r="IO33" s="100"/>
      <c r="IP33" s="100"/>
      <c r="IQ33" s="99">
        <v>12433</v>
      </c>
      <c r="IR33" s="99">
        <v>13323</v>
      </c>
      <c r="IS33" s="99">
        <v>13683</v>
      </c>
      <c r="IT33" s="99">
        <v>14271</v>
      </c>
      <c r="IU33" s="100">
        <v>14381</v>
      </c>
      <c r="IV33" s="99">
        <v>14477</v>
      </c>
      <c r="IW33" s="99">
        <v>14792</v>
      </c>
      <c r="IX33" s="99">
        <v>14541</v>
      </c>
      <c r="IY33" s="99">
        <v>14296</v>
      </c>
      <c r="IZ33" s="99">
        <v>14249</v>
      </c>
      <c r="JA33" s="99">
        <v>13822</v>
      </c>
      <c r="JB33" s="99">
        <v>13921</v>
      </c>
      <c r="JC33" s="99">
        <v>14192</v>
      </c>
      <c r="JD33" s="99">
        <v>14186</v>
      </c>
      <c r="JE33" s="99">
        <v>14321</v>
      </c>
      <c r="JF33" s="99">
        <v>14353</v>
      </c>
      <c r="JG33" s="99">
        <v>14943</v>
      </c>
      <c r="JH33" s="99">
        <v>14542.501808018027</v>
      </c>
      <c r="JI33" s="99">
        <v>14396.004403132963</v>
      </c>
      <c r="JJ33" s="99">
        <v>14086.18263363153</v>
      </c>
      <c r="JK33" s="180">
        <v>15350.491839139564</v>
      </c>
      <c r="JL33" s="180">
        <v>15097.493922053902</v>
      </c>
      <c r="JM33" s="180">
        <v>15439.545525998947</v>
      </c>
      <c r="JN33" s="180">
        <v>15638.166409468957</v>
      </c>
      <c r="JO33" s="180">
        <v>15549.923018543006</v>
      </c>
      <c r="JP33" s="181">
        <v>15896.868451493201</v>
      </c>
      <c r="JQ33" s="180">
        <v>15765.494183063192</v>
      </c>
      <c r="JR33" s="180">
        <v>15995.764008908403</v>
      </c>
      <c r="JS33" s="180">
        <v>16343.15314112534</v>
      </c>
      <c r="JT33" s="180">
        <v>16588.373276754661</v>
      </c>
      <c r="JU33" s="180">
        <v>16929.226703409971</v>
      </c>
      <c r="JV33" s="181">
        <v>17401.463723588706</v>
      </c>
      <c r="JW33" s="180">
        <v>17554.351548921604</v>
      </c>
      <c r="JX33" s="180">
        <v>16724.465949938723</v>
      </c>
      <c r="JY33" s="180">
        <v>16223.569482145034</v>
      </c>
      <c r="JZ33" s="180">
        <v>15503.460224833958</v>
      </c>
      <c r="KA33" s="180">
        <v>15971.894449905549</v>
      </c>
      <c r="KB33" s="180">
        <v>15599.609487684209</v>
      </c>
      <c r="KC33" s="180">
        <v>15807.489112838941</v>
      </c>
    </row>
    <row r="34" spans="1:289">
      <c r="A34" s="175" t="s">
        <v>57</v>
      </c>
      <c r="B34" s="100">
        <v>9046</v>
      </c>
      <c r="C34" s="100">
        <v>9389</v>
      </c>
      <c r="D34" s="99">
        <v>9601</v>
      </c>
      <c r="E34" s="99">
        <v>10134</v>
      </c>
      <c r="F34" s="99">
        <v>10139</v>
      </c>
      <c r="G34" s="99">
        <v>10322</v>
      </c>
      <c r="H34" s="100">
        <v>10656</v>
      </c>
      <c r="I34" s="99">
        <v>10925</v>
      </c>
      <c r="J34" s="99">
        <v>10903</v>
      </c>
      <c r="K34" s="99">
        <v>10628</v>
      </c>
      <c r="L34" s="99">
        <v>10554</v>
      </c>
      <c r="M34" s="99">
        <v>10657</v>
      </c>
      <c r="N34" s="99">
        <v>10500</v>
      </c>
      <c r="O34" s="99">
        <v>10335</v>
      </c>
      <c r="P34" s="99">
        <v>10283</v>
      </c>
      <c r="Q34" s="99">
        <v>10122</v>
      </c>
      <c r="R34" s="99">
        <v>10396</v>
      </c>
      <c r="S34" s="99">
        <v>10077</v>
      </c>
      <c r="T34" s="99">
        <v>10075</v>
      </c>
      <c r="U34" s="99">
        <v>9732</v>
      </c>
      <c r="V34" s="99">
        <v>9750</v>
      </c>
      <c r="W34" s="99">
        <v>9369</v>
      </c>
      <c r="X34" s="546">
        <v>9260</v>
      </c>
      <c r="Y34" s="180">
        <v>9441.6313744395211</v>
      </c>
      <c r="Z34" s="180">
        <v>9356.8822254677762</v>
      </c>
      <c r="AA34" s="180">
        <v>9365.1990449519872</v>
      </c>
      <c r="AB34" s="180">
        <v>9248.4999018803428</v>
      </c>
      <c r="AC34" s="180">
        <v>9142.4899640104959</v>
      </c>
      <c r="AD34" s="181">
        <v>9403.0210574698885</v>
      </c>
      <c r="AE34" s="180">
        <v>9493.5096450788642</v>
      </c>
      <c r="AF34" s="180">
        <v>9493.9440229183692</v>
      </c>
      <c r="AG34" s="180">
        <v>9654.7914927524744</v>
      </c>
      <c r="AH34" s="180">
        <v>9702.4550786032542</v>
      </c>
      <c r="AI34" s="180">
        <v>10200.451680104841</v>
      </c>
      <c r="AJ34" s="181">
        <v>10174.204147183258</v>
      </c>
      <c r="AK34" s="180">
        <v>10397.021922739239</v>
      </c>
      <c r="AL34" s="180">
        <v>10131.762711513213</v>
      </c>
      <c r="AM34" s="180">
        <v>9951.0979388302912</v>
      </c>
      <c r="AN34" s="180">
        <v>9931.4911491571929</v>
      </c>
      <c r="AO34" s="180">
        <v>9906.8196841022364</v>
      </c>
      <c r="AP34" s="180">
        <v>10136.881828805286</v>
      </c>
      <c r="AQ34" s="180">
        <v>10211.927748100878</v>
      </c>
      <c r="AR34" s="533">
        <f t="shared" si="78"/>
        <v>609</v>
      </c>
      <c r="AS34" s="534">
        <f t="shared" si="79"/>
        <v>606</v>
      </c>
      <c r="AT34" s="534">
        <f t="shared" si="80"/>
        <v>658</v>
      </c>
      <c r="AU34" s="534">
        <f t="shared" si="81"/>
        <v>706</v>
      </c>
      <c r="AV34" s="534">
        <f t="shared" si="82"/>
        <v>704</v>
      </c>
      <c r="AW34" s="534">
        <f t="shared" si="83"/>
        <v>713</v>
      </c>
      <c r="AX34" s="534">
        <f t="shared" si="84"/>
        <v>689</v>
      </c>
      <c r="AY34" s="534">
        <f t="shared" si="85"/>
        <v>748</v>
      </c>
      <c r="AZ34" s="534">
        <f t="shared" si="86"/>
        <v>763</v>
      </c>
      <c r="BA34" s="534">
        <f t="shared" si="87"/>
        <v>797</v>
      </c>
      <c r="BB34" s="534">
        <f t="shared" si="88"/>
        <v>825</v>
      </c>
      <c r="BC34" s="534">
        <f t="shared" si="89"/>
        <v>782</v>
      </c>
      <c r="BD34" s="534">
        <f t="shared" si="90"/>
        <v>874</v>
      </c>
      <c r="BE34" s="534">
        <f t="shared" si="91"/>
        <v>906</v>
      </c>
      <c r="BF34" s="534">
        <f t="shared" si="92"/>
        <v>967</v>
      </c>
      <c r="BG34" s="534">
        <f t="shared" si="93"/>
        <v>930</v>
      </c>
      <c r="BH34" s="534">
        <f t="shared" si="94"/>
        <v>1037</v>
      </c>
      <c r="BI34" s="534">
        <f t="shared" si="95"/>
        <v>978</v>
      </c>
      <c r="BJ34" s="534">
        <f t="shared" si="96"/>
        <v>972</v>
      </c>
      <c r="BK34" s="534">
        <f t="shared" si="97"/>
        <v>916.76648466000006</v>
      </c>
      <c r="BL34" s="534">
        <f t="shared" si="98"/>
        <v>908.77314801689067</v>
      </c>
      <c r="BM34" s="534">
        <f t="shared" si="99"/>
        <v>877.18118226395472</v>
      </c>
      <c r="BN34" s="186">
        <f t="shared" si="100"/>
        <v>887.02063602754174</v>
      </c>
      <c r="BO34" s="186">
        <f t="shared" si="101"/>
        <v>833.74643626276077</v>
      </c>
      <c r="BP34" s="186">
        <f t="shared" si="102"/>
        <v>841.99544376881352</v>
      </c>
      <c r="BQ34" s="186">
        <f t="shared" si="103"/>
        <v>864.42711569624055</v>
      </c>
      <c r="BR34" s="186">
        <f t="shared" si="104"/>
        <v>847.91062266945767</v>
      </c>
      <c r="BS34" s="186">
        <f t="shared" si="105"/>
        <v>857.79412920449386</v>
      </c>
      <c r="BT34" s="186">
        <f t="shared" si="106"/>
        <v>925.22268589981115</v>
      </c>
      <c r="BU34" s="186">
        <f t="shared" si="107"/>
        <v>902.05391431418286</v>
      </c>
      <c r="BV34" s="186">
        <f t="shared" si="108"/>
        <v>932.68433438118291</v>
      </c>
      <c r="BW34" s="186">
        <f t="shared" si="109"/>
        <v>912.64370391089005</v>
      </c>
      <c r="BX34" s="186">
        <f t="shared" si="110"/>
        <v>956.47341517637517</v>
      </c>
      <c r="BY34" s="186">
        <f t="shared" si="111"/>
        <v>887.59912527546817</v>
      </c>
      <c r="BZ34" s="186">
        <f t="shared" si="112"/>
        <v>921.49742437674377</v>
      </c>
      <c r="CA34" s="186">
        <f t="shared" si="113"/>
        <v>892.70251687396853</v>
      </c>
      <c r="CB34" s="186">
        <f t="shared" si="114"/>
        <v>833.81968433985946</v>
      </c>
      <c r="CC34" s="186">
        <f t="shared" si="115"/>
        <v>835.59856739851432</v>
      </c>
      <c r="CD34" s="186">
        <f t="shared" si="116"/>
        <v>838.4298338198754</v>
      </c>
      <c r="CE34" s="186">
        <f t="shared" si="117"/>
        <v>861.91572626229163</v>
      </c>
      <c r="CF34" s="186">
        <f t="shared" si="118"/>
        <v>917.72899774673874</v>
      </c>
      <c r="CG34" s="100">
        <v>522</v>
      </c>
      <c r="CH34" s="100">
        <v>527</v>
      </c>
      <c r="CI34" s="99">
        <v>570</v>
      </c>
      <c r="CJ34" s="99">
        <v>632</v>
      </c>
      <c r="CK34" s="99">
        <v>622</v>
      </c>
      <c r="CL34" s="99">
        <v>636</v>
      </c>
      <c r="CM34" s="100">
        <v>626</v>
      </c>
      <c r="CN34" s="99">
        <v>667</v>
      </c>
      <c r="CO34" s="99">
        <v>681</v>
      </c>
      <c r="CP34" s="99">
        <v>689</v>
      </c>
      <c r="CQ34" s="99">
        <v>713</v>
      </c>
      <c r="CR34" s="99">
        <v>660</v>
      </c>
      <c r="CS34" s="99">
        <v>762</v>
      </c>
      <c r="CT34" s="99">
        <v>786</v>
      </c>
      <c r="CU34" s="99">
        <v>814</v>
      </c>
      <c r="CV34" s="99">
        <v>786</v>
      </c>
      <c r="CW34" s="99">
        <v>904</v>
      </c>
      <c r="CX34" s="99">
        <v>863</v>
      </c>
      <c r="CY34" s="99">
        <v>848</v>
      </c>
      <c r="CZ34" s="99">
        <v>819.97511932390194</v>
      </c>
      <c r="DA34" s="99">
        <v>778.42078150327575</v>
      </c>
      <c r="DB34" s="99">
        <v>747.70223497623124</v>
      </c>
      <c r="DC34" s="180">
        <v>762.27743937184607</v>
      </c>
      <c r="DD34" s="180">
        <v>730.42729971543167</v>
      </c>
      <c r="DE34" s="180">
        <v>744.51654184894221</v>
      </c>
      <c r="DF34" s="180">
        <v>757.98285150429319</v>
      </c>
      <c r="DG34" s="180">
        <v>748.82193616446818</v>
      </c>
      <c r="DH34" s="181">
        <v>766.52344807927977</v>
      </c>
      <c r="DI34" s="180">
        <v>813.87677004494606</v>
      </c>
      <c r="DJ34" s="180">
        <v>802.02678152047008</v>
      </c>
      <c r="DK34" s="180">
        <v>814.34780363863797</v>
      </c>
      <c r="DL34" s="180">
        <v>812.32581001080121</v>
      </c>
      <c r="DM34" s="180">
        <v>851.07280702117589</v>
      </c>
      <c r="DN34" s="181">
        <v>811.23790868516312</v>
      </c>
      <c r="DO34" s="180">
        <v>817.74331646617236</v>
      </c>
      <c r="DP34" s="180">
        <v>794.49557101129994</v>
      </c>
      <c r="DQ34" s="180">
        <v>727.43472836731155</v>
      </c>
      <c r="DR34" s="180">
        <v>733.05730073585528</v>
      </c>
      <c r="DS34" s="180">
        <v>730.18984983296809</v>
      </c>
      <c r="DT34" s="180">
        <v>770.2320402406566</v>
      </c>
      <c r="DU34" s="180">
        <v>793.78929965959162</v>
      </c>
      <c r="DV34" s="100">
        <v>87</v>
      </c>
      <c r="DW34" s="100">
        <v>79</v>
      </c>
      <c r="DX34" s="99">
        <v>88</v>
      </c>
      <c r="DY34" s="99">
        <v>74</v>
      </c>
      <c r="DZ34" s="99">
        <v>82</v>
      </c>
      <c r="EA34" s="99">
        <v>77</v>
      </c>
      <c r="EB34" s="100">
        <v>63</v>
      </c>
      <c r="EC34" s="99">
        <v>81</v>
      </c>
      <c r="ED34" s="99">
        <v>82</v>
      </c>
      <c r="EE34" s="99">
        <v>108</v>
      </c>
      <c r="EF34" s="99">
        <v>112</v>
      </c>
      <c r="EG34" s="99">
        <v>122</v>
      </c>
      <c r="EH34" s="99">
        <v>112</v>
      </c>
      <c r="EI34" s="99">
        <v>120</v>
      </c>
      <c r="EJ34" s="99">
        <v>153</v>
      </c>
      <c r="EK34" s="99">
        <v>144</v>
      </c>
      <c r="EL34" s="99">
        <v>133</v>
      </c>
      <c r="EM34" s="99">
        <v>115</v>
      </c>
      <c r="EN34" s="99">
        <v>124</v>
      </c>
      <c r="EO34" s="99">
        <v>96.791365336098153</v>
      </c>
      <c r="EP34" s="99">
        <v>130.35236651361492</v>
      </c>
      <c r="EQ34" s="99">
        <v>129.47894728772346</v>
      </c>
      <c r="ER34" s="180">
        <v>124.74319665569573</v>
      </c>
      <c r="ES34" s="180">
        <v>103.31913654732914</v>
      </c>
      <c r="ET34" s="180">
        <v>97.478901919871262</v>
      </c>
      <c r="EU34" s="180">
        <v>106.44426419194734</v>
      </c>
      <c r="EV34" s="180">
        <v>99.088686504989511</v>
      </c>
      <c r="EW34" s="181">
        <v>91.270681125214054</v>
      </c>
      <c r="EX34" s="180">
        <v>111.34591585486507</v>
      </c>
      <c r="EY34" s="180">
        <v>100.02713279371282</v>
      </c>
      <c r="EZ34" s="180">
        <v>118.33653074254489</v>
      </c>
      <c r="FA34" s="180">
        <v>100.31789390008882</v>
      </c>
      <c r="FB34" s="180">
        <v>105.40060815519931</v>
      </c>
      <c r="FC34" s="181">
        <v>76.361216590305034</v>
      </c>
      <c r="FD34" s="180">
        <v>103.75410791057136</v>
      </c>
      <c r="FE34" s="180">
        <v>98.206945862668533</v>
      </c>
      <c r="FF34" s="180">
        <v>106.3849559725479</v>
      </c>
      <c r="FG34" s="180">
        <v>102.54126666265904</v>
      </c>
      <c r="FH34" s="180">
        <v>108.23998398690728</v>
      </c>
      <c r="FI34" s="180">
        <v>91.68368602163504</v>
      </c>
      <c r="FJ34" s="180">
        <v>123.93969808714706</v>
      </c>
      <c r="FK34" s="100">
        <v>44</v>
      </c>
      <c r="FL34" s="100">
        <v>24</v>
      </c>
      <c r="FM34" s="99">
        <v>56</v>
      </c>
      <c r="FN34" s="99">
        <v>33</v>
      </c>
      <c r="FO34" s="99">
        <v>30</v>
      </c>
      <c r="FP34" s="99">
        <v>44</v>
      </c>
      <c r="FQ34" s="100">
        <v>30</v>
      </c>
      <c r="FR34" s="99">
        <v>39</v>
      </c>
      <c r="FS34" s="99">
        <v>23</v>
      </c>
      <c r="FT34" s="99">
        <v>33</v>
      </c>
      <c r="FU34" s="99">
        <v>34</v>
      </c>
      <c r="FV34" s="99">
        <v>44</v>
      </c>
      <c r="FW34" s="99">
        <v>36</v>
      </c>
      <c r="FX34" s="99">
        <v>40</v>
      </c>
      <c r="FY34" s="99">
        <v>44</v>
      </c>
      <c r="FZ34" s="99">
        <v>49</v>
      </c>
      <c r="GA34" s="99">
        <v>53</v>
      </c>
      <c r="GB34" s="99">
        <v>65</v>
      </c>
      <c r="GC34" s="99">
        <v>69</v>
      </c>
      <c r="GD34" s="99">
        <v>81.510150245442404</v>
      </c>
      <c r="GE34" s="99">
        <v>83.905350889363348</v>
      </c>
      <c r="GF34" s="99">
        <v>65.955839560913674</v>
      </c>
      <c r="GG34" s="180">
        <v>77.585072296907484</v>
      </c>
      <c r="GH34" s="180">
        <v>99.603924090779927</v>
      </c>
      <c r="GI34" s="180">
        <v>80.994042722819913</v>
      </c>
      <c r="GJ34" s="180">
        <v>107.4316772823323</v>
      </c>
      <c r="GK34" s="180">
        <v>81.333329790466024</v>
      </c>
      <c r="GL34" s="181">
        <v>94.666531144295462</v>
      </c>
      <c r="GM34" s="180">
        <v>82.545281387521499</v>
      </c>
      <c r="GN34" s="180">
        <v>74.709761410993252</v>
      </c>
      <c r="GO34" s="180">
        <v>88.814324744442615</v>
      </c>
      <c r="GP34" s="180">
        <v>71.928958945314136</v>
      </c>
      <c r="GQ34" s="180">
        <v>76.922248252536249</v>
      </c>
      <c r="GR34" s="181">
        <v>56.306663149350989</v>
      </c>
      <c r="GS34" s="180">
        <v>86.086558067892355</v>
      </c>
      <c r="GT34" s="180">
        <v>82.453144241268376</v>
      </c>
      <c r="GU34" s="180">
        <v>76.868993197491207</v>
      </c>
      <c r="GV34" s="180">
        <v>87.267304761512037</v>
      </c>
      <c r="GW34" s="180">
        <v>85.867952298750751</v>
      </c>
      <c r="GX34" s="180">
        <v>100.16697474570016</v>
      </c>
      <c r="GY34" s="180">
        <v>105.51581817440332</v>
      </c>
      <c r="GZ34" s="100">
        <v>129</v>
      </c>
      <c r="HA34" s="100">
        <v>122</v>
      </c>
      <c r="HB34" s="99">
        <v>140</v>
      </c>
      <c r="HC34" s="99">
        <v>145</v>
      </c>
      <c r="HD34" s="99">
        <v>133</v>
      </c>
      <c r="HE34" s="99">
        <v>171</v>
      </c>
      <c r="HF34" s="100">
        <v>148</v>
      </c>
      <c r="HG34" s="99">
        <v>174</v>
      </c>
      <c r="HH34" s="99">
        <v>134</v>
      </c>
      <c r="HI34" s="99">
        <v>169</v>
      </c>
      <c r="HJ34" s="99">
        <v>158</v>
      </c>
      <c r="HK34" s="99">
        <v>159</v>
      </c>
      <c r="HL34" s="99">
        <v>162</v>
      </c>
      <c r="HM34" s="99">
        <v>198</v>
      </c>
      <c r="HN34" s="99">
        <v>201</v>
      </c>
      <c r="HO34" s="99">
        <v>206</v>
      </c>
      <c r="HP34" s="99">
        <v>191</v>
      </c>
      <c r="HQ34" s="99">
        <v>190</v>
      </c>
      <c r="HR34" s="99">
        <v>209</v>
      </c>
      <c r="HS34" s="99">
        <v>258</v>
      </c>
      <c r="HT34" s="99">
        <v>274</v>
      </c>
      <c r="HU34" s="99">
        <v>281</v>
      </c>
      <c r="HV34" s="180">
        <v>312.77543740676538</v>
      </c>
      <c r="HW34" s="180">
        <v>335.38736744143381</v>
      </c>
      <c r="HX34" s="180">
        <v>387.34211272961494</v>
      </c>
      <c r="HY34" s="180">
        <v>379.12826018862296</v>
      </c>
      <c r="HZ34" s="180">
        <v>392.8370794049074</v>
      </c>
      <c r="IA34" s="181">
        <v>461.61400672766331</v>
      </c>
      <c r="IB34" s="180">
        <v>465.56582602060541</v>
      </c>
      <c r="IC34" s="180">
        <v>537.35342956030047</v>
      </c>
      <c r="ID34" s="180">
        <v>522.92747819018371</v>
      </c>
      <c r="IE34" s="180">
        <v>659.24977183269868</v>
      </c>
      <c r="IF34" s="180">
        <v>719.93414958754829</v>
      </c>
      <c r="IG34" s="181">
        <v>794.03282499315503</v>
      </c>
      <c r="IH34" s="180">
        <v>781.60641125870052</v>
      </c>
      <c r="II34" s="180">
        <v>752.20750196965366</v>
      </c>
      <c r="IJ34" s="180">
        <v>787.20746146020031</v>
      </c>
      <c r="IK34" s="180">
        <v>832.36799736446608</v>
      </c>
      <c r="IL34" s="180">
        <v>875.86098378230542</v>
      </c>
      <c r="IM34" s="180">
        <v>874.06603903716416</v>
      </c>
      <c r="IN34" s="180">
        <v>904.71092310804988</v>
      </c>
      <c r="IO34" s="100">
        <v>8264</v>
      </c>
      <c r="IP34" s="100">
        <v>8637</v>
      </c>
      <c r="IQ34" s="99">
        <v>8747</v>
      </c>
      <c r="IR34" s="99">
        <v>9250</v>
      </c>
      <c r="IS34" s="99">
        <v>9272</v>
      </c>
      <c r="IT34" s="99">
        <v>9394</v>
      </c>
      <c r="IU34" s="100">
        <v>9789</v>
      </c>
      <c r="IV34" s="99">
        <v>9964</v>
      </c>
      <c r="IW34" s="99">
        <v>9983</v>
      </c>
      <c r="IX34" s="99">
        <v>9629</v>
      </c>
      <c r="IY34" s="99">
        <v>9537</v>
      </c>
      <c r="IZ34" s="99">
        <v>9672</v>
      </c>
      <c r="JA34" s="99">
        <v>9428</v>
      </c>
      <c r="JB34" s="99">
        <v>9191</v>
      </c>
      <c r="JC34" s="99">
        <v>9071</v>
      </c>
      <c r="JD34" s="99">
        <v>8937</v>
      </c>
      <c r="JE34" s="99">
        <v>9115</v>
      </c>
      <c r="JF34" s="99">
        <v>8844</v>
      </c>
      <c r="JG34" s="99">
        <v>8825</v>
      </c>
      <c r="JH34" s="99">
        <v>8475.7233650945582</v>
      </c>
      <c r="JI34" s="99">
        <v>8483.3215010937456</v>
      </c>
      <c r="JJ34" s="99">
        <v>8144.8629781751315</v>
      </c>
      <c r="JK34" s="180">
        <v>8155.2507322706833</v>
      </c>
      <c r="JL34" s="180">
        <v>8086.2031416392101</v>
      </c>
      <c r="JM34" s="180">
        <v>8058.1506279344858</v>
      </c>
      <c r="JN34" s="180">
        <v>7884.4312296691432</v>
      </c>
      <c r="JO34" s="180">
        <v>7817.5410580281332</v>
      </c>
      <c r="JP34" s="181">
        <v>7992.5546986668405</v>
      </c>
      <c r="JQ34" s="180">
        <v>8010.1977206355168</v>
      </c>
      <c r="JR34" s="180">
        <v>7996.8070661139673</v>
      </c>
      <c r="JS34" s="180">
        <v>8120.7572798830906</v>
      </c>
      <c r="JT34" s="180">
        <v>8124.1597480177797</v>
      </c>
      <c r="JU34" s="180">
        <v>8533.2829687132798</v>
      </c>
      <c r="JV34" s="181">
        <v>8592.244443622254</v>
      </c>
      <c r="JW34" s="180">
        <v>8775.2098384222445</v>
      </c>
      <c r="JX34" s="180">
        <v>8557.9044380256964</v>
      </c>
      <c r="JY34" s="180">
        <v>8456.0756552741441</v>
      </c>
      <c r="JZ34" s="180">
        <v>8322.7587562162989</v>
      </c>
      <c r="KA34" s="180">
        <v>8362.0135568007172</v>
      </c>
      <c r="KB34" s="180">
        <v>8541.2454808111197</v>
      </c>
      <c r="KC34" s="180">
        <v>8526.6107833590213</v>
      </c>
    </row>
    <row r="35" spans="1:289">
      <c r="A35" s="175" t="s">
        <v>58</v>
      </c>
      <c r="B35" s="100">
        <v>8811</v>
      </c>
      <c r="C35" s="100">
        <v>9042</v>
      </c>
      <c r="D35" s="99">
        <v>9485</v>
      </c>
      <c r="E35" s="99">
        <v>10038</v>
      </c>
      <c r="F35" s="99">
        <v>10374</v>
      </c>
      <c r="G35" s="99">
        <v>12425</v>
      </c>
      <c r="H35" s="100">
        <v>13052</v>
      </c>
      <c r="I35" s="99">
        <v>13892</v>
      </c>
      <c r="J35" s="99">
        <v>14551</v>
      </c>
      <c r="K35" s="99">
        <v>15127</v>
      </c>
      <c r="L35" s="99">
        <v>16270</v>
      </c>
      <c r="M35" s="99">
        <v>16378</v>
      </c>
      <c r="N35" s="99">
        <v>15201</v>
      </c>
      <c r="O35" s="99">
        <v>15740</v>
      </c>
      <c r="P35" s="99">
        <v>16455</v>
      </c>
      <c r="Q35" s="99">
        <v>17149</v>
      </c>
      <c r="R35" s="100">
        <v>18815</v>
      </c>
      <c r="S35" s="100">
        <v>19904</v>
      </c>
      <c r="T35" s="100">
        <v>20956</v>
      </c>
      <c r="U35" s="100">
        <v>21182</v>
      </c>
      <c r="V35" s="100">
        <v>21891</v>
      </c>
      <c r="W35" s="99">
        <v>23038</v>
      </c>
      <c r="X35" s="546">
        <v>28710</v>
      </c>
      <c r="Y35" s="180">
        <v>23737.793250911993</v>
      </c>
      <c r="Z35" s="180">
        <v>23759.325996392141</v>
      </c>
      <c r="AA35" s="180">
        <v>23076.551901950152</v>
      </c>
      <c r="AB35" s="180">
        <v>22864.194883030799</v>
      </c>
      <c r="AC35" s="180">
        <v>23665.991223366433</v>
      </c>
      <c r="AD35" s="181">
        <v>24057.972425460721</v>
      </c>
      <c r="AE35" s="180">
        <v>23953.835596754237</v>
      </c>
      <c r="AF35" s="180">
        <v>23682.171605494357</v>
      </c>
      <c r="AG35" s="180">
        <v>23744.800154520421</v>
      </c>
      <c r="AH35" s="180">
        <v>24378.087013393193</v>
      </c>
      <c r="AI35" s="180">
        <v>25075.926311018924</v>
      </c>
      <c r="AJ35" s="181">
        <v>26182.953245859266</v>
      </c>
      <c r="AK35" s="180">
        <v>25807.167765813963</v>
      </c>
      <c r="AL35" s="180">
        <v>24446.906505428211</v>
      </c>
      <c r="AM35" s="180">
        <v>23193.454637817835</v>
      </c>
      <c r="AN35" s="180">
        <v>22695.766320421881</v>
      </c>
      <c r="AO35" s="180">
        <v>22513.256615149035</v>
      </c>
      <c r="AP35" s="180">
        <v>22654.040766832237</v>
      </c>
      <c r="AQ35" s="180">
        <v>23172.609524032356</v>
      </c>
      <c r="AR35" s="533">
        <f t="shared" si="78"/>
        <v>603</v>
      </c>
      <c r="AS35" s="534">
        <f t="shared" si="79"/>
        <v>582</v>
      </c>
      <c r="AT35" s="534">
        <f t="shared" si="80"/>
        <v>669</v>
      </c>
      <c r="AU35" s="534">
        <f t="shared" si="81"/>
        <v>652</v>
      </c>
      <c r="AV35" s="534">
        <f t="shared" si="82"/>
        <v>746</v>
      </c>
      <c r="AW35" s="534">
        <f t="shared" si="83"/>
        <v>922</v>
      </c>
      <c r="AX35" s="534">
        <f t="shared" si="84"/>
        <v>956</v>
      </c>
      <c r="AY35" s="534">
        <f t="shared" si="85"/>
        <v>1119</v>
      </c>
      <c r="AZ35" s="534">
        <f t="shared" si="86"/>
        <v>1124</v>
      </c>
      <c r="BA35" s="534">
        <f t="shared" si="87"/>
        <v>1247</v>
      </c>
      <c r="BB35" s="534">
        <f t="shared" si="88"/>
        <v>1378</v>
      </c>
      <c r="BC35" s="534">
        <f t="shared" si="89"/>
        <v>1415</v>
      </c>
      <c r="BD35" s="534">
        <f t="shared" si="90"/>
        <v>1441</v>
      </c>
      <c r="BE35" s="534">
        <f t="shared" si="91"/>
        <v>1556</v>
      </c>
      <c r="BF35" s="534">
        <f t="shared" si="92"/>
        <v>1747</v>
      </c>
      <c r="BG35" s="534">
        <f t="shared" si="93"/>
        <v>1930</v>
      </c>
      <c r="BH35" s="534">
        <f t="shared" si="94"/>
        <v>2127</v>
      </c>
      <c r="BI35" s="534">
        <f t="shared" si="95"/>
        <v>2318</v>
      </c>
      <c r="BJ35" s="534">
        <f t="shared" si="96"/>
        <v>2440</v>
      </c>
      <c r="BK35" s="534">
        <f t="shared" si="97"/>
        <v>2233.9441855177347</v>
      </c>
      <c r="BL35" s="534">
        <f t="shared" si="98"/>
        <v>2352.8790342990501</v>
      </c>
      <c r="BM35" s="534">
        <f t="shared" si="99"/>
        <v>2495.7588262851646</v>
      </c>
      <c r="BN35" s="186">
        <f t="shared" si="100"/>
        <v>2479.0312780586532</v>
      </c>
      <c r="BO35" s="186">
        <f t="shared" si="101"/>
        <v>2510.5356946932779</v>
      </c>
      <c r="BP35" s="186">
        <f t="shared" si="102"/>
        <v>2409.8109949038508</v>
      </c>
      <c r="BQ35" s="186">
        <f t="shared" si="103"/>
        <v>2431.4095783907701</v>
      </c>
      <c r="BR35" s="186">
        <f t="shared" si="104"/>
        <v>2348.6085706356503</v>
      </c>
      <c r="BS35" s="186">
        <f t="shared" si="105"/>
        <v>2415.8723664785712</v>
      </c>
      <c r="BT35" s="186">
        <f t="shared" si="106"/>
        <v>2348.6917653431715</v>
      </c>
      <c r="BU35" s="186">
        <f t="shared" si="107"/>
        <v>2312.8215946570867</v>
      </c>
      <c r="BV35" s="186">
        <f t="shared" si="108"/>
        <v>2216.7792885504095</v>
      </c>
      <c r="BW35" s="186">
        <f t="shared" si="109"/>
        <v>2177.9513326700062</v>
      </c>
      <c r="BX35" s="186">
        <f t="shared" si="110"/>
        <v>2170.6791138435128</v>
      </c>
      <c r="BY35" s="186">
        <f t="shared" si="111"/>
        <v>2253.2389283904154</v>
      </c>
      <c r="BZ35" s="186">
        <f t="shared" si="112"/>
        <v>2437.1685286872344</v>
      </c>
      <c r="CA35" s="186">
        <f t="shared" si="113"/>
        <v>2295.682801764694</v>
      </c>
      <c r="CB35" s="186">
        <f t="shared" si="114"/>
        <v>2081.9274661360605</v>
      </c>
      <c r="CC35" s="186">
        <f t="shared" si="115"/>
        <v>2062.177342134115</v>
      </c>
      <c r="CD35" s="186">
        <f t="shared" si="116"/>
        <v>2137.4806339015836</v>
      </c>
      <c r="CE35" s="186">
        <f t="shared" si="117"/>
        <v>2139.2642051131106</v>
      </c>
      <c r="CF35" s="186">
        <f t="shared" si="118"/>
        <v>2189.2635013358158</v>
      </c>
      <c r="CG35" s="100">
        <v>131</v>
      </c>
      <c r="CH35" s="100">
        <v>120</v>
      </c>
      <c r="CI35" s="99">
        <v>145</v>
      </c>
      <c r="CJ35" s="99">
        <v>131</v>
      </c>
      <c r="CK35" s="99">
        <v>157</v>
      </c>
      <c r="CL35" s="99">
        <v>198</v>
      </c>
      <c r="CM35" s="100">
        <v>216</v>
      </c>
      <c r="CN35" s="99">
        <v>228</v>
      </c>
      <c r="CO35" s="99">
        <v>204</v>
      </c>
      <c r="CP35" s="99">
        <v>249</v>
      </c>
      <c r="CQ35" s="99">
        <v>255</v>
      </c>
      <c r="CR35" s="99">
        <v>276</v>
      </c>
      <c r="CS35" s="99">
        <v>203</v>
      </c>
      <c r="CT35" s="99">
        <v>226</v>
      </c>
      <c r="CU35" s="99">
        <v>231</v>
      </c>
      <c r="CV35" s="99">
        <v>252</v>
      </c>
      <c r="CW35" s="100">
        <v>242</v>
      </c>
      <c r="CX35" s="100">
        <v>264</v>
      </c>
      <c r="CY35" s="100">
        <v>275</v>
      </c>
      <c r="CZ35" s="100">
        <v>250.01533210918046</v>
      </c>
      <c r="DA35" s="100">
        <v>233.00079202723836</v>
      </c>
      <c r="DB35" s="99">
        <v>250.84480287252856</v>
      </c>
      <c r="DC35" s="180">
        <v>240.92907603776723</v>
      </c>
      <c r="DD35" s="180">
        <v>241.68627486160784</v>
      </c>
      <c r="DE35" s="180">
        <v>219.36946608066913</v>
      </c>
      <c r="DF35" s="180">
        <v>198.04053839667102</v>
      </c>
      <c r="DG35" s="180">
        <v>174.95158067041979</v>
      </c>
      <c r="DH35" s="181">
        <v>187.55594058289935</v>
      </c>
      <c r="DI35" s="180">
        <v>175.17167022505959</v>
      </c>
      <c r="DJ35" s="180">
        <v>164.32020347448091</v>
      </c>
      <c r="DK35" s="180">
        <v>157.16797921029797</v>
      </c>
      <c r="DL35" s="180">
        <v>169.16410268300655</v>
      </c>
      <c r="DM35" s="180">
        <v>161.19476379002117</v>
      </c>
      <c r="DN35" s="181">
        <v>146.86437867609223</v>
      </c>
      <c r="DO35" s="180">
        <v>168.80932123242968</v>
      </c>
      <c r="DP35" s="180">
        <v>148.55365070755147</v>
      </c>
      <c r="DQ35" s="180">
        <v>119.52754010560611</v>
      </c>
      <c r="DR35" s="180">
        <v>121.5429154857808</v>
      </c>
      <c r="DS35" s="180">
        <v>117.70570153813144</v>
      </c>
      <c r="DT35" s="180">
        <v>114.80676912876052</v>
      </c>
      <c r="DU35" s="180">
        <v>124.89175850214552</v>
      </c>
      <c r="DV35" s="100">
        <v>472</v>
      </c>
      <c r="DW35" s="100">
        <v>462</v>
      </c>
      <c r="DX35" s="99">
        <v>524</v>
      </c>
      <c r="DY35" s="99">
        <v>521</v>
      </c>
      <c r="DZ35" s="99">
        <v>589</v>
      </c>
      <c r="EA35" s="99">
        <v>724</v>
      </c>
      <c r="EB35" s="100">
        <v>740</v>
      </c>
      <c r="EC35" s="99">
        <v>891</v>
      </c>
      <c r="ED35" s="99">
        <v>920</v>
      </c>
      <c r="EE35" s="99">
        <v>998</v>
      </c>
      <c r="EF35" s="99">
        <v>1123</v>
      </c>
      <c r="EG35" s="99">
        <v>1139</v>
      </c>
      <c r="EH35" s="99">
        <v>1238</v>
      </c>
      <c r="EI35" s="99">
        <v>1330</v>
      </c>
      <c r="EJ35" s="99">
        <v>1516</v>
      </c>
      <c r="EK35" s="99">
        <v>1678</v>
      </c>
      <c r="EL35" s="100">
        <v>1885</v>
      </c>
      <c r="EM35" s="100">
        <v>2054</v>
      </c>
      <c r="EN35" s="100">
        <v>2165</v>
      </c>
      <c r="EO35" s="100">
        <v>1983.9288534085542</v>
      </c>
      <c r="EP35" s="100">
        <v>2119.8782422718118</v>
      </c>
      <c r="EQ35" s="99">
        <v>2244.9140234126362</v>
      </c>
      <c r="ER35" s="180">
        <v>2238.1022020208861</v>
      </c>
      <c r="ES35" s="180">
        <v>2268.8494198316703</v>
      </c>
      <c r="ET35" s="180">
        <v>2190.4415288231817</v>
      </c>
      <c r="EU35" s="180">
        <v>2233.3690399940992</v>
      </c>
      <c r="EV35" s="180">
        <v>2173.6569899652304</v>
      </c>
      <c r="EW35" s="181">
        <v>2228.3164258956717</v>
      </c>
      <c r="EX35" s="180">
        <v>2173.5200951181118</v>
      </c>
      <c r="EY35" s="180">
        <v>2148.5013911826059</v>
      </c>
      <c r="EZ35" s="180">
        <v>2059.6113093401118</v>
      </c>
      <c r="FA35" s="180">
        <v>2008.7872299869996</v>
      </c>
      <c r="FB35" s="180">
        <v>2009.4843500534917</v>
      </c>
      <c r="FC35" s="181">
        <v>2106.3745497143232</v>
      </c>
      <c r="FD35" s="180">
        <v>2268.3592074548046</v>
      </c>
      <c r="FE35" s="180">
        <v>2147.1291510571427</v>
      </c>
      <c r="FF35" s="180">
        <v>1962.3999260304543</v>
      </c>
      <c r="FG35" s="180">
        <v>1940.6344266483343</v>
      </c>
      <c r="FH35" s="180">
        <v>2019.7749323634521</v>
      </c>
      <c r="FI35" s="180">
        <v>2024.45743598435</v>
      </c>
      <c r="FJ35" s="180">
        <v>2064.3717428336704</v>
      </c>
      <c r="FK35" s="100">
        <v>739</v>
      </c>
      <c r="FL35" s="100">
        <v>629</v>
      </c>
      <c r="FM35" s="99">
        <v>692</v>
      </c>
      <c r="FN35" s="99">
        <v>761</v>
      </c>
      <c r="FO35" s="99">
        <v>804</v>
      </c>
      <c r="FP35" s="99">
        <v>1056</v>
      </c>
      <c r="FQ35" s="100">
        <v>1056</v>
      </c>
      <c r="FR35" s="99">
        <v>1042</v>
      </c>
      <c r="FS35" s="99">
        <v>1265</v>
      </c>
      <c r="FT35" s="99">
        <v>1201</v>
      </c>
      <c r="FU35" s="99">
        <v>1285</v>
      </c>
      <c r="FV35" s="99">
        <v>1626</v>
      </c>
      <c r="FW35" s="99">
        <v>1155</v>
      </c>
      <c r="FX35" s="99">
        <v>1262</v>
      </c>
      <c r="FY35" s="99">
        <v>1385</v>
      </c>
      <c r="FZ35" s="99">
        <v>1449</v>
      </c>
      <c r="GA35" s="100">
        <v>1682</v>
      </c>
      <c r="GB35" s="100">
        <v>1849</v>
      </c>
      <c r="GC35" s="100">
        <v>2045</v>
      </c>
      <c r="GD35" s="100">
        <v>1818.9470077373453</v>
      </c>
      <c r="GE35" s="100">
        <v>2013.553256694702</v>
      </c>
      <c r="GF35" s="99">
        <v>2040.3337327358681</v>
      </c>
      <c r="GG35" s="180">
        <v>2073.6087095903936</v>
      </c>
      <c r="GH35" s="180">
        <v>2122.696771641245</v>
      </c>
      <c r="GI35" s="180">
        <v>1938.1718119342227</v>
      </c>
      <c r="GJ35" s="180">
        <v>1968.0870495023071</v>
      </c>
      <c r="GK35" s="180">
        <v>2077.9751752912239</v>
      </c>
      <c r="GL35" s="181">
        <v>2047.9347714816615</v>
      </c>
      <c r="GM35" s="180">
        <v>2063.8513843491996</v>
      </c>
      <c r="GN35" s="180">
        <v>2081.7505638741977</v>
      </c>
      <c r="GO35" s="180">
        <v>2031.9576088484248</v>
      </c>
      <c r="GP35" s="180">
        <v>2177.5841947334602</v>
      </c>
      <c r="GQ35" s="180">
        <v>2223.3797954109682</v>
      </c>
      <c r="GR35" s="181">
        <v>2419.431141534802</v>
      </c>
      <c r="GS35" s="180">
        <v>2520.2610463686729</v>
      </c>
      <c r="GT35" s="180">
        <v>2502.9499373542808</v>
      </c>
      <c r="GU35" s="180">
        <v>2442.5080168858476</v>
      </c>
      <c r="GV35" s="180">
        <v>2519.7297538108855</v>
      </c>
      <c r="GW35" s="180">
        <v>2537.2150389511767</v>
      </c>
      <c r="GX35" s="180">
        <v>2686.0218177752049</v>
      </c>
      <c r="GY35" s="180">
        <v>2924.7902673223057</v>
      </c>
      <c r="GZ35" s="100">
        <v>754</v>
      </c>
      <c r="HA35" s="100">
        <v>833</v>
      </c>
      <c r="HB35" s="99">
        <v>924</v>
      </c>
      <c r="HC35" s="99">
        <v>1035</v>
      </c>
      <c r="HD35" s="99">
        <v>1156</v>
      </c>
      <c r="HE35" s="99">
        <v>1601</v>
      </c>
      <c r="HF35" s="100">
        <v>1643</v>
      </c>
      <c r="HG35" s="99">
        <v>1747</v>
      </c>
      <c r="HH35" s="99">
        <v>1863</v>
      </c>
      <c r="HI35" s="99">
        <v>2331</v>
      </c>
      <c r="HJ35" s="99">
        <v>2728</v>
      </c>
      <c r="HK35" s="99">
        <v>2595</v>
      </c>
      <c r="HL35" s="99">
        <v>2659</v>
      </c>
      <c r="HM35" s="99">
        <v>2934</v>
      </c>
      <c r="HN35" s="99">
        <v>3421</v>
      </c>
      <c r="HO35" s="99">
        <v>3620</v>
      </c>
      <c r="HP35" s="100">
        <v>4461</v>
      </c>
      <c r="HQ35" s="100">
        <v>5014</v>
      </c>
      <c r="HR35" s="100">
        <v>5713</v>
      </c>
      <c r="HS35" s="100">
        <v>6287</v>
      </c>
      <c r="HT35" s="100">
        <v>6816</v>
      </c>
      <c r="HU35" s="99">
        <v>7548</v>
      </c>
      <c r="HV35" s="180">
        <v>8042.4280920799038</v>
      </c>
      <c r="HW35" s="180">
        <v>8162.427688336913</v>
      </c>
      <c r="HX35" s="180">
        <v>8117.0603133619852</v>
      </c>
      <c r="HY35" s="180">
        <v>7988.1973225352476</v>
      </c>
      <c r="HZ35" s="180">
        <v>8584.7757661895812</v>
      </c>
      <c r="IA35" s="181">
        <v>8941.4115485442017</v>
      </c>
      <c r="IB35" s="180">
        <v>9038.5164083108648</v>
      </c>
      <c r="IC35" s="180">
        <v>8787.5815493890223</v>
      </c>
      <c r="ID35" s="180">
        <v>9078.3548862355892</v>
      </c>
      <c r="IE35" s="180">
        <v>9350.1589523992388</v>
      </c>
      <c r="IF35" s="180">
        <v>9736.0350944753973</v>
      </c>
      <c r="IG35" s="181">
        <v>10291.839760074748</v>
      </c>
      <c r="IH35" s="180">
        <v>10153.247375762443</v>
      </c>
      <c r="II35" s="180">
        <v>9435.0627131585097</v>
      </c>
      <c r="IJ35" s="180">
        <v>8723.2666275319061</v>
      </c>
      <c r="IK35" s="180">
        <v>8449.8478876325335</v>
      </c>
      <c r="IL35" s="180">
        <v>8295.3368907600961</v>
      </c>
      <c r="IM35" s="180">
        <v>8300.1731996343533</v>
      </c>
      <c r="IN35" s="180">
        <v>8480.1486146878833</v>
      </c>
      <c r="IO35" s="100">
        <v>6715</v>
      </c>
      <c r="IP35" s="100">
        <v>6998</v>
      </c>
      <c r="IQ35" s="99">
        <v>7200</v>
      </c>
      <c r="IR35" s="99">
        <v>7590</v>
      </c>
      <c r="IS35" s="99">
        <v>7668</v>
      </c>
      <c r="IT35" s="99">
        <v>8846</v>
      </c>
      <c r="IU35" s="100">
        <v>9397</v>
      </c>
      <c r="IV35" s="99">
        <v>9984</v>
      </c>
      <c r="IW35" s="99">
        <v>10299</v>
      </c>
      <c r="IX35" s="99">
        <v>10348</v>
      </c>
      <c r="IY35" s="99">
        <v>10879</v>
      </c>
      <c r="IZ35" s="99">
        <v>10742</v>
      </c>
      <c r="JA35" s="99">
        <v>9961</v>
      </c>
      <c r="JB35" s="99">
        <v>9988</v>
      </c>
      <c r="JC35" s="99">
        <v>9902</v>
      </c>
      <c r="JD35" s="99">
        <v>10150</v>
      </c>
      <c r="JE35" s="100">
        <v>10545</v>
      </c>
      <c r="JF35" s="100">
        <v>10723</v>
      </c>
      <c r="JG35" s="100">
        <v>10758</v>
      </c>
      <c r="JH35" s="100">
        <v>10842.10880674492</v>
      </c>
      <c r="JI35" s="100">
        <v>10708.567709006247</v>
      </c>
      <c r="JJ35" s="99">
        <v>10953.907440978966</v>
      </c>
      <c r="JK35" s="180">
        <v>10956.182304956827</v>
      </c>
      <c r="JL35" s="180">
        <v>10779.166678186784</v>
      </c>
      <c r="JM35" s="180">
        <v>10430.00508993973</v>
      </c>
      <c r="JN35" s="180">
        <v>10316.178653649187</v>
      </c>
      <c r="JO35" s="180">
        <v>10405.842839736326</v>
      </c>
      <c r="JP35" s="181">
        <v>10352.459892245401</v>
      </c>
      <c r="JQ35" s="180">
        <v>10165.811213375377</v>
      </c>
      <c r="JR35" s="180">
        <v>10183.497102344523</v>
      </c>
      <c r="JS35" s="180">
        <v>10065.044894140721</v>
      </c>
      <c r="JT35" s="180">
        <v>10253.562155936048</v>
      </c>
      <c r="JU35" s="180">
        <v>10499.093312346798</v>
      </c>
      <c r="JV35" s="181">
        <v>10723.727527838066</v>
      </c>
      <c r="JW35" s="180">
        <v>10345.465523120665</v>
      </c>
      <c r="JX35" s="180">
        <v>9888.0952813172698</v>
      </c>
      <c r="JY35" s="180">
        <v>9618.6569537938176</v>
      </c>
      <c r="JZ35" s="180">
        <v>9292.8701846109361</v>
      </c>
      <c r="KA35" s="180">
        <v>9128.7150161647041</v>
      </c>
      <c r="KB35" s="180">
        <v>9124.4602744681633</v>
      </c>
      <c r="KC35" s="180">
        <v>9240.2085816214567</v>
      </c>
    </row>
    <row r="36" spans="1:289">
      <c r="A36" s="175" t="s">
        <v>59</v>
      </c>
      <c r="B36" s="100">
        <v>14824</v>
      </c>
      <c r="C36" s="100">
        <v>15172</v>
      </c>
      <c r="D36" s="99">
        <v>14892</v>
      </c>
      <c r="E36" s="99">
        <v>14928</v>
      </c>
      <c r="F36" s="99">
        <v>15402</v>
      </c>
      <c r="G36" s="99">
        <v>15700</v>
      </c>
      <c r="H36" s="100">
        <v>16529</v>
      </c>
      <c r="I36" s="99">
        <v>17317</v>
      </c>
      <c r="J36" s="99">
        <v>18031</v>
      </c>
      <c r="K36" s="99">
        <v>18199</v>
      </c>
      <c r="L36" s="99">
        <v>18094</v>
      </c>
      <c r="M36" s="99">
        <v>16923</v>
      </c>
      <c r="N36" s="99">
        <v>17892</v>
      </c>
      <c r="O36" s="99">
        <v>17353</v>
      </c>
      <c r="P36" s="99">
        <v>17822</v>
      </c>
      <c r="Q36" s="99">
        <v>16131</v>
      </c>
      <c r="R36" s="99">
        <v>18264</v>
      </c>
      <c r="S36" s="99">
        <v>17931</v>
      </c>
      <c r="T36" s="99">
        <v>18595</v>
      </c>
      <c r="U36" s="99">
        <v>19352</v>
      </c>
      <c r="V36" s="99">
        <v>20315</v>
      </c>
      <c r="W36" s="99">
        <v>19232</v>
      </c>
      <c r="X36" s="546">
        <v>19620</v>
      </c>
      <c r="Y36" s="180">
        <v>18841.738823712716</v>
      </c>
      <c r="Z36" s="180">
        <v>19405.230595032725</v>
      </c>
      <c r="AA36" s="180">
        <v>18969.507748147244</v>
      </c>
      <c r="AB36" s="180">
        <v>19440.958784025977</v>
      </c>
      <c r="AC36" s="180">
        <v>19546.243827329894</v>
      </c>
      <c r="AD36" s="181">
        <v>19913.324886232243</v>
      </c>
      <c r="AE36" s="180">
        <v>19727.060350711286</v>
      </c>
      <c r="AF36" s="180">
        <v>19451.484736146194</v>
      </c>
      <c r="AG36" s="180">
        <v>19642.866606511281</v>
      </c>
      <c r="AH36" s="180">
        <v>19700.907810741315</v>
      </c>
      <c r="AI36" s="180">
        <v>19805.802132738605</v>
      </c>
      <c r="AJ36" s="181">
        <v>20368.214960412624</v>
      </c>
      <c r="AK36" s="180">
        <v>20412.754394314979</v>
      </c>
      <c r="AL36" s="180">
        <v>19602.239480278349</v>
      </c>
      <c r="AM36" s="180">
        <v>18753.364304299612</v>
      </c>
      <c r="AN36" s="180">
        <v>18317.743350804783</v>
      </c>
      <c r="AO36" s="180">
        <v>18194.291376942681</v>
      </c>
      <c r="AP36" s="180">
        <v>17747.586948647378</v>
      </c>
      <c r="AQ36" s="180">
        <v>17540.336149074417</v>
      </c>
      <c r="AR36" s="533">
        <f t="shared" si="78"/>
        <v>1778</v>
      </c>
      <c r="AS36" s="534">
        <f t="shared" si="79"/>
        <v>1804</v>
      </c>
      <c r="AT36" s="534">
        <f t="shared" si="80"/>
        <v>1831</v>
      </c>
      <c r="AU36" s="534">
        <f t="shared" si="81"/>
        <v>1769</v>
      </c>
      <c r="AV36" s="534">
        <f t="shared" si="82"/>
        <v>1763</v>
      </c>
      <c r="AW36" s="534">
        <f t="shared" si="83"/>
        <v>1768</v>
      </c>
      <c r="AX36" s="534">
        <f t="shared" si="84"/>
        <v>1823</v>
      </c>
      <c r="AY36" s="534">
        <f t="shared" si="85"/>
        <v>1887</v>
      </c>
      <c r="AZ36" s="534">
        <f t="shared" si="86"/>
        <v>2065</v>
      </c>
      <c r="BA36" s="534">
        <f t="shared" si="87"/>
        <v>2232</v>
      </c>
      <c r="BB36" s="534">
        <f t="shared" si="88"/>
        <v>2163.4333625999998</v>
      </c>
      <c r="BC36" s="534">
        <f t="shared" si="89"/>
        <v>2038</v>
      </c>
      <c r="BD36" s="534">
        <f t="shared" si="90"/>
        <v>2159</v>
      </c>
      <c r="BE36" s="534">
        <f t="shared" si="91"/>
        <v>2048</v>
      </c>
      <c r="BF36" s="534">
        <f t="shared" si="92"/>
        <v>2299</v>
      </c>
      <c r="BG36" s="534">
        <f t="shared" si="93"/>
        <v>2097</v>
      </c>
      <c r="BH36" s="534">
        <f t="shared" si="94"/>
        <v>2474</v>
      </c>
      <c r="BI36" s="534">
        <f t="shared" si="95"/>
        <v>2395</v>
      </c>
      <c r="BJ36" s="534">
        <f t="shared" si="96"/>
        <v>2507.6167555543475</v>
      </c>
      <c r="BK36" s="534">
        <f t="shared" si="97"/>
        <v>2572.391630946328</v>
      </c>
      <c r="BL36" s="534">
        <f t="shared" si="98"/>
        <v>2716.48077610989</v>
      </c>
      <c r="BM36" s="534">
        <f t="shared" si="99"/>
        <v>2513.3421804242844</v>
      </c>
      <c r="BN36" s="186">
        <f t="shared" si="100"/>
        <v>2363.6568688701168</v>
      </c>
      <c r="BO36" s="186">
        <f t="shared" si="101"/>
        <v>2412.486899505303</v>
      </c>
      <c r="BP36" s="186">
        <f t="shared" si="102"/>
        <v>2338.7869257312059</v>
      </c>
      <c r="BQ36" s="186">
        <f t="shared" si="103"/>
        <v>2367.9357407704711</v>
      </c>
      <c r="BR36" s="186">
        <f t="shared" si="104"/>
        <v>2407.7673815411199</v>
      </c>
      <c r="BS36" s="186">
        <f t="shared" si="105"/>
        <v>2430.1043586958426</v>
      </c>
      <c r="BT36" s="186">
        <f t="shared" si="106"/>
        <v>2486.0619127617792</v>
      </c>
      <c r="BU36" s="186">
        <f t="shared" si="107"/>
        <v>2444.4040193170867</v>
      </c>
      <c r="BV36" s="186">
        <f t="shared" si="108"/>
        <v>2497.9510549150427</v>
      </c>
      <c r="BW36" s="186">
        <f t="shared" si="109"/>
        <v>2462.0956052643937</v>
      </c>
      <c r="BX36" s="186">
        <f t="shared" si="110"/>
        <v>2555.2747998228915</v>
      </c>
      <c r="BY36" s="186">
        <f t="shared" si="111"/>
        <v>2567.3535291835715</v>
      </c>
      <c r="BZ36" s="186">
        <f t="shared" si="112"/>
        <v>2618.9280528368263</v>
      </c>
      <c r="CA36" s="186">
        <f t="shared" si="113"/>
        <v>2533.6545585524977</v>
      </c>
      <c r="CB36" s="186">
        <f t="shared" si="114"/>
        <v>2351.0731761085713</v>
      </c>
      <c r="CC36" s="186">
        <f t="shared" si="115"/>
        <v>2298.4722815039736</v>
      </c>
      <c r="CD36" s="186">
        <f t="shared" si="116"/>
        <v>2272.0490320975514</v>
      </c>
      <c r="CE36" s="186">
        <f t="shared" si="117"/>
        <v>2254.3528204303984</v>
      </c>
      <c r="CF36" s="186">
        <f t="shared" si="118"/>
        <v>2131.1827637130887</v>
      </c>
      <c r="CG36" s="100">
        <v>1607</v>
      </c>
      <c r="CH36" s="100">
        <v>1610</v>
      </c>
      <c r="CI36" s="99">
        <v>1607</v>
      </c>
      <c r="CJ36" s="99">
        <v>1537</v>
      </c>
      <c r="CK36" s="99">
        <v>1524</v>
      </c>
      <c r="CL36" s="99">
        <v>1533</v>
      </c>
      <c r="CM36" s="100">
        <v>1595</v>
      </c>
      <c r="CN36" s="99">
        <v>1631</v>
      </c>
      <c r="CO36" s="99">
        <v>1858</v>
      </c>
      <c r="CP36" s="99">
        <v>1996</v>
      </c>
      <c r="CQ36" s="99">
        <v>1922.762442</v>
      </c>
      <c r="CR36" s="99">
        <v>1802</v>
      </c>
      <c r="CS36" s="99">
        <v>1894</v>
      </c>
      <c r="CT36" s="99">
        <v>1799</v>
      </c>
      <c r="CU36" s="99">
        <v>2029</v>
      </c>
      <c r="CV36" s="99">
        <v>1839</v>
      </c>
      <c r="CW36" s="99">
        <v>2177</v>
      </c>
      <c r="CX36" s="99">
        <v>2118</v>
      </c>
      <c r="CY36" s="99">
        <v>2211.6529981817312</v>
      </c>
      <c r="CZ36" s="99">
        <v>2309.3176239777449</v>
      </c>
      <c r="DA36" s="99">
        <v>2433.6008267032962</v>
      </c>
      <c r="DB36" s="99">
        <v>2203.2665476239927</v>
      </c>
      <c r="DC36" s="180">
        <v>2046.5274697194131</v>
      </c>
      <c r="DD36" s="180">
        <v>2051.5412946092729</v>
      </c>
      <c r="DE36" s="180">
        <v>2009.31461963728</v>
      </c>
      <c r="DF36" s="180">
        <v>2027.5385274947191</v>
      </c>
      <c r="DG36" s="180">
        <v>2093.4558006135467</v>
      </c>
      <c r="DH36" s="181">
        <v>2091.8373665329518</v>
      </c>
      <c r="DI36" s="180">
        <v>2168.1425405670534</v>
      </c>
      <c r="DJ36" s="180">
        <v>2105.3982699304784</v>
      </c>
      <c r="DK36" s="180">
        <v>2208.7412226527372</v>
      </c>
      <c r="DL36" s="180">
        <v>2170.5182700174364</v>
      </c>
      <c r="DM36" s="180">
        <v>2273.6615175985985</v>
      </c>
      <c r="DN36" s="181">
        <v>2289.3981089375416</v>
      </c>
      <c r="DO36" s="180">
        <v>2298.2473424663112</v>
      </c>
      <c r="DP36" s="180">
        <v>2252.2479896444288</v>
      </c>
      <c r="DQ36" s="180">
        <v>2051.9913570552244</v>
      </c>
      <c r="DR36" s="180">
        <v>2019.150643488686</v>
      </c>
      <c r="DS36" s="180">
        <v>1965.5456005476237</v>
      </c>
      <c r="DT36" s="180">
        <v>1962.0211721229782</v>
      </c>
      <c r="DU36" s="180">
        <v>1842.9577757115694</v>
      </c>
      <c r="DV36" s="100">
        <v>171</v>
      </c>
      <c r="DW36" s="100">
        <v>194</v>
      </c>
      <c r="DX36" s="99">
        <v>224</v>
      </c>
      <c r="DY36" s="99">
        <v>232</v>
      </c>
      <c r="DZ36" s="99">
        <v>239</v>
      </c>
      <c r="EA36" s="99">
        <v>235</v>
      </c>
      <c r="EB36" s="100">
        <v>228</v>
      </c>
      <c r="EC36" s="99">
        <v>256</v>
      </c>
      <c r="ED36" s="99">
        <v>207</v>
      </c>
      <c r="EE36" s="99">
        <v>236</v>
      </c>
      <c r="EF36" s="99">
        <v>240.67092059999999</v>
      </c>
      <c r="EG36" s="99">
        <v>236</v>
      </c>
      <c r="EH36" s="99">
        <v>265</v>
      </c>
      <c r="EI36" s="99">
        <v>249</v>
      </c>
      <c r="EJ36" s="99">
        <v>270</v>
      </c>
      <c r="EK36" s="99">
        <v>258</v>
      </c>
      <c r="EL36" s="99">
        <v>297</v>
      </c>
      <c r="EM36" s="99">
        <v>277</v>
      </c>
      <c r="EN36" s="99">
        <v>295.96375737261644</v>
      </c>
      <c r="EO36" s="99">
        <v>263.07400696858309</v>
      </c>
      <c r="EP36" s="99">
        <v>282.87994940659405</v>
      </c>
      <c r="EQ36" s="99">
        <v>310.07563280029177</v>
      </c>
      <c r="ER36" s="180">
        <v>317.12939915070376</v>
      </c>
      <c r="ES36" s="180">
        <v>360.94560489603009</v>
      </c>
      <c r="ET36" s="180">
        <v>329.47230609392591</v>
      </c>
      <c r="EU36" s="180">
        <v>340.39721327575194</v>
      </c>
      <c r="EV36" s="180">
        <v>314.31158092757323</v>
      </c>
      <c r="EW36" s="181">
        <v>338.26699216289086</v>
      </c>
      <c r="EX36" s="180">
        <v>317.91937219472578</v>
      </c>
      <c r="EY36" s="180">
        <v>339.00574938660822</v>
      </c>
      <c r="EZ36" s="180">
        <v>289.20983226230578</v>
      </c>
      <c r="FA36" s="180">
        <v>291.57733524695743</v>
      </c>
      <c r="FB36" s="180">
        <v>281.61328222429279</v>
      </c>
      <c r="FC36" s="181">
        <v>277.95542024602986</v>
      </c>
      <c r="FD36" s="180">
        <v>320.68071037051493</v>
      </c>
      <c r="FE36" s="180">
        <v>281.40656890806895</v>
      </c>
      <c r="FF36" s="180">
        <v>299.08181905334686</v>
      </c>
      <c r="FG36" s="180">
        <v>279.32163801528753</v>
      </c>
      <c r="FH36" s="180">
        <v>306.50343154992771</v>
      </c>
      <c r="FI36" s="180">
        <v>292.33164830741998</v>
      </c>
      <c r="FJ36" s="180">
        <v>288.22498800151936</v>
      </c>
      <c r="FK36" s="100">
        <v>269</v>
      </c>
      <c r="FL36" s="100">
        <v>310</v>
      </c>
      <c r="FM36" s="99">
        <v>332</v>
      </c>
      <c r="FN36" s="99">
        <v>313</v>
      </c>
      <c r="FO36" s="99">
        <v>393</v>
      </c>
      <c r="FP36" s="99">
        <v>335</v>
      </c>
      <c r="FQ36" s="100">
        <v>353</v>
      </c>
      <c r="FR36" s="99">
        <v>358</v>
      </c>
      <c r="FS36" s="99">
        <v>416</v>
      </c>
      <c r="FT36" s="99">
        <v>426</v>
      </c>
      <c r="FU36" s="99">
        <v>397.91038859999998</v>
      </c>
      <c r="FV36" s="99">
        <v>319</v>
      </c>
      <c r="FW36" s="99">
        <v>405</v>
      </c>
      <c r="FX36" s="99">
        <v>364</v>
      </c>
      <c r="FY36" s="99">
        <v>425</v>
      </c>
      <c r="FZ36" s="99">
        <v>386</v>
      </c>
      <c r="GA36" s="99">
        <v>467</v>
      </c>
      <c r="GB36" s="99">
        <v>478</v>
      </c>
      <c r="GC36" s="99">
        <v>409.16061332479904</v>
      </c>
      <c r="GD36" s="99">
        <v>416.90467559527235</v>
      </c>
      <c r="GE36" s="99">
        <v>479.11470872502537</v>
      </c>
      <c r="GF36" s="99">
        <v>436.99725368635757</v>
      </c>
      <c r="GG36" s="180">
        <v>399.50192695527699</v>
      </c>
      <c r="GH36" s="180">
        <v>373.37008198874986</v>
      </c>
      <c r="GI36" s="180">
        <v>331.18071772783958</v>
      </c>
      <c r="GJ36" s="180">
        <v>352.59573059262885</v>
      </c>
      <c r="GK36" s="180">
        <v>373.38115053008988</v>
      </c>
      <c r="GL36" s="181">
        <v>355.0906434658142</v>
      </c>
      <c r="GM36" s="180">
        <v>336.10468516637036</v>
      </c>
      <c r="GN36" s="180">
        <v>313.99195652124138</v>
      </c>
      <c r="GO36" s="180">
        <v>300.684142541082</v>
      </c>
      <c r="GP36" s="180">
        <v>305.24038696552407</v>
      </c>
      <c r="GQ36" s="180">
        <v>292.81784375090967</v>
      </c>
      <c r="GR36" s="181">
        <v>275.22473114535518</v>
      </c>
      <c r="GS36" s="180">
        <v>290.8427292274132</v>
      </c>
      <c r="GT36" s="180">
        <v>311.85959557932136</v>
      </c>
      <c r="GU36" s="180">
        <v>291.57185707563957</v>
      </c>
      <c r="GV36" s="180">
        <v>271.81137045459673</v>
      </c>
      <c r="GW36" s="180">
        <v>253.51195715952832</v>
      </c>
      <c r="GX36" s="180">
        <v>250.55805029528295</v>
      </c>
      <c r="GY36" s="180">
        <v>271.80803039919698</v>
      </c>
      <c r="GZ36" s="100">
        <v>6159</v>
      </c>
      <c r="HA36" s="100">
        <v>6257</v>
      </c>
      <c r="HB36" s="99">
        <v>6173</v>
      </c>
      <c r="HC36" s="99">
        <v>6235</v>
      </c>
      <c r="HD36" s="99">
        <v>6215</v>
      </c>
      <c r="HE36" s="99">
        <v>6457</v>
      </c>
      <c r="HF36" s="100">
        <v>7083</v>
      </c>
      <c r="HG36" s="99">
        <v>7497</v>
      </c>
      <c r="HH36" s="99">
        <v>7591</v>
      </c>
      <c r="HI36" s="99">
        <v>7954</v>
      </c>
      <c r="HJ36" s="99">
        <v>7959.0726409999997</v>
      </c>
      <c r="HK36" s="99">
        <v>7572</v>
      </c>
      <c r="HL36" s="99">
        <v>8123</v>
      </c>
      <c r="HM36" s="99">
        <v>8074</v>
      </c>
      <c r="HN36" s="99">
        <v>8197</v>
      </c>
      <c r="HO36" s="99">
        <v>7395</v>
      </c>
      <c r="HP36" s="99">
        <v>8740</v>
      </c>
      <c r="HQ36" s="99">
        <v>8760</v>
      </c>
      <c r="HR36" s="99">
        <v>9617</v>
      </c>
      <c r="HS36" s="99">
        <v>10310</v>
      </c>
      <c r="HT36" s="99">
        <v>11271</v>
      </c>
      <c r="HU36" s="99">
        <v>10628</v>
      </c>
      <c r="HV36" s="180">
        <v>10682.841640236797</v>
      </c>
      <c r="HW36" s="180">
        <v>11069.501651932074</v>
      </c>
      <c r="HX36" s="180">
        <v>11119.673650302475</v>
      </c>
      <c r="HY36" s="180">
        <v>11577.211746100507</v>
      </c>
      <c r="HZ36" s="180">
        <v>11538.142298628258</v>
      </c>
      <c r="IA36" s="181">
        <v>11920.781311134582</v>
      </c>
      <c r="IB36" s="180">
        <v>11999.061696740584</v>
      </c>
      <c r="IC36" s="180">
        <v>11836.77822100304</v>
      </c>
      <c r="ID36" s="180">
        <v>12067.809944007811</v>
      </c>
      <c r="IE36" s="180">
        <v>12078.735205931578</v>
      </c>
      <c r="IF36" s="180">
        <v>12187.925778854624</v>
      </c>
      <c r="IG36" s="181">
        <v>12821.718592347223</v>
      </c>
      <c r="IH36" s="180">
        <v>12932.79954500798</v>
      </c>
      <c r="II36" s="180">
        <v>12346.953002934752</v>
      </c>
      <c r="IJ36" s="180">
        <v>11744.948917991353</v>
      </c>
      <c r="IK36" s="180">
        <v>11398.005145336523</v>
      </c>
      <c r="IL36" s="180">
        <v>11286.59358121986</v>
      </c>
      <c r="IM36" s="180">
        <v>10952.509437466355</v>
      </c>
      <c r="IN36" s="180">
        <v>10981.504346521242</v>
      </c>
      <c r="IO36" s="100">
        <v>6618</v>
      </c>
      <c r="IP36" s="100">
        <v>6801</v>
      </c>
      <c r="IQ36" s="99">
        <v>6556</v>
      </c>
      <c r="IR36" s="99">
        <v>6611</v>
      </c>
      <c r="IS36" s="99">
        <v>7031</v>
      </c>
      <c r="IT36" s="99">
        <v>7140</v>
      </c>
      <c r="IU36" s="100">
        <v>7270</v>
      </c>
      <c r="IV36" s="99">
        <v>7575</v>
      </c>
      <c r="IW36" s="99">
        <v>7959</v>
      </c>
      <c r="IX36" s="99">
        <v>7587</v>
      </c>
      <c r="IY36" s="99">
        <v>7573.5836079999999</v>
      </c>
      <c r="IZ36" s="99">
        <v>6994</v>
      </c>
      <c r="JA36" s="99">
        <v>7205</v>
      </c>
      <c r="JB36" s="99">
        <v>6867</v>
      </c>
      <c r="JC36" s="99">
        <v>6901</v>
      </c>
      <c r="JD36" s="99">
        <v>6253</v>
      </c>
      <c r="JE36" s="99">
        <v>6583</v>
      </c>
      <c r="JF36" s="99">
        <v>6298</v>
      </c>
      <c r="JG36" s="99">
        <v>6061.2226311208533</v>
      </c>
      <c r="JH36" s="99">
        <v>6052.7036934584003</v>
      </c>
      <c r="JI36" s="99">
        <v>5848.4045151650844</v>
      </c>
      <c r="JJ36" s="99">
        <v>5653.6605658893577</v>
      </c>
      <c r="JK36" s="180">
        <v>5395.4171905146122</v>
      </c>
      <c r="JL36" s="180">
        <v>5566.5387560156823</v>
      </c>
      <c r="JM36" s="180">
        <v>5180.8996886542163</v>
      </c>
      <c r="JN36" s="180">
        <v>5122.4828977802408</v>
      </c>
      <c r="JO36" s="180">
        <v>5218.9667866887667</v>
      </c>
      <c r="JP36" s="181">
        <v>5210.2452074495268</v>
      </c>
      <c r="JQ36" s="180">
        <v>4921.7598482809281</v>
      </c>
      <c r="JR36" s="180">
        <v>4882.5996498346813</v>
      </c>
      <c r="JS36" s="180">
        <v>4813.6444944067198</v>
      </c>
      <c r="JT36" s="180">
        <v>4895.3299332664719</v>
      </c>
      <c r="JU36" s="180">
        <v>4832.357981134598</v>
      </c>
      <c r="JV36" s="181">
        <v>4792.1043731781438</v>
      </c>
      <c r="JW36" s="180">
        <v>4734.663234255715</v>
      </c>
      <c r="JX36" s="180">
        <v>4551.2677174236578</v>
      </c>
      <c r="JY36" s="180">
        <v>4471.285559113091</v>
      </c>
      <c r="JZ36" s="180">
        <v>4268.9130499277762</v>
      </c>
      <c r="KA36" s="180">
        <v>4227.5580155342132</v>
      </c>
      <c r="KB36" s="180">
        <v>4104.5764985475162</v>
      </c>
      <c r="KC36" s="180">
        <v>3994.2465913141082</v>
      </c>
    </row>
    <row r="37" spans="1:289">
      <c r="A37" s="175" t="s">
        <v>60</v>
      </c>
      <c r="B37" s="100">
        <v>25305</v>
      </c>
      <c r="C37" s="100">
        <v>26301</v>
      </c>
      <c r="D37" s="99">
        <v>26338</v>
      </c>
      <c r="E37" s="99">
        <v>26483</v>
      </c>
      <c r="F37" s="99">
        <v>26570</v>
      </c>
      <c r="G37" s="99">
        <v>27720</v>
      </c>
      <c r="H37" s="100">
        <v>27754</v>
      </c>
      <c r="I37" s="99">
        <v>28245</v>
      </c>
      <c r="J37" s="99">
        <v>29782</v>
      </c>
      <c r="K37" s="99">
        <v>29939</v>
      </c>
      <c r="L37" s="99">
        <v>31153</v>
      </c>
      <c r="M37" s="99">
        <v>32587</v>
      </c>
      <c r="N37" s="99">
        <v>32958</v>
      </c>
      <c r="O37" s="99">
        <v>32602</v>
      </c>
      <c r="P37" s="99">
        <v>32394</v>
      </c>
      <c r="Q37" s="99">
        <v>33446</v>
      </c>
      <c r="R37" s="99">
        <v>34949</v>
      </c>
      <c r="S37" s="99">
        <v>35138</v>
      </c>
      <c r="T37" s="99">
        <v>34671</v>
      </c>
      <c r="U37" s="99">
        <v>34723</v>
      </c>
      <c r="V37" s="99">
        <v>34261</v>
      </c>
      <c r="W37" s="99">
        <v>33899</v>
      </c>
      <c r="X37" s="546">
        <v>37980</v>
      </c>
      <c r="Y37" s="180">
        <v>34930.273418455065</v>
      </c>
      <c r="Z37" s="180">
        <v>34071.001125731258</v>
      </c>
      <c r="AA37" s="180">
        <v>34609.804767091126</v>
      </c>
      <c r="AB37" s="180">
        <v>34296.915416027703</v>
      </c>
      <c r="AC37" s="180">
        <v>34447.94772288682</v>
      </c>
      <c r="AD37" s="181">
        <v>34418.21461313797</v>
      </c>
      <c r="AE37" s="180">
        <v>33909.151314778508</v>
      </c>
      <c r="AF37" s="180">
        <v>34229.371839504311</v>
      </c>
      <c r="AG37" s="180">
        <v>34413.637560439129</v>
      </c>
      <c r="AH37" s="180">
        <v>34415.752070131377</v>
      </c>
      <c r="AI37" s="180">
        <v>35321.943749630562</v>
      </c>
      <c r="AJ37" s="181">
        <v>36267.430345529974</v>
      </c>
      <c r="AK37" s="180">
        <v>36320.669064022644</v>
      </c>
      <c r="AL37" s="180">
        <v>34893.848808712253</v>
      </c>
      <c r="AM37" s="180">
        <v>33632.122859058763</v>
      </c>
      <c r="AN37" s="180">
        <v>33253.240238728009</v>
      </c>
      <c r="AO37" s="180">
        <v>33238.734217772369</v>
      </c>
      <c r="AP37" s="180">
        <v>33336.929911743566</v>
      </c>
      <c r="AQ37" s="180">
        <v>33631.039852449394</v>
      </c>
      <c r="AR37" s="533">
        <f t="shared" si="78"/>
        <v>1280</v>
      </c>
      <c r="AS37" s="534">
        <f t="shared" si="79"/>
        <v>1361</v>
      </c>
      <c r="AT37" s="534">
        <f t="shared" si="80"/>
        <v>1480</v>
      </c>
      <c r="AU37" s="534">
        <f t="shared" si="81"/>
        <v>1351</v>
      </c>
      <c r="AV37" s="534">
        <f t="shared" si="82"/>
        <v>1417</v>
      </c>
      <c r="AW37" s="534">
        <f t="shared" si="83"/>
        <v>1428</v>
      </c>
      <c r="AX37" s="534">
        <f t="shared" si="84"/>
        <v>1475</v>
      </c>
      <c r="AY37" s="534">
        <f t="shared" si="85"/>
        <v>1554</v>
      </c>
      <c r="AZ37" s="534">
        <f t="shared" si="86"/>
        <v>1788</v>
      </c>
      <c r="BA37" s="534">
        <f t="shared" si="87"/>
        <v>1717</v>
      </c>
      <c r="BB37" s="534">
        <f t="shared" si="88"/>
        <v>1773</v>
      </c>
      <c r="BC37" s="534">
        <f t="shared" si="89"/>
        <v>1976</v>
      </c>
      <c r="BD37" s="534">
        <f t="shared" si="90"/>
        <v>2139</v>
      </c>
      <c r="BE37" s="534">
        <f t="shared" si="91"/>
        <v>2190</v>
      </c>
      <c r="BF37" s="534">
        <f t="shared" si="92"/>
        <v>2261</v>
      </c>
      <c r="BG37" s="534">
        <f t="shared" si="93"/>
        <v>2368</v>
      </c>
      <c r="BH37" s="534">
        <f t="shared" si="94"/>
        <v>2536</v>
      </c>
      <c r="BI37" s="534">
        <f t="shared" si="95"/>
        <v>2388</v>
      </c>
      <c r="BJ37" s="534">
        <f t="shared" si="96"/>
        <v>2319</v>
      </c>
      <c r="BK37" s="534">
        <f t="shared" si="97"/>
        <v>2368.4082249503067</v>
      </c>
      <c r="BL37" s="534">
        <f t="shared" si="98"/>
        <v>2374.490552099749</v>
      </c>
      <c r="BM37" s="534">
        <f t="shared" si="99"/>
        <v>2358.5962790367057</v>
      </c>
      <c r="BN37" s="186">
        <f t="shared" si="100"/>
        <v>2458.1679511481343</v>
      </c>
      <c r="BO37" s="186">
        <f t="shared" si="101"/>
        <v>2396.202936966436</v>
      </c>
      <c r="BP37" s="186">
        <f t="shared" si="102"/>
        <v>2359.8763378489957</v>
      </c>
      <c r="BQ37" s="186">
        <f t="shared" si="103"/>
        <v>2367.7090041773122</v>
      </c>
      <c r="BR37" s="186">
        <f t="shared" si="104"/>
        <v>2514.839931978368</v>
      </c>
      <c r="BS37" s="186">
        <f t="shared" si="105"/>
        <v>2424.9387707378346</v>
      </c>
      <c r="BT37" s="186">
        <f t="shared" si="106"/>
        <v>2326.1802037173884</v>
      </c>
      <c r="BU37" s="186">
        <f t="shared" si="107"/>
        <v>2423.4579294337095</v>
      </c>
      <c r="BV37" s="186">
        <f t="shared" si="108"/>
        <v>2436.1227594960369</v>
      </c>
      <c r="BW37" s="186">
        <f t="shared" si="109"/>
        <v>2380.0870212901773</v>
      </c>
      <c r="BX37" s="186">
        <f t="shared" si="110"/>
        <v>2445.1757763997448</v>
      </c>
      <c r="BY37" s="186">
        <f t="shared" si="111"/>
        <v>2379.0570536012974</v>
      </c>
      <c r="BZ37" s="186">
        <f t="shared" si="112"/>
        <v>2483.3110853937978</v>
      </c>
      <c r="CA37" s="186">
        <f t="shared" si="113"/>
        <v>2450.7545289736654</v>
      </c>
      <c r="CB37" s="186">
        <f t="shared" si="114"/>
        <v>2388.2134163881883</v>
      </c>
      <c r="CC37" s="186">
        <f t="shared" si="115"/>
        <v>2326.7531335649701</v>
      </c>
      <c r="CD37" s="186">
        <f t="shared" si="116"/>
        <v>2396.7789300985305</v>
      </c>
      <c r="CE37" s="186">
        <f t="shared" si="117"/>
        <v>2380.2697914826022</v>
      </c>
      <c r="CF37" s="186">
        <f t="shared" si="118"/>
        <v>2392.2542741783527</v>
      </c>
      <c r="CG37" s="100">
        <v>366</v>
      </c>
      <c r="CH37" s="100">
        <v>363</v>
      </c>
      <c r="CI37" s="99">
        <v>384</v>
      </c>
      <c r="CJ37" s="99">
        <v>410</v>
      </c>
      <c r="CK37" s="99">
        <v>389</v>
      </c>
      <c r="CL37" s="99">
        <v>385</v>
      </c>
      <c r="CM37" s="100">
        <v>390</v>
      </c>
      <c r="CN37" s="99">
        <v>407</v>
      </c>
      <c r="CO37" s="99">
        <v>448</v>
      </c>
      <c r="CP37" s="99">
        <v>448</v>
      </c>
      <c r="CQ37" s="99">
        <v>490</v>
      </c>
      <c r="CR37" s="99">
        <v>506</v>
      </c>
      <c r="CS37" s="99">
        <v>574</v>
      </c>
      <c r="CT37" s="99">
        <v>600</v>
      </c>
      <c r="CU37" s="99">
        <v>597</v>
      </c>
      <c r="CV37" s="99">
        <v>681</v>
      </c>
      <c r="CW37" s="99">
        <v>725</v>
      </c>
      <c r="CX37" s="99">
        <v>693</v>
      </c>
      <c r="CY37" s="99">
        <v>616</v>
      </c>
      <c r="CZ37" s="99">
        <v>610.2872825734969</v>
      </c>
      <c r="DA37" s="99">
        <v>565.74104808415314</v>
      </c>
      <c r="DB37" s="99">
        <v>543.33699199141461</v>
      </c>
      <c r="DC37" s="180">
        <v>566.13831482503429</v>
      </c>
      <c r="DD37" s="180">
        <v>527.27308846386074</v>
      </c>
      <c r="DE37" s="180">
        <v>498.07162473072259</v>
      </c>
      <c r="DF37" s="180">
        <v>504.57050245669836</v>
      </c>
      <c r="DG37" s="180">
        <v>497.77810572145916</v>
      </c>
      <c r="DH37" s="181">
        <v>443.5444174200365</v>
      </c>
      <c r="DI37" s="180">
        <v>419.20809538326256</v>
      </c>
      <c r="DJ37" s="180">
        <v>402.05966574800783</v>
      </c>
      <c r="DK37" s="180">
        <v>417.53532029919313</v>
      </c>
      <c r="DL37" s="180">
        <v>380.50917740924251</v>
      </c>
      <c r="DM37" s="180">
        <v>385.43649125618725</v>
      </c>
      <c r="DN37" s="181">
        <v>399.09079900225242</v>
      </c>
      <c r="DO37" s="180">
        <v>406.66919700211247</v>
      </c>
      <c r="DP37" s="180">
        <v>372.9324423383685</v>
      </c>
      <c r="DQ37" s="180">
        <v>337.34938007511545</v>
      </c>
      <c r="DR37" s="180">
        <v>335.75858657171875</v>
      </c>
      <c r="DS37" s="180">
        <v>335.88747314484851</v>
      </c>
      <c r="DT37" s="180">
        <v>355.64673040552162</v>
      </c>
      <c r="DU37" s="180">
        <v>292.87607099398332</v>
      </c>
      <c r="DV37" s="100">
        <v>914</v>
      </c>
      <c r="DW37" s="100">
        <v>998</v>
      </c>
      <c r="DX37" s="99">
        <v>1096</v>
      </c>
      <c r="DY37" s="99">
        <v>941</v>
      </c>
      <c r="DZ37" s="99">
        <v>1028</v>
      </c>
      <c r="EA37" s="99">
        <v>1043</v>
      </c>
      <c r="EB37" s="100">
        <v>1085</v>
      </c>
      <c r="EC37" s="99">
        <v>1147</v>
      </c>
      <c r="ED37" s="99">
        <v>1340</v>
      </c>
      <c r="EE37" s="99">
        <v>1269</v>
      </c>
      <c r="EF37" s="99">
        <v>1283</v>
      </c>
      <c r="EG37" s="99">
        <v>1470</v>
      </c>
      <c r="EH37" s="99">
        <v>1565</v>
      </c>
      <c r="EI37" s="99">
        <v>1590</v>
      </c>
      <c r="EJ37" s="99">
        <v>1664</v>
      </c>
      <c r="EK37" s="99">
        <v>1687</v>
      </c>
      <c r="EL37" s="99">
        <v>1811</v>
      </c>
      <c r="EM37" s="99">
        <v>1695</v>
      </c>
      <c r="EN37" s="99">
        <v>1703</v>
      </c>
      <c r="EO37" s="99">
        <v>1758.1209423768098</v>
      </c>
      <c r="EP37" s="99">
        <v>1808.7495040155961</v>
      </c>
      <c r="EQ37" s="99">
        <v>1815.2592870452913</v>
      </c>
      <c r="ER37" s="180">
        <v>1892.0296363230998</v>
      </c>
      <c r="ES37" s="180">
        <v>1868.9298485025754</v>
      </c>
      <c r="ET37" s="180">
        <v>1861.804713118273</v>
      </c>
      <c r="EU37" s="180">
        <v>1863.1385017206139</v>
      </c>
      <c r="EV37" s="180">
        <v>2017.0618262569089</v>
      </c>
      <c r="EW37" s="181">
        <v>1981.3943533177983</v>
      </c>
      <c r="EX37" s="180">
        <v>1906.972108334126</v>
      </c>
      <c r="EY37" s="180">
        <v>2021.3982636857017</v>
      </c>
      <c r="EZ37" s="180">
        <v>2018.5874391968437</v>
      </c>
      <c r="FA37" s="180">
        <v>1999.5778438809346</v>
      </c>
      <c r="FB37" s="180">
        <v>2059.7392851435575</v>
      </c>
      <c r="FC37" s="181">
        <v>1979.966254599045</v>
      </c>
      <c r="FD37" s="180">
        <v>2076.6418883916854</v>
      </c>
      <c r="FE37" s="180">
        <v>2077.8220866352967</v>
      </c>
      <c r="FF37" s="180">
        <v>2050.864036313073</v>
      </c>
      <c r="FG37" s="180">
        <v>1990.9945469932516</v>
      </c>
      <c r="FH37" s="180">
        <v>2060.8914569536819</v>
      </c>
      <c r="FI37" s="180">
        <v>2024.6230610770806</v>
      </c>
      <c r="FJ37" s="180">
        <v>2099.3782031843693</v>
      </c>
      <c r="FK37" s="100">
        <v>374</v>
      </c>
      <c r="FL37" s="100">
        <v>448</v>
      </c>
      <c r="FM37" s="99">
        <v>398</v>
      </c>
      <c r="FN37" s="99">
        <v>274</v>
      </c>
      <c r="FO37" s="99">
        <v>458</v>
      </c>
      <c r="FP37" s="99">
        <v>464</v>
      </c>
      <c r="FQ37" s="100">
        <v>491</v>
      </c>
      <c r="FR37" s="99">
        <v>526</v>
      </c>
      <c r="FS37" s="99">
        <v>519</v>
      </c>
      <c r="FT37" s="99">
        <v>604</v>
      </c>
      <c r="FU37" s="99">
        <v>594</v>
      </c>
      <c r="FV37" s="99">
        <v>697</v>
      </c>
      <c r="FW37" s="99">
        <v>692</v>
      </c>
      <c r="FX37" s="99">
        <v>692</v>
      </c>
      <c r="FY37" s="99">
        <v>746</v>
      </c>
      <c r="FZ37" s="99">
        <v>806</v>
      </c>
      <c r="GA37" s="99">
        <v>830</v>
      </c>
      <c r="GB37" s="99">
        <v>826</v>
      </c>
      <c r="GC37" s="99">
        <v>893</v>
      </c>
      <c r="GD37" s="99">
        <v>892.5704037877739</v>
      </c>
      <c r="GE37" s="99">
        <v>869.66288681286017</v>
      </c>
      <c r="GF37" s="99">
        <v>893.47927078173041</v>
      </c>
      <c r="GG37" s="180">
        <v>823.50973468477719</v>
      </c>
      <c r="GH37" s="180">
        <v>794.48618516115801</v>
      </c>
      <c r="GI37" s="180">
        <v>779.18315616733832</v>
      </c>
      <c r="GJ37" s="180">
        <v>799.33053297955166</v>
      </c>
      <c r="GK37" s="180">
        <v>757.39590505661897</v>
      </c>
      <c r="GL37" s="181">
        <v>747.80270400312838</v>
      </c>
      <c r="GM37" s="180">
        <v>687.48982443992861</v>
      </c>
      <c r="GN37" s="180">
        <v>722.59634557279639</v>
      </c>
      <c r="GO37" s="180">
        <v>676.21193223457033</v>
      </c>
      <c r="GP37" s="180">
        <v>671.7878329495561</v>
      </c>
      <c r="GQ37" s="180">
        <v>695.01551915212758</v>
      </c>
      <c r="GR37" s="181">
        <v>708.45073127353862</v>
      </c>
      <c r="GS37" s="180">
        <v>789.73209844623204</v>
      </c>
      <c r="GT37" s="180">
        <v>745.10735844846988</v>
      </c>
      <c r="GU37" s="180">
        <v>742.45051890718764</v>
      </c>
      <c r="GV37" s="180">
        <v>748.36146394184755</v>
      </c>
      <c r="GW37" s="180">
        <v>742.03562106656693</v>
      </c>
      <c r="GX37" s="180">
        <v>766.09794809867049</v>
      </c>
      <c r="GY37" s="180">
        <v>786.0024040312818</v>
      </c>
      <c r="GZ37" s="100">
        <v>767</v>
      </c>
      <c r="HA37" s="100">
        <v>915</v>
      </c>
      <c r="HB37" s="99">
        <v>993</v>
      </c>
      <c r="HC37" s="99">
        <v>1081</v>
      </c>
      <c r="HD37" s="99">
        <v>1069</v>
      </c>
      <c r="HE37" s="99">
        <v>1201</v>
      </c>
      <c r="HF37" s="100">
        <v>1289</v>
      </c>
      <c r="HG37" s="99">
        <v>1381</v>
      </c>
      <c r="HH37" s="99">
        <v>1595</v>
      </c>
      <c r="HI37" s="99">
        <v>1629</v>
      </c>
      <c r="HJ37" s="99">
        <v>1990</v>
      </c>
      <c r="HK37" s="99">
        <v>2380</v>
      </c>
      <c r="HL37" s="99">
        <v>2583</v>
      </c>
      <c r="HM37" s="99">
        <v>2717</v>
      </c>
      <c r="HN37" s="99">
        <v>3139</v>
      </c>
      <c r="HO37" s="99">
        <v>3242</v>
      </c>
      <c r="HP37" s="99">
        <v>3849</v>
      </c>
      <c r="HQ37" s="99">
        <v>4250</v>
      </c>
      <c r="HR37" s="99">
        <v>4900</v>
      </c>
      <c r="HS37" s="99">
        <v>5414</v>
      </c>
      <c r="HT37" s="99">
        <v>5554</v>
      </c>
      <c r="HU37" s="99">
        <v>5807</v>
      </c>
      <c r="HV37" s="180">
        <v>6138.5697830623621</v>
      </c>
      <c r="HW37" s="180">
        <v>6286.3346918261568</v>
      </c>
      <c r="HX37" s="180">
        <v>6699.3148670630026</v>
      </c>
      <c r="HY37" s="180">
        <v>6744.3317590516899</v>
      </c>
      <c r="HZ37" s="180">
        <v>7079.489244911786</v>
      </c>
      <c r="IA37" s="181">
        <v>7406.2165338016894</v>
      </c>
      <c r="IB37" s="180">
        <v>7477.7032995659038</v>
      </c>
      <c r="IC37" s="180">
        <v>7618.2298123354321</v>
      </c>
      <c r="ID37" s="180">
        <v>7929.7597136952527</v>
      </c>
      <c r="IE37" s="180">
        <v>8210.6969456859642</v>
      </c>
      <c r="IF37" s="180">
        <v>8556.9072924516022</v>
      </c>
      <c r="IG37" s="181">
        <v>8843.2249860455031</v>
      </c>
      <c r="IH37" s="180">
        <v>9148.2545806775615</v>
      </c>
      <c r="II37" s="180">
        <v>8557.9631246484441</v>
      </c>
      <c r="IJ37" s="180">
        <v>8144.6890677303381</v>
      </c>
      <c r="IK37" s="180">
        <v>7664.8616926759787</v>
      </c>
      <c r="IL37" s="180">
        <v>7517.9621966007944</v>
      </c>
      <c r="IM37" s="180">
        <v>7430.7903300741982</v>
      </c>
      <c r="IN37" s="180">
        <v>7496.1456538406783</v>
      </c>
      <c r="IO37" s="100">
        <v>22884</v>
      </c>
      <c r="IP37" s="100">
        <v>23577</v>
      </c>
      <c r="IQ37" s="99">
        <v>23467</v>
      </c>
      <c r="IR37" s="99">
        <v>23777</v>
      </c>
      <c r="IS37" s="99">
        <v>23626</v>
      </c>
      <c r="IT37" s="99">
        <v>24627</v>
      </c>
      <c r="IU37" s="100">
        <v>24499</v>
      </c>
      <c r="IV37" s="99">
        <v>24784</v>
      </c>
      <c r="IW37" s="99">
        <v>25880</v>
      </c>
      <c r="IX37" s="99">
        <v>25782</v>
      </c>
      <c r="IY37" s="99">
        <v>26464</v>
      </c>
      <c r="IZ37" s="99">
        <v>27207</v>
      </c>
      <c r="JA37" s="99">
        <v>26981</v>
      </c>
      <c r="JB37" s="99">
        <v>26482</v>
      </c>
      <c r="JC37" s="99">
        <v>26248</v>
      </c>
      <c r="JD37" s="99">
        <v>26227</v>
      </c>
      <c r="JE37" s="99">
        <v>26846</v>
      </c>
      <c r="JF37" s="99">
        <v>26558</v>
      </c>
      <c r="JG37" s="99">
        <v>25675</v>
      </c>
      <c r="JH37" s="99">
        <v>26048.021371261919</v>
      </c>
      <c r="JI37" s="99">
        <v>25462.84656108739</v>
      </c>
      <c r="JJ37" s="99">
        <v>24839.924450181563</v>
      </c>
      <c r="JK37" s="180">
        <v>25426.611616444479</v>
      </c>
      <c r="JL37" s="180">
        <v>24697.109328694518</v>
      </c>
      <c r="JM37" s="180">
        <v>25134.711473558684</v>
      </c>
      <c r="JN37" s="180">
        <v>24900.946674736544</v>
      </c>
      <c r="JO37" s="180">
        <v>24771.634898590444</v>
      </c>
      <c r="JP37" s="181">
        <v>24662.622022544976</v>
      </c>
      <c r="JQ37" s="180">
        <v>24433.347846748195</v>
      </c>
      <c r="JR37" s="180">
        <v>24723.435304368064</v>
      </c>
      <c r="JS37" s="180">
        <v>24848.970061431737</v>
      </c>
      <c r="JT37" s="180">
        <v>24853.315725908793</v>
      </c>
      <c r="JU37" s="180">
        <v>25609.958400391857</v>
      </c>
      <c r="JV37" s="181">
        <v>26616.432838028108</v>
      </c>
      <c r="JW37" s="180">
        <v>25913.34039338713</v>
      </c>
      <c r="JX37" s="180">
        <v>25041.65628605404</v>
      </c>
      <c r="JY37" s="180">
        <v>24220.570914246811</v>
      </c>
      <c r="JZ37" s="180">
        <v>24168.514859220028</v>
      </c>
      <c r="KA37" s="180">
        <v>24219.159554439786</v>
      </c>
      <c r="KB37" s="180">
        <v>24366.658701396787</v>
      </c>
      <c r="KC37" s="180">
        <v>24622.802944022656</v>
      </c>
    </row>
    <row r="38" spans="1:289">
      <c r="A38" s="175" t="s">
        <v>61</v>
      </c>
      <c r="B38" s="100">
        <v>24946</v>
      </c>
      <c r="C38" s="100">
        <v>24197</v>
      </c>
      <c r="D38" s="99">
        <v>26407</v>
      </c>
      <c r="E38" s="99">
        <v>27670</v>
      </c>
      <c r="F38" s="99">
        <v>26293</v>
      </c>
      <c r="G38" s="99">
        <v>30753</v>
      </c>
      <c r="H38" s="100">
        <v>31416</v>
      </c>
      <c r="I38" s="99">
        <v>31574</v>
      </c>
      <c r="J38" s="99">
        <v>32501</v>
      </c>
      <c r="K38" s="99">
        <v>31036</v>
      </c>
      <c r="L38" s="99">
        <v>30183</v>
      </c>
      <c r="M38" s="99">
        <v>29527</v>
      </c>
      <c r="N38" s="99">
        <v>30252</v>
      </c>
      <c r="O38" s="99">
        <v>30253</v>
      </c>
      <c r="P38" s="99">
        <v>29050</v>
      </c>
      <c r="Q38" s="99">
        <v>28276</v>
      </c>
      <c r="R38" s="99">
        <v>28167</v>
      </c>
      <c r="S38" s="99">
        <v>30463</v>
      </c>
      <c r="T38" s="99">
        <v>31481</v>
      </c>
      <c r="U38" s="99">
        <v>30888</v>
      </c>
      <c r="V38" s="99">
        <v>31157</v>
      </c>
      <c r="W38" s="99">
        <v>33186</v>
      </c>
      <c r="X38" s="546">
        <v>43220</v>
      </c>
      <c r="Y38" s="180">
        <v>33260.443844504676</v>
      </c>
      <c r="Z38" s="180">
        <v>34198.657071531052</v>
      </c>
      <c r="AA38" s="180">
        <v>35455.392077354561</v>
      </c>
      <c r="AB38" s="180">
        <v>36766.039278438846</v>
      </c>
      <c r="AC38" s="180">
        <v>37674.118931133278</v>
      </c>
      <c r="AD38" s="181">
        <v>38093.26336633644</v>
      </c>
      <c r="AE38" s="180">
        <v>38611.055928309455</v>
      </c>
      <c r="AF38" s="180">
        <v>39843.357781383711</v>
      </c>
      <c r="AG38" s="180">
        <v>40458.223343645448</v>
      </c>
      <c r="AH38" s="180">
        <v>40619.678147803315</v>
      </c>
      <c r="AI38" s="180">
        <v>41687.176720234798</v>
      </c>
      <c r="AJ38" s="181">
        <v>42722.469174371261</v>
      </c>
      <c r="AK38" s="180">
        <v>43654.509800703869</v>
      </c>
      <c r="AL38" s="180">
        <v>42297.838006506958</v>
      </c>
      <c r="AM38" s="180">
        <v>40916.364342115929</v>
      </c>
      <c r="AN38" s="180">
        <v>40043.13476871718</v>
      </c>
      <c r="AO38" s="180">
        <v>40236.598796537408</v>
      </c>
      <c r="AP38" s="180">
        <v>39893.101520782162</v>
      </c>
      <c r="AQ38" s="180">
        <v>40047.016781074861</v>
      </c>
      <c r="AR38" s="533">
        <f t="shared" si="78"/>
        <v>819</v>
      </c>
      <c r="AS38" s="534">
        <f t="shared" si="79"/>
        <v>749</v>
      </c>
      <c r="AT38" s="534">
        <f t="shared" si="80"/>
        <v>803</v>
      </c>
      <c r="AU38" s="534">
        <f t="shared" si="81"/>
        <v>791</v>
      </c>
      <c r="AV38" s="534">
        <f t="shared" si="82"/>
        <v>701</v>
      </c>
      <c r="AW38" s="534">
        <f t="shared" si="83"/>
        <v>878</v>
      </c>
      <c r="AX38" s="534">
        <f t="shared" si="84"/>
        <v>969</v>
      </c>
      <c r="AY38" s="534">
        <f t="shared" si="85"/>
        <v>976</v>
      </c>
      <c r="AZ38" s="534">
        <f t="shared" si="86"/>
        <v>1059</v>
      </c>
      <c r="BA38" s="534">
        <f t="shared" si="87"/>
        <v>1116</v>
      </c>
      <c r="BB38" s="534">
        <f t="shared" si="88"/>
        <v>1130</v>
      </c>
      <c r="BC38" s="534">
        <f t="shared" si="89"/>
        <v>1148</v>
      </c>
      <c r="BD38" s="534">
        <f t="shared" si="90"/>
        <v>1221</v>
      </c>
      <c r="BE38" s="534">
        <f t="shared" si="91"/>
        <v>1221</v>
      </c>
      <c r="BF38" s="534">
        <f t="shared" si="92"/>
        <v>1185</v>
      </c>
      <c r="BG38" s="534">
        <f t="shared" si="93"/>
        <v>1266</v>
      </c>
      <c r="BH38" s="534">
        <f t="shared" si="94"/>
        <v>1250</v>
      </c>
      <c r="BI38" s="534">
        <f t="shared" si="95"/>
        <v>1506</v>
      </c>
      <c r="BJ38" s="534">
        <f t="shared" si="96"/>
        <v>1555</v>
      </c>
      <c r="BK38" s="534">
        <f t="shared" si="97"/>
        <v>1510.3140875446979</v>
      </c>
      <c r="BL38" s="534">
        <f t="shared" si="98"/>
        <v>1531.7144269895955</v>
      </c>
      <c r="BM38" s="534">
        <f t="shared" si="99"/>
        <v>1530.7896379052263</v>
      </c>
      <c r="BN38" s="186">
        <f t="shared" si="100"/>
        <v>1542.7178551486113</v>
      </c>
      <c r="BO38" s="186">
        <f t="shared" si="101"/>
        <v>1553.6645906296214</v>
      </c>
      <c r="BP38" s="186">
        <f t="shared" si="102"/>
        <v>1592.3971204648428</v>
      </c>
      <c r="BQ38" s="186">
        <f t="shared" si="103"/>
        <v>1602.7992533476131</v>
      </c>
      <c r="BR38" s="186">
        <f t="shared" si="104"/>
        <v>1632.2972983645486</v>
      </c>
      <c r="BS38" s="186">
        <f t="shared" si="105"/>
        <v>1547.2334269024366</v>
      </c>
      <c r="BT38" s="186">
        <f t="shared" si="106"/>
        <v>1549.6065550449134</v>
      </c>
      <c r="BU38" s="186">
        <f t="shared" si="107"/>
        <v>1651.3132513593237</v>
      </c>
      <c r="BV38" s="186">
        <f t="shared" si="108"/>
        <v>1597.4777033905261</v>
      </c>
      <c r="BW38" s="186">
        <f t="shared" si="109"/>
        <v>1545.3257587291027</v>
      </c>
      <c r="BX38" s="186">
        <f t="shared" si="110"/>
        <v>1478.8943658522398</v>
      </c>
      <c r="BY38" s="186">
        <f t="shared" si="111"/>
        <v>1560.8448276691042</v>
      </c>
      <c r="BZ38" s="186">
        <f t="shared" si="112"/>
        <v>1826.1221966252265</v>
      </c>
      <c r="CA38" s="186">
        <f t="shared" si="113"/>
        <v>1581.0353102840259</v>
      </c>
      <c r="CB38" s="186">
        <f t="shared" si="114"/>
        <v>1524.4576024576636</v>
      </c>
      <c r="CC38" s="186">
        <f t="shared" si="115"/>
        <v>1477.6830811231589</v>
      </c>
      <c r="CD38" s="186">
        <f t="shared" si="116"/>
        <v>1569.0877036993529</v>
      </c>
      <c r="CE38" s="186">
        <f t="shared" si="117"/>
        <v>1570.8131770942252</v>
      </c>
      <c r="CF38" s="186">
        <f t="shared" si="118"/>
        <v>1586.3090257819058</v>
      </c>
      <c r="CG38" s="100">
        <v>349</v>
      </c>
      <c r="CH38" s="100">
        <v>237</v>
      </c>
      <c r="CI38" s="99">
        <v>248</v>
      </c>
      <c r="CJ38" s="99">
        <v>231</v>
      </c>
      <c r="CK38" s="99">
        <v>212</v>
      </c>
      <c r="CL38" s="99">
        <v>261</v>
      </c>
      <c r="CM38" s="100">
        <v>280</v>
      </c>
      <c r="CN38" s="99">
        <v>291</v>
      </c>
      <c r="CO38" s="99">
        <v>328</v>
      </c>
      <c r="CP38" s="99">
        <v>348</v>
      </c>
      <c r="CQ38" s="99">
        <v>313</v>
      </c>
      <c r="CR38" s="99">
        <v>340</v>
      </c>
      <c r="CS38" s="99">
        <v>377</v>
      </c>
      <c r="CT38" s="99">
        <v>377</v>
      </c>
      <c r="CU38" s="99">
        <v>341</v>
      </c>
      <c r="CV38" s="99">
        <v>390</v>
      </c>
      <c r="CW38" s="99">
        <v>382</v>
      </c>
      <c r="CX38" s="99">
        <v>420</v>
      </c>
      <c r="CY38" s="99">
        <v>442</v>
      </c>
      <c r="CZ38" s="99">
        <v>389.36925199893693</v>
      </c>
      <c r="DA38" s="99">
        <v>399.74015820856715</v>
      </c>
      <c r="DB38" s="99">
        <v>378.821592682313</v>
      </c>
      <c r="DC38" s="180">
        <v>370.40873150368679</v>
      </c>
      <c r="DD38" s="180">
        <v>375.2780383975973</v>
      </c>
      <c r="DE38" s="180">
        <v>377.0916816920909</v>
      </c>
      <c r="DF38" s="180">
        <v>360.36528389305943</v>
      </c>
      <c r="DG38" s="180">
        <v>357.24731593070385</v>
      </c>
      <c r="DH38" s="181">
        <v>353.12839949486965</v>
      </c>
      <c r="DI38" s="180">
        <v>328.99425086227154</v>
      </c>
      <c r="DJ38" s="180">
        <v>342.11953130699214</v>
      </c>
      <c r="DK38" s="180">
        <v>309.33965145217792</v>
      </c>
      <c r="DL38" s="180">
        <v>291.78402100440144</v>
      </c>
      <c r="DM38" s="180">
        <v>290.05500322943141</v>
      </c>
      <c r="DN38" s="181">
        <v>306.38393457752824</v>
      </c>
      <c r="DO38" s="180">
        <v>324.35508317570788</v>
      </c>
      <c r="DP38" s="180">
        <v>292.49789754095343</v>
      </c>
      <c r="DQ38" s="180">
        <v>265.91636201829294</v>
      </c>
      <c r="DR38" s="180">
        <v>252.59264584636352</v>
      </c>
      <c r="DS38" s="180">
        <v>267.71025936836412</v>
      </c>
      <c r="DT38" s="180">
        <v>258.88117488482499</v>
      </c>
      <c r="DU38" s="180">
        <v>249.29376193241575</v>
      </c>
      <c r="DV38" s="100">
        <v>470</v>
      </c>
      <c r="DW38" s="100">
        <v>512</v>
      </c>
      <c r="DX38" s="99">
        <v>555</v>
      </c>
      <c r="DY38" s="99">
        <v>560</v>
      </c>
      <c r="DZ38" s="99">
        <v>489</v>
      </c>
      <c r="EA38" s="99">
        <v>617</v>
      </c>
      <c r="EB38" s="100">
        <v>689</v>
      </c>
      <c r="EC38" s="99">
        <v>685</v>
      </c>
      <c r="ED38" s="99">
        <v>731</v>
      </c>
      <c r="EE38" s="99">
        <v>768</v>
      </c>
      <c r="EF38" s="99">
        <v>817</v>
      </c>
      <c r="EG38" s="99">
        <v>808</v>
      </c>
      <c r="EH38" s="99">
        <v>844</v>
      </c>
      <c r="EI38" s="99">
        <v>844</v>
      </c>
      <c r="EJ38" s="99">
        <v>844</v>
      </c>
      <c r="EK38" s="99">
        <v>876</v>
      </c>
      <c r="EL38" s="99">
        <v>868</v>
      </c>
      <c r="EM38" s="99">
        <v>1086</v>
      </c>
      <c r="EN38" s="99">
        <v>1113</v>
      </c>
      <c r="EO38" s="99">
        <v>1120.944835545761</v>
      </c>
      <c r="EP38" s="99">
        <v>1131.9742687810283</v>
      </c>
      <c r="EQ38" s="99">
        <v>1151.9680452229134</v>
      </c>
      <c r="ER38" s="180">
        <v>1172.3091236449245</v>
      </c>
      <c r="ES38" s="180">
        <v>1178.3865522320241</v>
      </c>
      <c r="ET38" s="180">
        <v>1215.3054387727518</v>
      </c>
      <c r="EU38" s="180">
        <v>1242.4339694545538</v>
      </c>
      <c r="EV38" s="180">
        <v>1275.0499824338447</v>
      </c>
      <c r="EW38" s="181">
        <v>1194.1050274075669</v>
      </c>
      <c r="EX38" s="180">
        <v>1220.612304182642</v>
      </c>
      <c r="EY38" s="180">
        <v>1309.1937200523316</v>
      </c>
      <c r="EZ38" s="180">
        <v>1288.1380519383483</v>
      </c>
      <c r="FA38" s="180">
        <v>1253.5417377247013</v>
      </c>
      <c r="FB38" s="180">
        <v>1188.8393626228085</v>
      </c>
      <c r="FC38" s="181">
        <v>1254.4608930915761</v>
      </c>
      <c r="FD38" s="180">
        <v>1501.7671134495185</v>
      </c>
      <c r="FE38" s="180">
        <v>1288.5374127430723</v>
      </c>
      <c r="FF38" s="180">
        <v>1258.5412404393708</v>
      </c>
      <c r="FG38" s="180">
        <v>1225.0904352767955</v>
      </c>
      <c r="FH38" s="180">
        <v>1301.3774443309887</v>
      </c>
      <c r="FI38" s="180">
        <v>1311.9320022094003</v>
      </c>
      <c r="FJ38" s="180">
        <v>1337.0152638494901</v>
      </c>
      <c r="FK38" s="100">
        <v>108</v>
      </c>
      <c r="FL38" s="100">
        <v>86</v>
      </c>
      <c r="FM38" s="99">
        <v>92</v>
      </c>
      <c r="FN38" s="99">
        <v>90</v>
      </c>
      <c r="FO38" s="99">
        <v>94</v>
      </c>
      <c r="FP38" s="99">
        <v>133</v>
      </c>
      <c r="FQ38" s="100">
        <v>128</v>
      </c>
      <c r="FR38" s="99">
        <v>136</v>
      </c>
      <c r="FS38" s="99">
        <v>168</v>
      </c>
      <c r="FT38" s="99">
        <v>184</v>
      </c>
      <c r="FU38" s="99">
        <v>172</v>
      </c>
      <c r="FV38" s="99">
        <v>203</v>
      </c>
      <c r="FW38" s="99">
        <v>218</v>
      </c>
      <c r="FX38" s="99">
        <v>218</v>
      </c>
      <c r="FY38" s="99">
        <v>231</v>
      </c>
      <c r="FZ38" s="99">
        <v>231</v>
      </c>
      <c r="GA38" s="99">
        <v>229</v>
      </c>
      <c r="GB38" s="99">
        <v>344</v>
      </c>
      <c r="GC38" s="99">
        <v>367</v>
      </c>
      <c r="GD38" s="99">
        <v>362.89294922345692</v>
      </c>
      <c r="GE38" s="99">
        <v>380.27975574154601</v>
      </c>
      <c r="GF38" s="99">
        <v>407.73233647135544</v>
      </c>
      <c r="GG38" s="180">
        <v>387.0746849728655</v>
      </c>
      <c r="GH38" s="180">
        <v>373.21164820033027</v>
      </c>
      <c r="GI38" s="180">
        <v>395.90226367270191</v>
      </c>
      <c r="GJ38" s="180">
        <v>432.50305371748073</v>
      </c>
      <c r="GK38" s="180">
        <v>411.68953822263177</v>
      </c>
      <c r="GL38" s="181">
        <v>444.90060543691192</v>
      </c>
      <c r="GM38" s="180">
        <v>437.94724938530823</v>
      </c>
      <c r="GN38" s="180">
        <v>409.54795021280336</v>
      </c>
      <c r="GO38" s="180">
        <v>397.07542409194275</v>
      </c>
      <c r="GP38" s="180">
        <v>380.35616712791051</v>
      </c>
      <c r="GQ38" s="180">
        <v>384.00048438803327</v>
      </c>
      <c r="GR38" s="181">
        <v>381.764885720184</v>
      </c>
      <c r="GS38" s="180">
        <v>488.36401787575204</v>
      </c>
      <c r="GT38" s="180">
        <v>470.95307065202593</v>
      </c>
      <c r="GU38" s="180">
        <v>486.81202528679614</v>
      </c>
      <c r="GV38" s="180">
        <v>465.71134245120891</v>
      </c>
      <c r="GW38" s="180">
        <v>410.40393456602533</v>
      </c>
      <c r="GX38" s="180">
        <v>466.15334289145267</v>
      </c>
      <c r="GY38" s="180">
        <v>477.27628101624987</v>
      </c>
      <c r="GZ38" s="100">
        <v>699</v>
      </c>
      <c r="HA38" s="100">
        <v>685</v>
      </c>
      <c r="HB38" s="99">
        <v>740</v>
      </c>
      <c r="HC38" s="99">
        <v>736</v>
      </c>
      <c r="HD38" s="99">
        <v>732</v>
      </c>
      <c r="HE38" s="99">
        <v>970</v>
      </c>
      <c r="HF38" s="100">
        <v>1073</v>
      </c>
      <c r="HG38" s="99">
        <v>1234</v>
      </c>
      <c r="HH38" s="99">
        <v>1349</v>
      </c>
      <c r="HI38" s="99">
        <v>1527</v>
      </c>
      <c r="HJ38" s="99">
        <v>1574</v>
      </c>
      <c r="HK38" s="99">
        <v>1590</v>
      </c>
      <c r="HL38" s="99">
        <v>1838</v>
      </c>
      <c r="HM38" s="99">
        <v>1838</v>
      </c>
      <c r="HN38" s="99">
        <v>2021</v>
      </c>
      <c r="HO38" s="99">
        <v>2100</v>
      </c>
      <c r="HP38" s="99">
        <v>2063</v>
      </c>
      <c r="HQ38" s="99">
        <v>2707</v>
      </c>
      <c r="HR38" s="99">
        <v>3096</v>
      </c>
      <c r="HS38" s="99">
        <v>3295</v>
      </c>
      <c r="HT38" s="99">
        <v>3719</v>
      </c>
      <c r="HU38" s="99">
        <v>4100</v>
      </c>
      <c r="HV38" s="180">
        <v>4121.6508073676905</v>
      </c>
      <c r="HW38" s="180">
        <v>4340.3314733345633</v>
      </c>
      <c r="HX38" s="180">
        <v>4675.3351903805815</v>
      </c>
      <c r="HY38" s="180">
        <v>4952.2542537306108</v>
      </c>
      <c r="HZ38" s="180">
        <v>5192.7628616963439</v>
      </c>
      <c r="IA38" s="181">
        <v>5379.8376661179846</v>
      </c>
      <c r="IB38" s="180">
        <v>5643.3863851264341</v>
      </c>
      <c r="IC38" s="180">
        <v>5955.1481785661445</v>
      </c>
      <c r="ID38" s="180">
        <v>6023.9765750596134</v>
      </c>
      <c r="IE38" s="180">
        <v>6075.7751808911198</v>
      </c>
      <c r="IF38" s="180">
        <v>6237.6859618100334</v>
      </c>
      <c r="IG38" s="181">
        <v>6650.7160301103122</v>
      </c>
      <c r="IH38" s="180">
        <v>7389.1877191357744</v>
      </c>
      <c r="II38" s="180">
        <v>6866.7709561913489</v>
      </c>
      <c r="IJ38" s="180">
        <v>6239.859462236107</v>
      </c>
      <c r="IK38" s="180">
        <v>5906.6753688205699</v>
      </c>
      <c r="IL38" s="180">
        <v>5874.5976708283988</v>
      </c>
      <c r="IM38" s="180">
        <v>5959.5809263970586</v>
      </c>
      <c r="IN38" s="180">
        <v>6005.5077475844355</v>
      </c>
      <c r="IO38" s="100">
        <v>23320</v>
      </c>
      <c r="IP38" s="100">
        <v>22677</v>
      </c>
      <c r="IQ38" s="99">
        <v>24772</v>
      </c>
      <c r="IR38" s="99">
        <v>26053</v>
      </c>
      <c r="IS38" s="99">
        <v>24766</v>
      </c>
      <c r="IT38" s="99">
        <v>28772</v>
      </c>
      <c r="IU38" s="100">
        <v>29246</v>
      </c>
      <c r="IV38" s="99">
        <v>29228</v>
      </c>
      <c r="IW38" s="99">
        <v>29925</v>
      </c>
      <c r="IX38" s="99">
        <v>28209</v>
      </c>
      <c r="IY38" s="99">
        <v>27307</v>
      </c>
      <c r="IZ38" s="99">
        <v>26555</v>
      </c>
      <c r="JA38" s="99">
        <v>26975</v>
      </c>
      <c r="JB38" s="99">
        <v>26976</v>
      </c>
      <c r="JC38" s="99">
        <v>25575</v>
      </c>
      <c r="JD38" s="99">
        <v>24679</v>
      </c>
      <c r="JE38" s="99">
        <v>24549</v>
      </c>
      <c r="JF38" s="99">
        <v>25801</v>
      </c>
      <c r="JG38" s="99">
        <v>26357</v>
      </c>
      <c r="JH38" s="99">
        <v>25719.792963231845</v>
      </c>
      <c r="JI38" s="99">
        <v>25526.005817268859</v>
      </c>
      <c r="JJ38" s="99">
        <v>27147.478025623419</v>
      </c>
      <c r="JK38" s="180">
        <v>27062.790135664887</v>
      </c>
      <c r="JL38" s="180">
        <v>27790.478826087365</v>
      </c>
      <c r="JM38" s="180">
        <v>28674.248080375273</v>
      </c>
      <c r="JN38" s="180">
        <v>29687.663383259256</v>
      </c>
      <c r="JO38" s="180">
        <v>30348.630550180591</v>
      </c>
      <c r="JP38" s="181">
        <v>30605.468154415285</v>
      </c>
      <c r="JQ38" s="180">
        <v>30876.407650367742</v>
      </c>
      <c r="JR38" s="180">
        <v>31757.591465026286</v>
      </c>
      <c r="JS38" s="180">
        <v>32433.574409702422</v>
      </c>
      <c r="JT38" s="180">
        <v>32663.111058893905</v>
      </c>
      <c r="JU38" s="180">
        <v>33697.244837595928</v>
      </c>
      <c r="JV38" s="181">
        <v>34265.891375619089</v>
      </c>
      <c r="JW38" s="180">
        <v>34143.104066215405</v>
      </c>
      <c r="JX38" s="180">
        <v>33564.235715222152</v>
      </c>
      <c r="JY38" s="180">
        <v>32842.386366038219</v>
      </c>
      <c r="JZ38" s="180">
        <v>32380.037504513028</v>
      </c>
      <c r="KA38" s="180">
        <v>31689.633999811824</v>
      </c>
      <c r="KB38" s="180">
        <v>31214.105169920007</v>
      </c>
      <c r="KC38" s="180">
        <v>31238.232304403835</v>
      </c>
    </row>
    <row r="39" spans="1:289">
      <c r="A39" s="175" t="s">
        <v>62</v>
      </c>
      <c r="B39" s="100">
        <v>44381</v>
      </c>
      <c r="C39" s="100">
        <v>45262</v>
      </c>
      <c r="D39" s="99">
        <v>47235</v>
      </c>
      <c r="E39" s="99">
        <v>49294</v>
      </c>
      <c r="F39" s="99">
        <v>49862</v>
      </c>
      <c r="G39" s="99">
        <v>51609</v>
      </c>
      <c r="H39" s="100">
        <v>53678</v>
      </c>
      <c r="I39" s="99">
        <v>55418</v>
      </c>
      <c r="J39" s="99">
        <v>57598</v>
      </c>
      <c r="K39" s="99">
        <v>55081</v>
      </c>
      <c r="L39" s="99">
        <v>58311</v>
      </c>
      <c r="M39" s="99">
        <v>60435</v>
      </c>
      <c r="N39" s="99">
        <v>61274</v>
      </c>
      <c r="O39" s="99">
        <v>61094</v>
      </c>
      <c r="P39" s="99">
        <v>60213</v>
      </c>
      <c r="Q39" s="99">
        <v>62801</v>
      </c>
      <c r="R39" s="99">
        <v>61625</v>
      </c>
      <c r="S39" s="99">
        <v>62764</v>
      </c>
      <c r="T39" s="99">
        <v>66046</v>
      </c>
      <c r="U39" s="99">
        <v>66453</v>
      </c>
      <c r="V39" s="99">
        <v>65205</v>
      </c>
      <c r="W39" s="99">
        <v>66066</v>
      </c>
      <c r="X39" s="546">
        <v>69840</v>
      </c>
      <c r="Y39" s="180">
        <v>66299.216520137605</v>
      </c>
      <c r="Z39" s="180">
        <v>65885.163574780541</v>
      </c>
      <c r="AA39" s="180">
        <v>65893.858976854201</v>
      </c>
      <c r="AB39" s="180">
        <v>64872.64754076027</v>
      </c>
      <c r="AC39" s="180">
        <v>66606.251779523707</v>
      </c>
      <c r="AD39" s="181">
        <v>66807.07285551606</v>
      </c>
      <c r="AE39" s="180">
        <v>65490.230875698755</v>
      </c>
      <c r="AF39" s="180">
        <v>66282.199546289732</v>
      </c>
      <c r="AG39" s="180">
        <v>66799.182479566647</v>
      </c>
      <c r="AH39" s="180">
        <v>67505.077155608582</v>
      </c>
      <c r="AI39" s="180">
        <v>68910.471240696294</v>
      </c>
      <c r="AJ39" s="181">
        <v>71343.130191122385</v>
      </c>
      <c r="AK39" s="180">
        <v>73001.756220753057</v>
      </c>
      <c r="AL39" s="180">
        <v>72126.768684485476</v>
      </c>
      <c r="AM39" s="180">
        <v>69746.611239592748</v>
      </c>
      <c r="AN39" s="180">
        <v>69929.511866751709</v>
      </c>
      <c r="AO39" s="180">
        <v>70420.14852987208</v>
      </c>
      <c r="AP39" s="180">
        <v>69774.575998559245</v>
      </c>
      <c r="AQ39" s="180">
        <v>71379.34418563488</v>
      </c>
      <c r="AR39" s="533">
        <f t="shared" si="78"/>
        <v>4654.9192863711141</v>
      </c>
      <c r="AS39" s="534">
        <f t="shared" si="79"/>
        <v>4747.323330698483</v>
      </c>
      <c r="AT39" s="534">
        <f t="shared" si="80"/>
        <v>4954.2622404123294</v>
      </c>
      <c r="AU39" s="534">
        <f t="shared" si="81"/>
        <v>5170.2212952023992</v>
      </c>
      <c r="AV39" s="534">
        <f t="shared" si="82"/>
        <v>5229.7962068686265</v>
      </c>
      <c r="AW39" s="534">
        <f t="shared" si="83"/>
        <v>5413</v>
      </c>
      <c r="AX39" s="534">
        <f t="shared" si="84"/>
        <v>5630</v>
      </c>
      <c r="AY39" s="534">
        <f t="shared" si="85"/>
        <v>5812</v>
      </c>
      <c r="AZ39" s="534">
        <f t="shared" si="86"/>
        <v>6041</v>
      </c>
      <c r="BA39" s="534">
        <f t="shared" si="87"/>
        <v>5743</v>
      </c>
      <c r="BB39" s="534">
        <f t="shared" si="88"/>
        <v>6150</v>
      </c>
      <c r="BC39" s="534">
        <f t="shared" si="89"/>
        <v>6341</v>
      </c>
      <c r="BD39" s="534">
        <f t="shared" si="90"/>
        <v>6433</v>
      </c>
      <c r="BE39" s="534">
        <f t="shared" si="91"/>
        <v>6387</v>
      </c>
      <c r="BF39" s="534">
        <f t="shared" si="92"/>
        <v>6523</v>
      </c>
      <c r="BG39" s="534">
        <f t="shared" si="93"/>
        <v>6969</v>
      </c>
      <c r="BH39" s="534">
        <f t="shared" si="94"/>
        <v>6715</v>
      </c>
      <c r="BI39" s="534">
        <f t="shared" si="95"/>
        <v>7077</v>
      </c>
      <c r="BJ39" s="534">
        <f t="shared" si="96"/>
        <v>7330</v>
      </c>
      <c r="BK39" s="534">
        <f t="shared" si="97"/>
        <v>6893.3882988828809</v>
      </c>
      <c r="BL39" s="534">
        <f t="shared" si="98"/>
        <v>7057.9630600656483</v>
      </c>
      <c r="BM39" s="534">
        <f t="shared" si="99"/>
        <v>6983.1649600223463</v>
      </c>
      <c r="BN39" s="186">
        <f t="shared" si="100"/>
        <v>7078.364125578224</v>
      </c>
      <c r="BO39" s="186">
        <f t="shared" si="101"/>
        <v>7020.9811360194526</v>
      </c>
      <c r="BP39" s="186">
        <f t="shared" si="102"/>
        <v>6826.3127726132298</v>
      </c>
      <c r="BQ39" s="186">
        <f t="shared" si="103"/>
        <v>6582.0337058160903</v>
      </c>
      <c r="BR39" s="186">
        <f t="shared" si="104"/>
        <v>6963.2173354566121</v>
      </c>
      <c r="BS39" s="186">
        <f t="shared" si="105"/>
        <v>7043.4495239142971</v>
      </c>
      <c r="BT39" s="186">
        <f t="shared" si="106"/>
        <v>6975.714321504699</v>
      </c>
      <c r="BU39" s="186">
        <f t="shared" si="107"/>
        <v>7063.3028278520605</v>
      </c>
      <c r="BV39" s="186">
        <f t="shared" si="108"/>
        <v>7162.9701700538662</v>
      </c>
      <c r="BW39" s="186">
        <f t="shared" si="109"/>
        <v>7134.8784221744236</v>
      </c>
      <c r="BX39" s="186">
        <f t="shared" si="110"/>
        <v>6860.1619881987863</v>
      </c>
      <c r="BY39" s="186">
        <f t="shared" si="111"/>
        <v>7139.0137104401174</v>
      </c>
      <c r="BZ39" s="186">
        <f t="shared" si="112"/>
        <v>8023.9418880249877</v>
      </c>
      <c r="CA39" s="186">
        <f t="shared" si="113"/>
        <v>7883.7603339791667</v>
      </c>
      <c r="CB39" s="186">
        <f t="shared" si="114"/>
        <v>7644.7234950346474</v>
      </c>
      <c r="CC39" s="186">
        <f t="shared" si="115"/>
        <v>7595.5128793590256</v>
      </c>
      <c r="CD39" s="186">
        <f t="shared" si="116"/>
        <v>8176.9481850867605</v>
      </c>
      <c r="CE39" s="186">
        <f t="shared" si="117"/>
        <v>8100.1974531284295</v>
      </c>
      <c r="CF39" s="186">
        <f t="shared" si="118"/>
        <v>8555.5035030119343</v>
      </c>
      <c r="CG39" s="100">
        <v>855.43266238365129</v>
      </c>
      <c r="CH39" s="100">
        <v>872.41371678891471</v>
      </c>
      <c r="CI39" s="99">
        <v>910.44279776687699</v>
      </c>
      <c r="CJ39" s="99">
        <v>950.12950721118739</v>
      </c>
      <c r="CK39" s="99">
        <v>961.0775649889282</v>
      </c>
      <c r="CL39" s="99">
        <v>995</v>
      </c>
      <c r="CM39" s="100">
        <v>1035</v>
      </c>
      <c r="CN39" s="99">
        <v>1068</v>
      </c>
      <c r="CO39" s="99">
        <v>1110</v>
      </c>
      <c r="CP39" s="99">
        <v>1068</v>
      </c>
      <c r="CQ39" s="99">
        <v>1120</v>
      </c>
      <c r="CR39" s="99">
        <v>1162</v>
      </c>
      <c r="CS39" s="99">
        <v>1270</v>
      </c>
      <c r="CT39" s="99">
        <v>1249</v>
      </c>
      <c r="CU39" s="99">
        <v>1170</v>
      </c>
      <c r="CV39" s="99">
        <v>1273</v>
      </c>
      <c r="CW39" s="99">
        <v>1219</v>
      </c>
      <c r="CX39" s="99">
        <v>1217</v>
      </c>
      <c r="CY39" s="99">
        <v>1437</v>
      </c>
      <c r="CZ39" s="99">
        <v>970.94667985499143</v>
      </c>
      <c r="DA39" s="99">
        <v>904.5184042717583</v>
      </c>
      <c r="DB39" s="99">
        <v>792.59919162796666</v>
      </c>
      <c r="DC39" s="180">
        <v>841.09955037525242</v>
      </c>
      <c r="DD39" s="180">
        <v>794.66554508065337</v>
      </c>
      <c r="DE39" s="180">
        <v>719.47779158682761</v>
      </c>
      <c r="DF39" s="180">
        <v>667.57604419342431</v>
      </c>
      <c r="DG39" s="180">
        <v>623.84059410695568</v>
      </c>
      <c r="DH39" s="181">
        <v>580.51976306543725</v>
      </c>
      <c r="DI39" s="180">
        <v>517.52633240547163</v>
      </c>
      <c r="DJ39" s="180">
        <v>490.96554807592196</v>
      </c>
      <c r="DK39" s="180">
        <v>446.13542727565408</v>
      </c>
      <c r="DL39" s="180">
        <v>408.25304269479267</v>
      </c>
      <c r="DM39" s="180">
        <v>377.76665136366006</v>
      </c>
      <c r="DN39" s="181">
        <v>350.9835195709673</v>
      </c>
      <c r="DO39" s="180">
        <v>409.85993771092575</v>
      </c>
      <c r="DP39" s="180">
        <v>408.23370475722538</v>
      </c>
      <c r="DQ39" s="180">
        <v>373.86689107542321</v>
      </c>
      <c r="DR39" s="180">
        <v>354.38072465288786</v>
      </c>
      <c r="DS39" s="180">
        <v>341.49059066470704</v>
      </c>
      <c r="DT39" s="180">
        <v>347.71864365330674</v>
      </c>
      <c r="DU39" s="180">
        <v>349.32661536806825</v>
      </c>
      <c r="DV39" s="100">
        <v>3799.4866239874632</v>
      </c>
      <c r="DW39" s="100">
        <v>3874.9096139095682</v>
      </c>
      <c r="DX39" s="99">
        <v>4043.8194426454525</v>
      </c>
      <c r="DY39" s="99">
        <v>4220.0917879912122</v>
      </c>
      <c r="DZ39" s="99">
        <v>4268.7186418796982</v>
      </c>
      <c r="EA39" s="99">
        <v>4418</v>
      </c>
      <c r="EB39" s="100">
        <v>4595</v>
      </c>
      <c r="EC39" s="99">
        <v>4744</v>
      </c>
      <c r="ED39" s="99">
        <v>4931</v>
      </c>
      <c r="EE39" s="99">
        <v>4675</v>
      </c>
      <c r="EF39" s="99">
        <v>5030</v>
      </c>
      <c r="EG39" s="99">
        <v>5179</v>
      </c>
      <c r="EH39" s="99">
        <v>5163</v>
      </c>
      <c r="EI39" s="99">
        <v>5138</v>
      </c>
      <c r="EJ39" s="99">
        <v>5353</v>
      </c>
      <c r="EK39" s="99">
        <v>5696</v>
      </c>
      <c r="EL39" s="99">
        <v>5496</v>
      </c>
      <c r="EM39" s="99">
        <v>5860</v>
      </c>
      <c r="EN39" s="99">
        <v>5893</v>
      </c>
      <c r="EO39" s="99">
        <v>5922.4416190278898</v>
      </c>
      <c r="EP39" s="99">
        <v>6153.44465579389</v>
      </c>
      <c r="EQ39" s="99">
        <v>6190.56576839438</v>
      </c>
      <c r="ER39" s="180">
        <v>6237.2645752029712</v>
      </c>
      <c r="ES39" s="180">
        <v>6226.3155909387988</v>
      </c>
      <c r="ET39" s="180">
        <v>6106.8349810264026</v>
      </c>
      <c r="EU39" s="180">
        <v>5914.4576616226659</v>
      </c>
      <c r="EV39" s="180">
        <v>6339.3767413496562</v>
      </c>
      <c r="EW39" s="181">
        <v>6462.9297608488596</v>
      </c>
      <c r="EX39" s="180">
        <v>6458.1879890992277</v>
      </c>
      <c r="EY39" s="180">
        <v>6572.3372797761385</v>
      </c>
      <c r="EZ39" s="180">
        <v>6716.8347427782119</v>
      </c>
      <c r="FA39" s="180">
        <v>6726.6253794796312</v>
      </c>
      <c r="FB39" s="180">
        <v>6482.3953368351258</v>
      </c>
      <c r="FC39" s="181">
        <v>6788.0301908691499</v>
      </c>
      <c r="FD39" s="180">
        <v>7614.0819503140619</v>
      </c>
      <c r="FE39" s="180">
        <v>7475.5266292219412</v>
      </c>
      <c r="FF39" s="180">
        <v>7270.8566039592242</v>
      </c>
      <c r="FG39" s="180">
        <v>7241.132154706138</v>
      </c>
      <c r="FH39" s="180">
        <v>7835.4575944220533</v>
      </c>
      <c r="FI39" s="180">
        <v>7752.4788094751229</v>
      </c>
      <c r="FJ39" s="180">
        <v>8206.1768876438655</v>
      </c>
      <c r="FK39" s="100">
        <v>1748.9162272913088</v>
      </c>
      <c r="FL39" s="100">
        <v>1783.6336783682029</v>
      </c>
      <c r="FM39" s="99">
        <v>1861.3834297583419</v>
      </c>
      <c r="FN39" s="99">
        <v>1942.5221718324908</v>
      </c>
      <c r="FO39" s="99">
        <v>1964.9052730943249</v>
      </c>
      <c r="FP39" s="99">
        <v>2034</v>
      </c>
      <c r="FQ39" s="100">
        <v>2115</v>
      </c>
      <c r="FR39" s="99">
        <v>2184</v>
      </c>
      <c r="FS39" s="99">
        <v>2270</v>
      </c>
      <c r="FT39" s="99">
        <v>2157</v>
      </c>
      <c r="FU39" s="99">
        <v>2306</v>
      </c>
      <c r="FV39" s="99">
        <v>2388</v>
      </c>
      <c r="FW39" s="99">
        <v>2630</v>
      </c>
      <c r="FX39" s="99">
        <v>2673</v>
      </c>
      <c r="FY39" s="99">
        <v>2673</v>
      </c>
      <c r="FZ39" s="99">
        <v>2749</v>
      </c>
      <c r="GA39" s="99">
        <v>2699</v>
      </c>
      <c r="GB39" s="99">
        <v>2961</v>
      </c>
      <c r="GC39" s="99">
        <v>3130</v>
      </c>
      <c r="GD39" s="99">
        <v>3003.0789373586363</v>
      </c>
      <c r="GE39" s="99">
        <v>2987.3986193015553</v>
      </c>
      <c r="GF39" s="99">
        <v>3085.9397729282009</v>
      </c>
      <c r="GG39" s="180">
        <v>3126.8754626233526</v>
      </c>
      <c r="GH39" s="180">
        <v>2954.9775310745122</v>
      </c>
      <c r="GI39" s="180">
        <v>2807.9914378404342</v>
      </c>
      <c r="GJ39" s="180">
        <v>2727.6537851892776</v>
      </c>
      <c r="GK39" s="180">
        <v>2768.0754343015428</v>
      </c>
      <c r="GL39" s="181">
        <v>2687.533755523958</v>
      </c>
      <c r="GM39" s="180">
        <v>2582.8770800191323</v>
      </c>
      <c r="GN39" s="180">
        <v>2553.27218178771</v>
      </c>
      <c r="GO39" s="180">
        <v>2540.8957249513255</v>
      </c>
      <c r="GP39" s="180">
        <v>2507.9528535429986</v>
      </c>
      <c r="GQ39" s="180">
        <v>2610.4244659647798</v>
      </c>
      <c r="GR39" s="181">
        <v>2680.2588868099606</v>
      </c>
      <c r="GS39" s="180">
        <v>2864.4211329942332</v>
      </c>
      <c r="GT39" s="180">
        <v>2887.2431990785158</v>
      </c>
      <c r="GU39" s="180">
        <v>2853.0322413327285</v>
      </c>
      <c r="GV39" s="180">
        <v>2875.7995069341982</v>
      </c>
      <c r="GW39" s="180">
        <v>2916.9892900283489</v>
      </c>
      <c r="GX39" s="180">
        <v>3051.2318291836473</v>
      </c>
      <c r="GY39" s="180">
        <v>3142.2560631716847</v>
      </c>
      <c r="GZ39" s="100">
        <v>3007.9669165210562</v>
      </c>
      <c r="HA39" s="100">
        <v>3067.6775776926174</v>
      </c>
      <c r="HB39" s="99">
        <v>3201.3996372743313</v>
      </c>
      <c r="HC39" s="99">
        <v>3340.9504333608738</v>
      </c>
      <c r="HD39" s="99">
        <v>3379.4472046950928</v>
      </c>
      <c r="HE39" s="99">
        <v>3498</v>
      </c>
      <c r="HF39" s="100">
        <v>3638</v>
      </c>
      <c r="HG39" s="99">
        <v>3756</v>
      </c>
      <c r="HH39" s="99">
        <v>3904</v>
      </c>
      <c r="HI39" s="99">
        <v>3495</v>
      </c>
      <c r="HJ39" s="99">
        <v>3937</v>
      </c>
      <c r="HK39" s="99">
        <v>4373</v>
      </c>
      <c r="HL39" s="99">
        <v>4549</v>
      </c>
      <c r="HM39" s="99">
        <v>4893</v>
      </c>
      <c r="HN39" s="99">
        <v>5203</v>
      </c>
      <c r="HO39" s="99">
        <v>5625</v>
      </c>
      <c r="HP39" s="99">
        <v>5678</v>
      </c>
      <c r="HQ39" s="99">
        <v>6398</v>
      </c>
      <c r="HR39" s="99">
        <v>6971</v>
      </c>
      <c r="HS39" s="99">
        <v>8962</v>
      </c>
      <c r="HT39" s="99">
        <v>9505</v>
      </c>
      <c r="HU39" s="99">
        <v>10092</v>
      </c>
      <c r="HV39" s="180">
        <v>10733.169935299547</v>
      </c>
      <c r="HW39" s="180">
        <v>11343.21586458578</v>
      </c>
      <c r="HX39" s="180">
        <v>12067.625023275406</v>
      </c>
      <c r="HY39" s="180">
        <v>12385.280250279349</v>
      </c>
      <c r="HZ39" s="180">
        <v>13286.961983283651</v>
      </c>
      <c r="IA39" s="181">
        <v>14499.903686714015</v>
      </c>
      <c r="IB39" s="180">
        <v>14710.021368434038</v>
      </c>
      <c r="IC39" s="180">
        <v>15556.013624125959</v>
      </c>
      <c r="ID39" s="180">
        <v>16546.342585652055</v>
      </c>
      <c r="IE39" s="180">
        <v>17846.37506724077</v>
      </c>
      <c r="IF39" s="180">
        <v>19161.531591755269</v>
      </c>
      <c r="IG39" s="181">
        <v>20762.147924934066</v>
      </c>
      <c r="IH39" s="180">
        <v>20890.333879583533</v>
      </c>
      <c r="II39" s="180">
        <v>20641.50103989233</v>
      </c>
      <c r="IJ39" s="180">
        <v>19561.073203241343</v>
      </c>
      <c r="IK39" s="180">
        <v>19329.228727749942</v>
      </c>
      <c r="IL39" s="180">
        <v>19074.795360235265</v>
      </c>
      <c r="IM39" s="180">
        <v>18802.939209932098</v>
      </c>
      <c r="IN39" s="180">
        <v>19044.835318203324</v>
      </c>
      <c r="IO39" s="100">
        <v>34969.197569816519</v>
      </c>
      <c r="IP39" s="100">
        <v>35663.365413240695</v>
      </c>
      <c r="IQ39" s="99">
        <v>37217.954692555002</v>
      </c>
      <c r="IR39" s="99">
        <v>38840.306099604233</v>
      </c>
      <c r="IS39" s="99">
        <v>39287.851315341955</v>
      </c>
      <c r="IT39" s="99">
        <v>40664</v>
      </c>
      <c r="IU39" s="100">
        <v>42295</v>
      </c>
      <c r="IV39" s="99">
        <v>43666</v>
      </c>
      <c r="IW39" s="99">
        <v>45383</v>
      </c>
      <c r="IX39" s="99">
        <v>43686</v>
      </c>
      <c r="IY39" s="99">
        <v>45918</v>
      </c>
      <c r="IZ39" s="99">
        <v>47333</v>
      </c>
      <c r="JA39" s="99">
        <v>47582</v>
      </c>
      <c r="JB39" s="99">
        <v>46943</v>
      </c>
      <c r="JC39" s="99">
        <v>45814</v>
      </c>
      <c r="JD39" s="99">
        <v>46996</v>
      </c>
      <c r="JE39" s="99">
        <v>45905</v>
      </c>
      <c r="JF39" s="99">
        <v>45496</v>
      </c>
      <c r="JG39" s="99">
        <v>46124</v>
      </c>
      <c r="JH39" s="99">
        <v>47594.532763758485</v>
      </c>
      <c r="JI39" s="99">
        <v>45654.638320632796</v>
      </c>
      <c r="JJ39" s="99">
        <v>45904.895267049455</v>
      </c>
      <c r="JK39" s="180">
        <v>44975.982265837098</v>
      </c>
      <c r="JL39" s="180">
        <v>44336.274201181324</v>
      </c>
      <c r="JM39" s="180">
        <v>44497.819462851592</v>
      </c>
      <c r="JN39" s="180">
        <v>43697.711056111802</v>
      </c>
      <c r="JO39" s="180">
        <v>44374.432196466769</v>
      </c>
      <c r="JP39" s="181">
        <v>43653.925173297888</v>
      </c>
      <c r="JQ39" s="180">
        <v>42652.304455184472</v>
      </c>
      <c r="JR39" s="180">
        <v>42987.027777749281</v>
      </c>
      <c r="JS39" s="180">
        <v>42996.869877972735</v>
      </c>
      <c r="JT39" s="180">
        <v>43177.825600269854</v>
      </c>
      <c r="JU39" s="180">
        <v>44182.821994425241</v>
      </c>
      <c r="JV39" s="181">
        <v>45614.483794005704</v>
      </c>
      <c r="JW39" s="180">
        <v>45645.569432137861</v>
      </c>
      <c r="JX39" s="180">
        <v>44996.289059715295</v>
      </c>
      <c r="JY39" s="180">
        <v>43765.69997852901</v>
      </c>
      <c r="JZ39" s="180">
        <v>43201.485893190125</v>
      </c>
      <c r="KA39" s="180">
        <v>43513.692809360997</v>
      </c>
      <c r="KB39" s="180">
        <v>43011.878230657392</v>
      </c>
      <c r="KC39" s="180">
        <v>43854.250834098588</v>
      </c>
    </row>
    <row r="40" spans="1:289">
      <c r="A40" s="176" t="s">
        <v>63</v>
      </c>
      <c r="B40" s="102">
        <v>5818</v>
      </c>
      <c r="C40" s="102">
        <v>5953</v>
      </c>
      <c r="D40" s="101">
        <v>5997</v>
      </c>
      <c r="E40" s="101">
        <v>5889</v>
      </c>
      <c r="F40" s="101">
        <v>5892</v>
      </c>
      <c r="G40" s="101">
        <v>6381</v>
      </c>
      <c r="H40" s="102">
        <v>6416</v>
      </c>
      <c r="I40" s="101">
        <v>6348</v>
      </c>
      <c r="J40" s="101">
        <v>6462</v>
      </c>
      <c r="K40" s="101">
        <v>6071</v>
      </c>
      <c r="L40" s="101">
        <v>6106</v>
      </c>
      <c r="M40" s="101">
        <v>5845</v>
      </c>
      <c r="N40" s="101">
        <v>5833</v>
      </c>
      <c r="O40" s="101">
        <v>5616</v>
      </c>
      <c r="P40" s="101">
        <v>5527</v>
      </c>
      <c r="Q40" s="101">
        <v>5441</v>
      </c>
      <c r="R40" s="101">
        <v>5494</v>
      </c>
      <c r="S40" s="101">
        <v>5493</v>
      </c>
      <c r="T40" s="101">
        <v>5695</v>
      </c>
      <c r="U40" s="101">
        <v>5600</v>
      </c>
      <c r="V40" s="101">
        <v>5553</v>
      </c>
      <c r="W40" s="101">
        <v>5489</v>
      </c>
      <c r="X40" s="544">
        <v>5590</v>
      </c>
      <c r="Y40" s="182">
        <v>5596.9908723928556</v>
      </c>
      <c r="Z40" s="182">
        <v>5555.6118884896596</v>
      </c>
      <c r="AA40" s="182">
        <v>5613.2181543303441</v>
      </c>
      <c r="AB40" s="182">
        <v>5657.3834884656198</v>
      </c>
      <c r="AC40" s="182">
        <v>5719.5714526740067</v>
      </c>
      <c r="AD40" s="179">
        <v>5751.1788679360097</v>
      </c>
      <c r="AE40" s="182">
        <v>5718.018386548104</v>
      </c>
      <c r="AF40" s="182">
        <v>6026.0196285638076</v>
      </c>
      <c r="AG40" s="182">
        <v>6024.5089871355221</v>
      </c>
      <c r="AH40" s="182">
        <v>6294.4080091733722</v>
      </c>
      <c r="AI40" s="182">
        <v>6478.4261168654166</v>
      </c>
      <c r="AJ40" s="179">
        <v>6646.4767488063344</v>
      </c>
      <c r="AK40" s="182">
        <v>6925.3726310052789</v>
      </c>
      <c r="AL40" s="182">
        <v>6784.0450264451065</v>
      </c>
      <c r="AM40" s="182">
        <v>6475.2815862081798</v>
      </c>
      <c r="AN40" s="182">
        <v>6319.6690852767124</v>
      </c>
      <c r="AO40" s="182">
        <v>6413.200080686267</v>
      </c>
      <c r="AP40" s="182">
        <v>6461.5478517571937</v>
      </c>
      <c r="AQ40" s="182">
        <v>6509.1392603686891</v>
      </c>
      <c r="AR40" s="539">
        <f t="shared" si="78"/>
        <v>170</v>
      </c>
      <c r="AS40" s="540">
        <f t="shared" si="79"/>
        <v>134</v>
      </c>
      <c r="AT40" s="540">
        <f t="shared" si="80"/>
        <v>180</v>
      </c>
      <c r="AU40" s="540">
        <f t="shared" si="81"/>
        <v>153</v>
      </c>
      <c r="AV40" s="540">
        <f t="shared" si="82"/>
        <v>120</v>
      </c>
      <c r="AW40" s="540">
        <f t="shared" si="83"/>
        <v>161</v>
      </c>
      <c r="AX40" s="540">
        <f t="shared" si="84"/>
        <v>153</v>
      </c>
      <c r="AY40" s="540">
        <f t="shared" si="85"/>
        <v>75</v>
      </c>
      <c r="AZ40" s="540">
        <f t="shared" si="86"/>
        <v>134</v>
      </c>
      <c r="BA40" s="540">
        <f t="shared" si="87"/>
        <v>161</v>
      </c>
      <c r="BB40" s="540">
        <f t="shared" si="88"/>
        <v>153</v>
      </c>
      <c r="BC40" s="540">
        <f t="shared" si="89"/>
        <v>135</v>
      </c>
      <c r="BD40" s="540">
        <f t="shared" si="90"/>
        <v>153</v>
      </c>
      <c r="BE40" s="540">
        <f t="shared" si="91"/>
        <v>136</v>
      </c>
      <c r="BF40" s="540">
        <f t="shared" si="92"/>
        <v>225</v>
      </c>
      <c r="BG40" s="540">
        <f t="shared" si="93"/>
        <v>178</v>
      </c>
      <c r="BH40" s="540">
        <f t="shared" si="94"/>
        <v>167</v>
      </c>
      <c r="BI40" s="540">
        <f t="shared" si="95"/>
        <v>199</v>
      </c>
      <c r="BJ40" s="540">
        <f t="shared" si="96"/>
        <v>168.66862189745382</v>
      </c>
      <c r="BK40" s="540">
        <f t="shared" si="97"/>
        <v>185.49498503458301</v>
      </c>
      <c r="BL40" s="540">
        <f t="shared" si="98"/>
        <v>161.30027915477046</v>
      </c>
      <c r="BM40" s="540">
        <f t="shared" si="99"/>
        <v>157.15316955528624</v>
      </c>
      <c r="BN40" s="259">
        <f t="shared" si="100"/>
        <v>172.73511889765376</v>
      </c>
      <c r="BO40" s="259">
        <f t="shared" si="101"/>
        <v>174.40005191365623</v>
      </c>
      <c r="BP40" s="259">
        <f t="shared" si="102"/>
        <v>165.35576728716154</v>
      </c>
      <c r="BQ40" s="259">
        <f t="shared" si="103"/>
        <v>166.98924649515831</v>
      </c>
      <c r="BR40" s="259">
        <f t="shared" si="104"/>
        <v>164.8815195274762</v>
      </c>
      <c r="BS40" s="259">
        <f t="shared" si="105"/>
        <v>177.92374631419267</v>
      </c>
      <c r="BT40" s="259">
        <f t="shared" si="106"/>
        <v>184.1715863794123</v>
      </c>
      <c r="BU40" s="259">
        <f t="shared" si="107"/>
        <v>206.26932370018687</v>
      </c>
      <c r="BV40" s="259">
        <f t="shared" si="108"/>
        <v>210.30861505362918</v>
      </c>
      <c r="BW40" s="259">
        <f t="shared" si="109"/>
        <v>207.05673973063716</v>
      </c>
      <c r="BX40" s="259">
        <f t="shared" si="110"/>
        <v>200.87061861182576</v>
      </c>
      <c r="BY40" s="259">
        <f t="shared" si="111"/>
        <v>212.6881199572785</v>
      </c>
      <c r="BZ40" s="259">
        <f t="shared" si="112"/>
        <v>218.97830572636553</v>
      </c>
      <c r="CA40" s="259">
        <f t="shared" si="113"/>
        <v>201.50893414196292</v>
      </c>
      <c r="CB40" s="259">
        <f t="shared" si="114"/>
        <v>198.40735227921351</v>
      </c>
      <c r="CC40" s="259">
        <f t="shared" si="115"/>
        <v>194.30195599439489</v>
      </c>
      <c r="CD40" s="259">
        <f t="shared" si="116"/>
        <v>238.23192797984439</v>
      </c>
      <c r="CE40" s="259">
        <f t="shared" si="117"/>
        <v>235.17259077083222</v>
      </c>
      <c r="CF40" s="259">
        <f t="shared" si="118"/>
        <v>220.06606010320951</v>
      </c>
      <c r="CG40" s="102">
        <v>116</v>
      </c>
      <c r="CH40" s="102">
        <v>88</v>
      </c>
      <c r="CI40" s="101">
        <v>125</v>
      </c>
      <c r="CJ40" s="101">
        <v>95</v>
      </c>
      <c r="CK40" s="101">
        <v>87</v>
      </c>
      <c r="CL40" s="101">
        <v>106</v>
      </c>
      <c r="CM40" s="102">
        <v>104</v>
      </c>
      <c r="CN40" s="101">
        <v>42</v>
      </c>
      <c r="CO40" s="101">
        <v>85</v>
      </c>
      <c r="CP40" s="101">
        <v>98</v>
      </c>
      <c r="CQ40" s="101">
        <v>102</v>
      </c>
      <c r="CR40" s="101">
        <v>82</v>
      </c>
      <c r="CS40" s="101">
        <v>102</v>
      </c>
      <c r="CT40" s="101">
        <v>80</v>
      </c>
      <c r="CU40" s="101">
        <v>160</v>
      </c>
      <c r="CV40" s="101">
        <v>119</v>
      </c>
      <c r="CW40" s="101">
        <v>100</v>
      </c>
      <c r="CX40" s="101">
        <v>130</v>
      </c>
      <c r="CY40" s="101">
        <v>109.05818681714197</v>
      </c>
      <c r="CZ40" s="101">
        <v>121.62708909178662</v>
      </c>
      <c r="DA40" s="101">
        <v>107.50971116155515</v>
      </c>
      <c r="DB40" s="101">
        <v>89.359547799922154</v>
      </c>
      <c r="DC40" s="182">
        <v>100.70367343188406</v>
      </c>
      <c r="DD40" s="182">
        <v>101.70439822775491</v>
      </c>
      <c r="DE40" s="182">
        <v>103.06139229625389</v>
      </c>
      <c r="DF40" s="182">
        <v>98.220456261678137</v>
      </c>
      <c r="DG40" s="182">
        <v>100.21354624572656</v>
      </c>
      <c r="DH40" s="179">
        <v>108.26972735285379</v>
      </c>
      <c r="DI40" s="182">
        <v>112.50332756412696</v>
      </c>
      <c r="DJ40" s="182">
        <v>121.45237544133883</v>
      </c>
      <c r="DK40" s="182">
        <v>122.20702701248938</v>
      </c>
      <c r="DL40" s="182">
        <v>137.05468064303435</v>
      </c>
      <c r="DM40" s="182">
        <v>131.05620896545233</v>
      </c>
      <c r="DN40" s="179">
        <v>137.12958505839538</v>
      </c>
      <c r="DO40" s="182">
        <v>126.23511370069703</v>
      </c>
      <c r="DP40" s="182">
        <v>115.68339174275376</v>
      </c>
      <c r="DQ40" s="182">
        <v>122.84145761054906</v>
      </c>
      <c r="DR40" s="182">
        <v>106.79830124057119</v>
      </c>
      <c r="DS40" s="182">
        <v>135.28110435994381</v>
      </c>
      <c r="DT40" s="182">
        <v>115.28625552021182</v>
      </c>
      <c r="DU40" s="182">
        <v>113.3688357115381</v>
      </c>
      <c r="DV40" s="102">
        <v>54</v>
      </c>
      <c r="DW40" s="102">
        <v>46</v>
      </c>
      <c r="DX40" s="101">
        <v>55</v>
      </c>
      <c r="DY40" s="101">
        <v>58</v>
      </c>
      <c r="DZ40" s="101">
        <v>33</v>
      </c>
      <c r="EA40" s="101">
        <v>55</v>
      </c>
      <c r="EB40" s="102">
        <v>49</v>
      </c>
      <c r="EC40" s="101">
        <v>33</v>
      </c>
      <c r="ED40" s="101">
        <v>49</v>
      </c>
      <c r="EE40" s="101">
        <v>63</v>
      </c>
      <c r="EF40" s="101">
        <v>51</v>
      </c>
      <c r="EG40" s="101">
        <v>53</v>
      </c>
      <c r="EH40" s="101">
        <v>51</v>
      </c>
      <c r="EI40" s="101">
        <v>56</v>
      </c>
      <c r="EJ40" s="101">
        <v>65</v>
      </c>
      <c r="EK40" s="101">
        <v>59</v>
      </c>
      <c r="EL40" s="101">
        <v>67</v>
      </c>
      <c r="EM40" s="101">
        <v>69</v>
      </c>
      <c r="EN40" s="101">
        <v>59.610435080311852</v>
      </c>
      <c r="EO40" s="101">
        <v>63.867895942796409</v>
      </c>
      <c r="EP40" s="101">
        <v>53.790567993215312</v>
      </c>
      <c r="EQ40" s="101">
        <v>67.7936217553641</v>
      </c>
      <c r="ER40" s="182">
        <v>72.031445465769707</v>
      </c>
      <c r="ES40" s="182">
        <v>72.695653685901334</v>
      </c>
      <c r="ET40" s="182">
        <v>62.294374990907642</v>
      </c>
      <c r="EU40" s="182">
        <v>68.768790233480175</v>
      </c>
      <c r="EV40" s="182">
        <v>64.667973281749653</v>
      </c>
      <c r="EW40" s="179">
        <v>69.654018961338892</v>
      </c>
      <c r="EX40" s="182">
        <v>71.668258815285327</v>
      </c>
      <c r="EY40" s="182">
        <v>84.816948258848043</v>
      </c>
      <c r="EZ40" s="182">
        <v>88.10158804113982</v>
      </c>
      <c r="FA40" s="182">
        <v>70.002059087602831</v>
      </c>
      <c r="FB40" s="182">
        <v>69.814409646373434</v>
      </c>
      <c r="FC40" s="179">
        <v>75.55853489888311</v>
      </c>
      <c r="FD40" s="182">
        <v>92.743192025668492</v>
      </c>
      <c r="FE40" s="182">
        <v>85.825542399209155</v>
      </c>
      <c r="FF40" s="182">
        <v>75.565894668664455</v>
      </c>
      <c r="FG40" s="182">
        <v>87.503654753823696</v>
      </c>
      <c r="FH40" s="182">
        <v>102.95082361990059</v>
      </c>
      <c r="FI40" s="182">
        <v>119.88633525062039</v>
      </c>
      <c r="FJ40" s="182">
        <v>106.6972243916714</v>
      </c>
      <c r="FK40" s="102">
        <v>41</v>
      </c>
      <c r="FL40" s="102">
        <v>38</v>
      </c>
      <c r="FM40" s="101">
        <v>36</v>
      </c>
      <c r="FN40" s="101">
        <v>42</v>
      </c>
      <c r="FO40" s="101">
        <v>49</v>
      </c>
      <c r="FP40" s="101">
        <v>42</v>
      </c>
      <c r="FQ40" s="102">
        <v>49</v>
      </c>
      <c r="FR40" s="101">
        <v>112</v>
      </c>
      <c r="FS40" s="101">
        <v>29</v>
      </c>
      <c r="FT40" s="101">
        <v>53</v>
      </c>
      <c r="FU40" s="101">
        <v>60</v>
      </c>
      <c r="FV40" s="101">
        <v>62</v>
      </c>
      <c r="FW40" s="101">
        <v>33</v>
      </c>
      <c r="FX40" s="101">
        <v>48</v>
      </c>
      <c r="FY40" s="101">
        <v>64</v>
      </c>
      <c r="FZ40" s="101">
        <v>53</v>
      </c>
      <c r="GA40" s="101">
        <v>55</v>
      </c>
      <c r="GB40" s="101">
        <v>65</v>
      </c>
      <c r="GC40" s="101">
        <v>62.569608655766004</v>
      </c>
      <c r="GD40" s="101">
        <v>51.807610078439041</v>
      </c>
      <c r="GE40" s="101">
        <v>57.767360696346323</v>
      </c>
      <c r="GF40" s="101">
        <v>62.737397291983292</v>
      </c>
      <c r="GG40" s="182">
        <v>73.209477740791769</v>
      </c>
      <c r="GH40" s="182">
        <v>66.668673379649675</v>
      </c>
      <c r="GI40" s="182">
        <v>65.33598145653076</v>
      </c>
      <c r="GJ40" s="182">
        <v>63.532430485991696</v>
      </c>
      <c r="GK40" s="182">
        <v>85.718348344584669</v>
      </c>
      <c r="GL40" s="179">
        <v>69.665328455272459</v>
      </c>
      <c r="GM40" s="182">
        <v>61.196650462275244</v>
      </c>
      <c r="GN40" s="182">
        <v>62.827035808862533</v>
      </c>
      <c r="GO40" s="182">
        <v>73.940905686876377</v>
      </c>
      <c r="GP40" s="182">
        <v>84.29838822573754</v>
      </c>
      <c r="GQ40" s="182">
        <v>76.082864585507821</v>
      </c>
      <c r="GR40" s="179">
        <v>79.471618654847305</v>
      </c>
      <c r="GS40" s="182">
        <v>74.250197877001057</v>
      </c>
      <c r="GT40" s="182">
        <v>74.193751495618613</v>
      </c>
      <c r="GU40" s="182">
        <v>112.42164878803271</v>
      </c>
      <c r="GV40" s="182">
        <v>79.894187641880634</v>
      </c>
      <c r="GW40" s="182">
        <v>97.307427032809343</v>
      </c>
      <c r="GX40" s="182">
        <v>126.78159135324165</v>
      </c>
      <c r="GY40" s="182">
        <v>105.42996428651723</v>
      </c>
      <c r="GZ40" s="102">
        <v>330</v>
      </c>
      <c r="HA40" s="102">
        <v>335</v>
      </c>
      <c r="HB40" s="101">
        <v>311</v>
      </c>
      <c r="HC40" s="101">
        <v>329</v>
      </c>
      <c r="HD40" s="101">
        <v>276</v>
      </c>
      <c r="HE40" s="101">
        <v>315</v>
      </c>
      <c r="HF40" s="102">
        <v>340</v>
      </c>
      <c r="HG40" s="101">
        <v>362</v>
      </c>
      <c r="HH40" s="101">
        <v>353</v>
      </c>
      <c r="HI40" s="101">
        <v>279</v>
      </c>
      <c r="HJ40" s="101">
        <v>324</v>
      </c>
      <c r="HK40" s="101">
        <v>297</v>
      </c>
      <c r="HL40" s="101">
        <v>318</v>
      </c>
      <c r="HM40" s="101">
        <v>328</v>
      </c>
      <c r="HN40" s="101">
        <v>341</v>
      </c>
      <c r="HO40" s="101">
        <v>328</v>
      </c>
      <c r="HP40" s="101">
        <v>381</v>
      </c>
      <c r="HQ40" s="101">
        <v>414</v>
      </c>
      <c r="HR40" s="101">
        <v>500</v>
      </c>
      <c r="HS40" s="101">
        <v>565</v>
      </c>
      <c r="HT40" s="101">
        <v>545</v>
      </c>
      <c r="HU40" s="101">
        <v>565</v>
      </c>
      <c r="HV40" s="182">
        <v>605.60587621076581</v>
      </c>
      <c r="HW40" s="182">
        <v>593.48058507247242</v>
      </c>
      <c r="HX40" s="182">
        <v>649.9252964684523</v>
      </c>
      <c r="HY40" s="182">
        <v>662.40124691081053</v>
      </c>
      <c r="HZ40" s="182">
        <v>718.28184273062254</v>
      </c>
      <c r="IA40" s="179">
        <v>755.40163213982896</v>
      </c>
      <c r="IB40" s="182">
        <v>748.93859302394674</v>
      </c>
      <c r="IC40" s="182">
        <v>809.22155841429185</v>
      </c>
      <c r="ID40" s="182">
        <v>842.02458354269027</v>
      </c>
      <c r="IE40" s="182">
        <v>951.48452476863815</v>
      </c>
      <c r="IF40" s="182">
        <v>885.74763338248147</v>
      </c>
      <c r="IG40" s="179">
        <v>857.46496077031316</v>
      </c>
      <c r="IH40" s="182">
        <v>1116.8072418228439</v>
      </c>
      <c r="II40" s="182">
        <v>1028.8362680758505</v>
      </c>
      <c r="IJ40" s="182">
        <v>966.15203093374009</v>
      </c>
      <c r="IK40" s="182">
        <v>869.14540251911239</v>
      </c>
      <c r="IL40" s="182">
        <v>865.43152923394928</v>
      </c>
      <c r="IM40" s="182">
        <v>944.23142341899609</v>
      </c>
      <c r="IN40" s="182">
        <v>913.80473799617596</v>
      </c>
      <c r="IO40" s="102">
        <v>5277</v>
      </c>
      <c r="IP40" s="102">
        <v>5446</v>
      </c>
      <c r="IQ40" s="101">
        <v>5470</v>
      </c>
      <c r="IR40" s="101">
        <v>5365</v>
      </c>
      <c r="IS40" s="101">
        <v>5447</v>
      </c>
      <c r="IT40" s="101">
        <v>5863</v>
      </c>
      <c r="IU40" s="102">
        <v>5874</v>
      </c>
      <c r="IV40" s="101">
        <v>5799</v>
      </c>
      <c r="IW40" s="101">
        <v>5946</v>
      </c>
      <c r="IX40" s="101">
        <v>5578</v>
      </c>
      <c r="IY40" s="101">
        <v>5569</v>
      </c>
      <c r="IZ40" s="101">
        <v>5351</v>
      </c>
      <c r="JA40" s="101">
        <v>5329</v>
      </c>
      <c r="JB40" s="101">
        <v>5104</v>
      </c>
      <c r="JC40" s="101">
        <v>4897</v>
      </c>
      <c r="JD40" s="101">
        <v>4882</v>
      </c>
      <c r="JE40" s="101">
        <v>4891</v>
      </c>
      <c r="JF40" s="101">
        <v>4815</v>
      </c>
      <c r="JG40" s="101">
        <v>4963.7617694467799</v>
      </c>
      <c r="JH40" s="101">
        <v>4797.6974048869779</v>
      </c>
      <c r="JI40" s="101">
        <v>4788.9323601488832</v>
      </c>
      <c r="JJ40" s="101">
        <v>4704.1094331527302</v>
      </c>
      <c r="JK40" s="182">
        <v>4740.8587880182386</v>
      </c>
      <c r="JL40" s="182">
        <v>4717.7726972063847</v>
      </c>
      <c r="JM40" s="182">
        <v>4725.856637056022</v>
      </c>
      <c r="JN40" s="182">
        <v>4763.8073107632417</v>
      </c>
      <c r="JO40" s="182">
        <v>4742.396060547876</v>
      </c>
      <c r="JP40" s="179">
        <v>4734.9721612027524</v>
      </c>
      <c r="JQ40" s="182">
        <v>4708.1820380282406</v>
      </c>
      <c r="JR40" s="182">
        <v>4932.4749977221672</v>
      </c>
      <c r="JS40" s="182">
        <v>4884.097753889776</v>
      </c>
      <c r="JT40" s="182">
        <v>5028.3572437000266</v>
      </c>
      <c r="JU40" s="182">
        <v>5297.951306683779</v>
      </c>
      <c r="JV40" s="179">
        <v>5478.0301063187298</v>
      </c>
      <c r="JW40" s="182">
        <v>5553.5442777284779</v>
      </c>
      <c r="JX40" s="182">
        <v>5507.9514079117989</v>
      </c>
      <c r="JY40" s="182">
        <v>5221.2889421633336</v>
      </c>
      <c r="JZ40" s="182">
        <v>5133.0264380240142</v>
      </c>
      <c r="KA40" s="182">
        <v>5210.4309271409275</v>
      </c>
      <c r="KB40" s="182">
        <v>5196.2570065493674</v>
      </c>
      <c r="KC40" s="182">
        <v>5297.0317643720637</v>
      </c>
    </row>
    <row r="41" spans="1:289">
      <c r="A41" s="113" t="s">
        <v>328</v>
      </c>
      <c r="B41" s="185">
        <f>SUM(B44:B55)</f>
        <v>578128</v>
      </c>
      <c r="C41" s="185">
        <f t="shared" ref="C41:F41" si="119">SUM(C44:C55)</f>
        <v>587007.78950640641</v>
      </c>
      <c r="D41" s="185">
        <f t="shared" si="119"/>
        <v>570450.85867768386</v>
      </c>
      <c r="E41" s="185">
        <f t="shared" si="119"/>
        <v>586531.57319413207</v>
      </c>
      <c r="F41" s="185">
        <f t="shared" si="119"/>
        <v>591672</v>
      </c>
      <c r="G41" s="100">
        <v>601130</v>
      </c>
      <c r="H41" s="100">
        <v>623592</v>
      </c>
      <c r="I41" s="100">
        <v>628996</v>
      </c>
      <c r="J41" s="100">
        <v>630945</v>
      </c>
      <c r="K41" s="100">
        <v>627444</v>
      </c>
      <c r="L41" s="100">
        <v>634730</v>
      </c>
      <c r="M41" s="100">
        <v>656080</v>
      </c>
      <c r="N41" s="100">
        <v>663755.5</v>
      </c>
      <c r="O41" s="100">
        <v>660646</v>
      </c>
      <c r="P41" s="100">
        <v>668268</v>
      </c>
      <c r="Q41" s="100">
        <v>687482</v>
      </c>
      <c r="R41" s="100">
        <v>705639</v>
      </c>
      <c r="S41" s="100">
        <v>702181</v>
      </c>
      <c r="T41" s="100">
        <v>711527</v>
      </c>
      <c r="U41" s="100">
        <v>703375</v>
      </c>
      <c r="V41" s="100">
        <v>700934</v>
      </c>
      <c r="W41" s="100">
        <v>698523</v>
      </c>
      <c r="X41" s="545"/>
      <c r="Y41" s="180">
        <v>680375.25951892359</v>
      </c>
      <c r="Z41" s="180">
        <v>677017.09632732882</v>
      </c>
      <c r="AA41" s="180">
        <v>674644.47419174109</v>
      </c>
      <c r="AB41" s="180">
        <v>668269.28695086378</v>
      </c>
      <c r="AC41" s="180">
        <v>682247.33731237042</v>
      </c>
      <c r="AD41" s="180">
        <v>680398.33995967079</v>
      </c>
      <c r="AE41" s="180">
        <v>668192.85229803214</v>
      </c>
      <c r="AF41" s="180">
        <v>667821.25411808328</v>
      </c>
      <c r="AG41" s="180">
        <v>673251.59976729006</v>
      </c>
      <c r="AH41" s="180">
        <v>667847.77290548233</v>
      </c>
      <c r="AI41" s="180">
        <v>673123.84943238506</v>
      </c>
      <c r="AJ41" s="180">
        <v>680743.69049833913</v>
      </c>
      <c r="AK41" s="180">
        <v>668836.53703522542</v>
      </c>
      <c r="AL41" s="180">
        <v>652169.07124303724</v>
      </c>
      <c r="AM41" s="180">
        <v>631169.63530044933</v>
      </c>
      <c r="AN41" s="180">
        <v>623860.31039526721</v>
      </c>
      <c r="AO41" s="180">
        <v>622553.17400164914</v>
      </c>
      <c r="AP41" s="180">
        <v>620360.74283267779</v>
      </c>
      <c r="AQ41" s="180">
        <v>625704.16177012317</v>
      </c>
      <c r="AR41" s="533">
        <f t="shared" si="78"/>
        <v>13860.219764006413</v>
      </c>
      <c r="AS41" s="534">
        <f t="shared" si="79"/>
        <v>14681</v>
      </c>
      <c r="AT41" s="534">
        <f t="shared" si="80"/>
        <v>15107.231843508669</v>
      </c>
      <c r="AU41" s="534">
        <f t="shared" si="81"/>
        <v>15086</v>
      </c>
      <c r="AV41" s="534">
        <f t="shared" si="82"/>
        <v>15542</v>
      </c>
      <c r="AW41" s="534">
        <f t="shared" si="83"/>
        <v>15174</v>
      </c>
      <c r="AX41" s="534">
        <f t="shared" si="84"/>
        <v>16286</v>
      </c>
      <c r="AY41" s="534">
        <f t="shared" si="85"/>
        <v>17015</v>
      </c>
      <c r="AZ41" s="534">
        <f t="shared" si="86"/>
        <v>18049</v>
      </c>
      <c r="BA41" s="534">
        <f t="shared" si="87"/>
        <v>18704</v>
      </c>
      <c r="BB41" s="534">
        <f t="shared" si="88"/>
        <v>20107</v>
      </c>
      <c r="BC41" s="534">
        <f t="shared" si="89"/>
        <v>20194</v>
      </c>
      <c r="BD41" s="534">
        <f t="shared" si="90"/>
        <v>21151</v>
      </c>
      <c r="BE41" s="534">
        <f t="shared" si="91"/>
        <v>21651</v>
      </c>
      <c r="BF41" s="534">
        <f t="shared" si="92"/>
        <v>22837</v>
      </c>
      <c r="BG41" s="534">
        <f t="shared" si="93"/>
        <v>23282</v>
      </c>
      <c r="BH41" s="534">
        <f t="shared" si="94"/>
        <v>24157</v>
      </c>
      <c r="BI41" s="534">
        <f t="shared" si="95"/>
        <v>24065</v>
      </c>
      <c r="BJ41" s="534">
        <f t="shared" si="96"/>
        <v>24167.483132226178</v>
      </c>
      <c r="BK41" s="534">
        <f t="shared" si="97"/>
        <v>24991.148442560978</v>
      </c>
      <c r="BL41" s="534">
        <f t="shared" si="98"/>
        <v>25825.959277516293</v>
      </c>
      <c r="BM41" s="534">
        <f t="shared" si="99"/>
        <v>26581.080523958299</v>
      </c>
      <c r="BN41" s="186">
        <f t="shared" si="100"/>
        <v>26654.325311396813</v>
      </c>
      <c r="BO41" s="186">
        <f t="shared" si="101"/>
        <v>27200.567705610225</v>
      </c>
      <c r="BP41" s="186">
        <f t="shared" si="102"/>
        <v>27458.690862406766</v>
      </c>
      <c r="BQ41" s="186">
        <f t="shared" si="103"/>
        <v>27821.293121934228</v>
      </c>
      <c r="BR41" s="186">
        <f t="shared" si="104"/>
        <v>30069.219564465137</v>
      </c>
      <c r="BS41" s="186">
        <f t="shared" si="105"/>
        <v>30051.270552824284</v>
      </c>
      <c r="BT41" s="186">
        <f t="shared" si="106"/>
        <v>30710.193563633322</v>
      </c>
      <c r="BU41" s="186">
        <f t="shared" si="107"/>
        <v>31923.506944594548</v>
      </c>
      <c r="BV41" s="186">
        <f t="shared" si="108"/>
        <v>32650.643278321619</v>
      </c>
      <c r="BW41" s="186">
        <f t="shared" si="109"/>
        <v>32715.709669879478</v>
      </c>
      <c r="BX41" s="186">
        <f t="shared" si="110"/>
        <v>32664.589101878286</v>
      </c>
      <c r="BY41" s="186">
        <f t="shared" si="111"/>
        <v>33510.536820164234</v>
      </c>
      <c r="BZ41" s="186">
        <f t="shared" si="112"/>
        <v>34792.75744300834</v>
      </c>
      <c r="CA41" s="186">
        <f t="shared" si="113"/>
        <v>34354.16763677905</v>
      </c>
      <c r="CB41" s="186">
        <f t="shared" si="114"/>
        <v>33654.602194278537</v>
      </c>
      <c r="CC41" s="186">
        <f t="shared" si="115"/>
        <v>33734.496465161916</v>
      </c>
      <c r="CD41" s="186">
        <f t="shared" si="116"/>
        <v>35679.640703328558</v>
      </c>
      <c r="CE41" s="186">
        <f t="shared" si="117"/>
        <v>35446.622327416313</v>
      </c>
      <c r="CF41" s="186">
        <f t="shared" si="118"/>
        <v>36901.309461689496</v>
      </c>
      <c r="CG41" s="185">
        <f t="shared" ref="CG41:CK41" si="120">SUM(CG44:CG55)</f>
        <v>3038.5207214706406</v>
      </c>
      <c r="CH41" s="185">
        <f t="shared" si="120"/>
        <v>3321</v>
      </c>
      <c r="CI41" s="185">
        <f t="shared" si="120"/>
        <v>3445.5028702640643</v>
      </c>
      <c r="CJ41" s="185">
        <f t="shared" si="120"/>
        <v>3380</v>
      </c>
      <c r="CK41" s="185">
        <f t="shared" si="120"/>
        <v>3769</v>
      </c>
      <c r="CL41" s="100">
        <v>2942</v>
      </c>
      <c r="CM41" s="100">
        <v>3033</v>
      </c>
      <c r="CN41" s="100">
        <v>3038</v>
      </c>
      <c r="CO41" s="100">
        <v>3008</v>
      </c>
      <c r="CP41" s="100">
        <v>3211</v>
      </c>
      <c r="CQ41" s="100">
        <v>3548</v>
      </c>
      <c r="CR41" s="100">
        <v>3524</v>
      </c>
      <c r="CS41" s="100">
        <v>3778</v>
      </c>
      <c r="CT41" s="100">
        <v>3924</v>
      </c>
      <c r="CU41" s="100">
        <v>3808</v>
      </c>
      <c r="CV41" s="100">
        <v>4220</v>
      </c>
      <c r="CW41" s="100">
        <v>4258</v>
      </c>
      <c r="CX41" s="100">
        <v>4262</v>
      </c>
      <c r="CY41" s="100">
        <v>4376.459491791541</v>
      </c>
      <c r="CZ41" s="100">
        <v>4208.2642611304209</v>
      </c>
      <c r="DA41" s="100">
        <v>4258.6630567599059</v>
      </c>
      <c r="DB41" s="100">
        <v>4062.0297860619471</v>
      </c>
      <c r="DC41" s="180">
        <v>3870.3382090419827</v>
      </c>
      <c r="DD41" s="180">
        <v>3721.1721339021169</v>
      </c>
      <c r="DE41" s="180">
        <v>3700.0549166881383</v>
      </c>
      <c r="DF41" s="180">
        <v>3601.0312884952109</v>
      </c>
      <c r="DG41" s="180">
        <v>3566.1609060727869</v>
      </c>
      <c r="DH41" s="180">
        <v>3457.7878922978525</v>
      </c>
      <c r="DI41" s="180">
        <v>3298.2996174655382</v>
      </c>
      <c r="DJ41" s="180">
        <v>3257.1730993544024</v>
      </c>
      <c r="DK41" s="180">
        <v>3191.6470251279711</v>
      </c>
      <c r="DL41" s="180">
        <v>3079.1238258270173</v>
      </c>
      <c r="DM41" s="180">
        <v>2971.5230000822485</v>
      </c>
      <c r="DN41" s="180">
        <v>2992.0772913919486</v>
      </c>
      <c r="DO41" s="180">
        <v>3079.0918552519306</v>
      </c>
      <c r="DP41" s="180">
        <v>3030.8945980609228</v>
      </c>
      <c r="DQ41" s="180">
        <v>2865.9305264190516</v>
      </c>
      <c r="DR41" s="180">
        <v>2664.5977227336625</v>
      </c>
      <c r="DS41" s="180">
        <v>2598.4728079794686</v>
      </c>
      <c r="DT41" s="180">
        <v>2613.4174796174116</v>
      </c>
      <c r="DU41" s="180">
        <v>2661.6684169136811</v>
      </c>
      <c r="DV41" s="185">
        <f t="shared" ref="DV41:DZ41" si="121">SUM(DV44:DV55)</f>
        <v>10821.699042535773</v>
      </c>
      <c r="DW41" s="185">
        <f t="shared" si="121"/>
        <v>11360</v>
      </c>
      <c r="DX41" s="185">
        <f t="shared" si="121"/>
        <v>11661.728973244604</v>
      </c>
      <c r="DY41" s="185">
        <f t="shared" si="121"/>
        <v>11706</v>
      </c>
      <c r="DZ41" s="185">
        <f t="shared" si="121"/>
        <v>11773</v>
      </c>
      <c r="EA41" s="100">
        <v>12232</v>
      </c>
      <c r="EB41" s="100">
        <v>13253</v>
      </c>
      <c r="EC41" s="100">
        <v>13977</v>
      </c>
      <c r="ED41" s="100">
        <v>15041</v>
      </c>
      <c r="EE41" s="100">
        <v>15493</v>
      </c>
      <c r="EF41" s="100">
        <v>16559</v>
      </c>
      <c r="EG41" s="100">
        <v>16670</v>
      </c>
      <c r="EH41" s="100">
        <v>17373</v>
      </c>
      <c r="EI41" s="100">
        <v>17727</v>
      </c>
      <c r="EJ41" s="100">
        <v>19029</v>
      </c>
      <c r="EK41" s="100">
        <v>19062</v>
      </c>
      <c r="EL41" s="100">
        <v>19899</v>
      </c>
      <c r="EM41" s="100">
        <v>19803</v>
      </c>
      <c r="EN41" s="100">
        <v>19791.023640434636</v>
      </c>
      <c r="EO41" s="100">
        <v>20782.884181430556</v>
      </c>
      <c r="EP41" s="100">
        <v>21567.296220756387</v>
      </c>
      <c r="EQ41" s="100">
        <v>22519.050737896352</v>
      </c>
      <c r="ER41" s="180">
        <v>22783.987102354829</v>
      </c>
      <c r="ES41" s="180">
        <v>23479.395571708108</v>
      </c>
      <c r="ET41" s="180">
        <v>23758.635945718626</v>
      </c>
      <c r="EU41" s="180">
        <v>24220.261833439017</v>
      </c>
      <c r="EV41" s="180">
        <v>26503.05865839235</v>
      </c>
      <c r="EW41" s="180">
        <v>26593.482660526432</v>
      </c>
      <c r="EX41" s="180">
        <v>27411.893946167784</v>
      </c>
      <c r="EY41" s="180">
        <v>28666.333845240148</v>
      </c>
      <c r="EZ41" s="180">
        <v>29458.996253193647</v>
      </c>
      <c r="FA41" s="180">
        <v>29636.585844052461</v>
      </c>
      <c r="FB41" s="180">
        <v>29693.066101796037</v>
      </c>
      <c r="FC41" s="180">
        <v>30518.459528772284</v>
      </c>
      <c r="FD41" s="180">
        <v>31713.665587756408</v>
      </c>
      <c r="FE41" s="180">
        <v>31323.273038718129</v>
      </c>
      <c r="FF41" s="180">
        <v>30788.671667859486</v>
      </c>
      <c r="FG41" s="180">
        <v>31069.898742428253</v>
      </c>
      <c r="FH41" s="180">
        <v>33081.167895349092</v>
      </c>
      <c r="FI41" s="180">
        <v>32833.204847798901</v>
      </c>
      <c r="FJ41" s="180">
        <v>34239.641044775817</v>
      </c>
      <c r="FK41" s="185">
        <f t="shared" ref="FK41:FO41" si="122">SUM(FK44:FK55)</f>
        <v>51356.641529723202</v>
      </c>
      <c r="FL41" s="185">
        <f t="shared" si="122"/>
        <v>53061.7895064064</v>
      </c>
      <c r="FM41" s="185">
        <f t="shared" si="122"/>
        <v>50926.876928683414</v>
      </c>
      <c r="FN41" s="185">
        <f t="shared" si="122"/>
        <v>51621.57319413207</v>
      </c>
      <c r="FO41" s="185">
        <f t="shared" si="122"/>
        <v>51402</v>
      </c>
      <c r="FP41" s="100">
        <v>55849</v>
      </c>
      <c r="FQ41" s="100">
        <v>58396</v>
      </c>
      <c r="FR41" s="100">
        <v>58518</v>
      </c>
      <c r="FS41" s="100">
        <v>58351</v>
      </c>
      <c r="FT41" s="100">
        <v>58409</v>
      </c>
      <c r="FU41" s="100">
        <v>60381</v>
      </c>
      <c r="FV41" s="100">
        <v>62578</v>
      </c>
      <c r="FW41" s="100">
        <v>66391.5</v>
      </c>
      <c r="FX41" s="100">
        <v>69590</v>
      </c>
      <c r="FY41" s="100">
        <v>73479</v>
      </c>
      <c r="FZ41" s="100">
        <v>79675</v>
      </c>
      <c r="GA41" s="100">
        <v>83621</v>
      </c>
      <c r="GB41" s="100">
        <v>86525</v>
      </c>
      <c r="GC41" s="100">
        <v>91629.727513015954</v>
      </c>
      <c r="GD41" s="100">
        <v>91145.811941194406</v>
      </c>
      <c r="GE41" s="100">
        <v>90647.107785494722</v>
      </c>
      <c r="GF41" s="100">
        <v>87843.970600230765</v>
      </c>
      <c r="GG41" s="180">
        <v>85175.857805830441</v>
      </c>
      <c r="GH41" s="180">
        <v>85205.062968974496</v>
      </c>
      <c r="GI41" s="180">
        <v>82792.314790329634</v>
      </c>
      <c r="GJ41" s="180">
        <v>80346.743520677614</v>
      </c>
      <c r="GK41" s="180">
        <v>83215.757928811276</v>
      </c>
      <c r="GL41" s="180">
        <v>81794.878100197733</v>
      </c>
      <c r="GM41" s="180">
        <v>79293.820623495951</v>
      </c>
      <c r="GN41" s="180">
        <v>77504.248124822218</v>
      </c>
      <c r="GO41" s="180">
        <v>78155.301799380308</v>
      </c>
      <c r="GP41" s="180">
        <v>78314.375624259716</v>
      </c>
      <c r="GQ41" s="180">
        <v>80592.339979148295</v>
      </c>
      <c r="GR41" s="180">
        <v>82213.695938943696</v>
      </c>
      <c r="GS41" s="180">
        <v>82271.075526255445</v>
      </c>
      <c r="GT41" s="180">
        <v>80390.295481963898</v>
      </c>
      <c r="GU41" s="180">
        <v>77979.404399639665</v>
      </c>
      <c r="GV41" s="180">
        <v>75804.344194289821</v>
      </c>
      <c r="GW41" s="180">
        <v>76740.040723961545</v>
      </c>
      <c r="GX41" s="180">
        <v>77404.592968478348</v>
      </c>
      <c r="GY41" s="180">
        <v>78370.416710323901</v>
      </c>
      <c r="GZ41" s="185">
        <f t="shared" ref="GZ41:HD41" si="123">SUM(GZ44:GZ55)</f>
        <v>14590.218968699073</v>
      </c>
      <c r="HA41" s="185">
        <f t="shared" si="123"/>
        <v>15503</v>
      </c>
      <c r="HB41" s="185">
        <f t="shared" si="123"/>
        <v>15544.749905491763</v>
      </c>
      <c r="HC41" s="185">
        <f t="shared" si="123"/>
        <v>16007</v>
      </c>
      <c r="HD41" s="185">
        <f t="shared" si="123"/>
        <v>16685</v>
      </c>
      <c r="HE41" s="100">
        <v>18319</v>
      </c>
      <c r="HF41" s="100">
        <v>19750</v>
      </c>
      <c r="HG41" s="100">
        <v>20509</v>
      </c>
      <c r="HH41" s="100">
        <v>21105</v>
      </c>
      <c r="HI41" s="100">
        <v>21527</v>
      </c>
      <c r="HJ41" s="100">
        <v>23829</v>
      </c>
      <c r="HK41" s="100">
        <v>25598</v>
      </c>
      <c r="HL41" s="100">
        <v>28174.5</v>
      </c>
      <c r="HM41" s="100">
        <v>29670</v>
      </c>
      <c r="HN41" s="100">
        <v>31948</v>
      </c>
      <c r="HO41" s="100">
        <v>33771</v>
      </c>
      <c r="HP41" s="100">
        <v>37691</v>
      </c>
      <c r="HQ41" s="100">
        <v>40302</v>
      </c>
      <c r="HR41" s="100">
        <v>45909</v>
      </c>
      <c r="HS41" s="100">
        <v>48730</v>
      </c>
      <c r="HT41" s="100">
        <v>53081</v>
      </c>
      <c r="HU41" s="100">
        <v>56485</v>
      </c>
      <c r="HV41" s="180">
        <v>58066.170942805453</v>
      </c>
      <c r="HW41" s="180">
        <v>62561.096466911964</v>
      </c>
      <c r="HX41" s="180">
        <v>64084.093745587132</v>
      </c>
      <c r="HY41" s="180">
        <v>66370.745754017582</v>
      </c>
      <c r="HZ41" s="180">
        <v>71306.842723010923</v>
      </c>
      <c r="IA41" s="180">
        <v>75574.429302167948</v>
      </c>
      <c r="IB41" s="180">
        <v>77932.212829882264</v>
      </c>
      <c r="IC41" s="180">
        <v>80890.795698528003</v>
      </c>
      <c r="ID41" s="180">
        <v>84878.511347020583</v>
      </c>
      <c r="IE41" s="180">
        <v>88085.327954167646</v>
      </c>
      <c r="IF41" s="180">
        <v>91941.114717937045</v>
      </c>
      <c r="IG41" s="180">
        <v>95713.80665332191</v>
      </c>
      <c r="IH41" s="180">
        <v>92900.525166661129</v>
      </c>
      <c r="II41" s="180">
        <v>88562.506202606004</v>
      </c>
      <c r="IJ41" s="180">
        <v>82984.611924940575</v>
      </c>
      <c r="IK41" s="180">
        <v>80029.377721688274</v>
      </c>
      <c r="IL41" s="180">
        <v>79524.812290308386</v>
      </c>
      <c r="IM41" s="180">
        <v>77375.842298928546</v>
      </c>
      <c r="IN41" s="180">
        <v>78792.579549935705</v>
      </c>
      <c r="IO41" s="185">
        <f t="shared" ref="IO41:IS41" si="124">SUM(IO44:IO55)</f>
        <v>498320.91973757133</v>
      </c>
      <c r="IP41" s="185">
        <f t="shared" si="124"/>
        <v>503762</v>
      </c>
      <c r="IQ41" s="185">
        <f t="shared" si="124"/>
        <v>488872</v>
      </c>
      <c r="IR41" s="185">
        <f t="shared" si="124"/>
        <v>503817</v>
      </c>
      <c r="IS41" s="185">
        <f t="shared" si="124"/>
        <v>508043</v>
      </c>
      <c r="IT41" s="100">
        <v>511788</v>
      </c>
      <c r="IU41" s="100">
        <v>529160</v>
      </c>
      <c r="IV41" s="100">
        <v>532954</v>
      </c>
      <c r="IW41" s="100">
        <v>533440</v>
      </c>
      <c r="IX41" s="100">
        <v>528384</v>
      </c>
      <c r="IY41" s="100">
        <v>529895</v>
      </c>
      <c r="IZ41" s="100">
        <v>547007</v>
      </c>
      <c r="JA41" s="100">
        <v>546990.5</v>
      </c>
      <c r="JB41" s="100">
        <v>537481</v>
      </c>
      <c r="JC41" s="100">
        <v>539718</v>
      </c>
      <c r="JD41" s="100">
        <v>545981</v>
      </c>
      <c r="JE41" s="100">
        <v>554430</v>
      </c>
      <c r="JF41" s="100">
        <v>544718</v>
      </c>
      <c r="JG41" s="100">
        <v>542504.78935475787</v>
      </c>
      <c r="JH41" s="100">
        <v>538508.03961624461</v>
      </c>
      <c r="JI41" s="100">
        <v>531379.932936989</v>
      </c>
      <c r="JJ41" s="100">
        <v>527612.94887581095</v>
      </c>
      <c r="JK41" s="180">
        <v>509718.21079085761</v>
      </c>
      <c r="JL41" s="180">
        <v>502567.49390266207</v>
      </c>
      <c r="JM41" s="180">
        <v>503058.11068272253</v>
      </c>
      <c r="JN41" s="180">
        <v>498542.5343440072</v>
      </c>
      <c r="JO41" s="180">
        <v>503301.16809365706</v>
      </c>
      <c r="JP41" s="180">
        <v>500259.28735249123</v>
      </c>
      <c r="JQ41" s="180">
        <v>489664.27909877605</v>
      </c>
      <c r="JR41" s="180">
        <v>489489.06584430457</v>
      </c>
      <c r="JS41" s="180">
        <v>491816.47279440198</v>
      </c>
      <c r="JT41" s="180">
        <v>484813.69715441758</v>
      </c>
      <c r="JU41" s="180">
        <v>486035.03908061533</v>
      </c>
      <c r="JV41" s="180">
        <v>490068.555280314</v>
      </c>
      <c r="JW41" s="180">
        <v>476785.7721149993</v>
      </c>
      <c r="JX41" s="180">
        <v>465925.40976419265</v>
      </c>
      <c r="JY41" s="180">
        <v>452987.23667356442</v>
      </c>
      <c r="JZ41" s="180">
        <v>448199.40599057754</v>
      </c>
      <c r="KA41" s="180">
        <v>445228.70829331147</v>
      </c>
      <c r="KB41" s="180">
        <v>443969.05180416576</v>
      </c>
      <c r="KC41" s="180">
        <v>445824.05304179533</v>
      </c>
    </row>
    <row r="42" spans="1:289" ht="12.95">
      <c r="A42" s="285" t="s">
        <v>64</v>
      </c>
      <c r="B42" s="286">
        <f>+B41+B52+B54</f>
        <v>592866</v>
      </c>
      <c r="C42" s="286">
        <f t="shared" ref="C42:BS42" si="125">+C41+C52+C54</f>
        <v>602269.78950640641</v>
      </c>
      <c r="D42" s="286">
        <f t="shared" si="125"/>
        <v>586414.85867768386</v>
      </c>
      <c r="E42" s="286">
        <f t="shared" si="125"/>
        <v>602703.57319413207</v>
      </c>
      <c r="F42" s="286">
        <f t="shared" si="125"/>
        <v>608231</v>
      </c>
      <c r="G42" s="286">
        <f t="shared" si="125"/>
        <v>618161</v>
      </c>
      <c r="H42" s="286">
        <f t="shared" si="125"/>
        <v>640925</v>
      </c>
      <c r="I42" s="286">
        <f t="shared" si="125"/>
        <v>646141</v>
      </c>
      <c r="J42" s="286">
        <f t="shared" si="125"/>
        <v>648829</v>
      </c>
      <c r="K42" s="286">
        <f t="shared" si="125"/>
        <v>644770</v>
      </c>
      <c r="L42" s="286">
        <f t="shared" si="125"/>
        <v>651640</v>
      </c>
      <c r="M42" s="286">
        <f t="shared" si="125"/>
        <v>673248</v>
      </c>
      <c r="N42" s="286">
        <f t="shared" si="125"/>
        <v>680644.5</v>
      </c>
      <c r="O42" s="286">
        <f t="shared" si="125"/>
        <v>676786</v>
      </c>
      <c r="P42" s="286">
        <f t="shared" si="125"/>
        <v>684049</v>
      </c>
      <c r="Q42" s="286">
        <f t="shared" si="125"/>
        <v>702987</v>
      </c>
      <c r="R42" s="286">
        <f t="shared" si="125"/>
        <v>721220</v>
      </c>
      <c r="S42" s="286">
        <f t="shared" si="125"/>
        <v>717536</v>
      </c>
      <c r="T42" s="286">
        <f t="shared" si="125"/>
        <v>726844</v>
      </c>
      <c r="U42" s="286">
        <f t="shared" si="125"/>
        <v>718779</v>
      </c>
      <c r="V42" s="286">
        <f t="shared" si="125"/>
        <v>716072</v>
      </c>
      <c r="W42" s="286">
        <f t="shared" si="125"/>
        <v>713662</v>
      </c>
      <c r="X42" s="536">
        <f>SUM(X44:X55)</f>
        <v>710910</v>
      </c>
      <c r="Y42" s="286">
        <f t="shared" si="125"/>
        <v>695229.92841470346</v>
      </c>
      <c r="Z42" s="286">
        <f t="shared" si="125"/>
        <v>691848.81810697773</v>
      </c>
      <c r="AA42" s="286">
        <f t="shared" si="125"/>
        <v>689452.42307165056</v>
      </c>
      <c r="AB42" s="286">
        <f t="shared" si="125"/>
        <v>683197.91926779354</v>
      </c>
      <c r="AC42" s="286">
        <f t="shared" si="125"/>
        <v>697278.22428934439</v>
      </c>
      <c r="AD42" s="286">
        <f t="shared" si="125"/>
        <v>695627.1096506851</v>
      </c>
      <c r="AE42" s="286">
        <f t="shared" si="125"/>
        <v>683672.16783143161</v>
      </c>
      <c r="AF42" s="286">
        <f t="shared" si="125"/>
        <v>683777.83263016678</v>
      </c>
      <c r="AG42" s="286">
        <f t="shared" si="125"/>
        <v>689916.81345427013</v>
      </c>
      <c r="AH42" s="286">
        <f t="shared" si="125"/>
        <v>685135.17075983749</v>
      </c>
      <c r="AI42" s="286">
        <f t="shared" si="125"/>
        <v>691301.45839417889</v>
      </c>
      <c r="AJ42" s="286">
        <f t="shared" si="125"/>
        <v>699490.11526419432</v>
      </c>
      <c r="AK42" s="286">
        <f t="shared" si="125"/>
        <v>687207.15580137179</v>
      </c>
      <c r="AL42" s="286">
        <f t="shared" si="125"/>
        <v>670522.49975101196</v>
      </c>
      <c r="AM42" s="286">
        <f t="shared" si="125"/>
        <v>649606.63725360122</v>
      </c>
      <c r="AN42" s="286">
        <f t="shared" si="125"/>
        <v>642808.76088061777</v>
      </c>
      <c r="AO42" s="286">
        <f t="shared" si="125"/>
        <v>642279.1567208129</v>
      </c>
      <c r="AP42" s="286">
        <f t="shared" si="125"/>
        <v>640685.16694926238</v>
      </c>
      <c r="AQ42" s="286">
        <f t="shared" si="125"/>
        <v>646684.85188766452</v>
      </c>
      <c r="AR42" s="536">
        <f t="shared" si="125"/>
        <v>14557.439528012826</v>
      </c>
      <c r="AS42" s="536">
        <f t="shared" si="125"/>
        <v>15609</v>
      </c>
      <c r="AT42" s="536">
        <f t="shared" si="125"/>
        <v>16159.231843508669</v>
      </c>
      <c r="AU42" s="536">
        <f t="shared" si="125"/>
        <v>16071</v>
      </c>
      <c r="AV42" s="536">
        <f t="shared" si="125"/>
        <v>16577</v>
      </c>
      <c r="AW42" s="536">
        <f t="shared" si="125"/>
        <v>15973</v>
      </c>
      <c r="AX42" s="536">
        <f t="shared" si="125"/>
        <v>17123</v>
      </c>
      <c r="AY42" s="536">
        <f t="shared" si="125"/>
        <v>17787</v>
      </c>
      <c r="AZ42" s="536">
        <f t="shared" si="125"/>
        <v>18891</v>
      </c>
      <c r="BA42" s="536">
        <f t="shared" si="125"/>
        <v>19542</v>
      </c>
      <c r="BB42" s="536">
        <f t="shared" si="125"/>
        <v>20984</v>
      </c>
      <c r="BC42" s="536">
        <f t="shared" si="125"/>
        <v>21200</v>
      </c>
      <c r="BD42" s="536">
        <f t="shared" si="125"/>
        <v>22167</v>
      </c>
      <c r="BE42" s="536">
        <f t="shared" si="125"/>
        <v>22679</v>
      </c>
      <c r="BF42" s="536">
        <f t="shared" si="125"/>
        <v>23931</v>
      </c>
      <c r="BG42" s="536">
        <f t="shared" si="125"/>
        <v>24359</v>
      </c>
      <c r="BH42" s="536">
        <f t="shared" si="125"/>
        <v>25195</v>
      </c>
      <c r="BI42" s="536">
        <f t="shared" si="125"/>
        <v>25216</v>
      </c>
      <c r="BJ42" s="536">
        <f t="shared" si="125"/>
        <v>25301.483132226178</v>
      </c>
      <c r="BK42" s="536">
        <f t="shared" si="125"/>
        <v>26143.814968598519</v>
      </c>
      <c r="BL42" s="536">
        <f t="shared" si="125"/>
        <v>27009.99402854596</v>
      </c>
      <c r="BM42" s="536">
        <f t="shared" si="125"/>
        <v>27802.14639860484</v>
      </c>
      <c r="BN42" s="286">
        <f t="shared" si="125"/>
        <v>27914.77082432701</v>
      </c>
      <c r="BO42" s="286">
        <f t="shared" si="125"/>
        <v>28432.967702823975</v>
      </c>
      <c r="BP42" s="286">
        <f t="shared" si="125"/>
        <v>28752.609653673149</v>
      </c>
      <c r="BQ42" s="286">
        <f t="shared" si="125"/>
        <v>29060.80273175396</v>
      </c>
      <c r="BR42" s="286">
        <f t="shared" si="125"/>
        <v>31375.519421003624</v>
      </c>
      <c r="BS42" s="286">
        <f t="shared" si="125"/>
        <v>31453.43455179474</v>
      </c>
      <c r="BT42" s="286">
        <f t="shared" ref="BT42:EM42" si="126">+BT41+BT52+BT54</f>
        <v>32190.603381930479</v>
      </c>
      <c r="BU42" s="286">
        <f t="shared" si="126"/>
        <v>33428.627032474033</v>
      </c>
      <c r="BV42" s="286">
        <f t="shared" si="126"/>
        <v>34264.450757831626</v>
      </c>
      <c r="BW42" s="286">
        <f t="shared" si="126"/>
        <v>34324.640135408699</v>
      </c>
      <c r="BX42" s="286">
        <f t="shared" si="126"/>
        <v>34321.528915885268</v>
      </c>
      <c r="BY42" s="286">
        <f t="shared" si="126"/>
        <v>35232.572767891244</v>
      </c>
      <c r="BZ42" s="286">
        <f t="shared" si="126"/>
        <v>36554.8737806688</v>
      </c>
      <c r="CA42" s="286">
        <f t="shared" si="126"/>
        <v>36149.039962959883</v>
      </c>
      <c r="CB42" s="286">
        <f t="shared" si="126"/>
        <v>35465.389691607357</v>
      </c>
      <c r="CC42" s="286">
        <f t="shared" ref="CC42:CF42" si="127">+CC41+CC52+CC54</f>
        <v>35732.745106860006</v>
      </c>
      <c r="CD42" s="286">
        <f t="shared" si="127"/>
        <v>37768.685918866788</v>
      </c>
      <c r="CE42" s="286">
        <f t="shared" si="127"/>
        <v>37753.882267006011</v>
      </c>
      <c r="CF42" s="286">
        <f t="shared" si="127"/>
        <v>39337.131520184303</v>
      </c>
      <c r="CG42" s="286">
        <f t="shared" si="126"/>
        <v>3621.0414429412813</v>
      </c>
      <c r="CH42" s="286">
        <f t="shared" si="126"/>
        <v>4123</v>
      </c>
      <c r="CI42" s="286">
        <f t="shared" si="126"/>
        <v>4375.5028702640648</v>
      </c>
      <c r="CJ42" s="286">
        <f t="shared" si="126"/>
        <v>4229</v>
      </c>
      <c r="CK42" s="286">
        <f t="shared" si="126"/>
        <v>4692</v>
      </c>
      <c r="CL42" s="286">
        <f t="shared" si="126"/>
        <v>3638</v>
      </c>
      <c r="CM42" s="286">
        <f t="shared" si="126"/>
        <v>3750</v>
      </c>
      <c r="CN42" s="286">
        <f t="shared" si="126"/>
        <v>3688</v>
      </c>
      <c r="CO42" s="286">
        <f t="shared" si="126"/>
        <v>3722</v>
      </c>
      <c r="CP42" s="286">
        <f t="shared" si="126"/>
        <v>3918</v>
      </c>
      <c r="CQ42" s="286">
        <f t="shared" si="126"/>
        <v>4264</v>
      </c>
      <c r="CR42" s="286">
        <f t="shared" si="126"/>
        <v>4371</v>
      </c>
      <c r="CS42" s="286">
        <f t="shared" si="126"/>
        <v>4610</v>
      </c>
      <c r="CT42" s="286">
        <f t="shared" si="126"/>
        <v>4783</v>
      </c>
      <c r="CU42" s="286">
        <f t="shared" si="126"/>
        <v>4743</v>
      </c>
      <c r="CV42" s="286">
        <f t="shared" si="126"/>
        <v>5124</v>
      </c>
      <c r="CW42" s="286">
        <f t="shared" si="126"/>
        <v>5130</v>
      </c>
      <c r="CX42" s="286">
        <f t="shared" si="126"/>
        <v>5239</v>
      </c>
      <c r="CY42" s="286">
        <f t="shared" si="126"/>
        <v>5342.459491791541</v>
      </c>
      <c r="CZ42" s="286">
        <f t="shared" si="126"/>
        <v>5172.0395392156624</v>
      </c>
      <c r="DA42" s="286">
        <f t="shared" si="126"/>
        <v>5186.5731536611511</v>
      </c>
      <c r="DB42" s="286">
        <f t="shared" si="126"/>
        <v>5029.2550094657272</v>
      </c>
      <c r="DC42" s="286">
        <f t="shared" si="126"/>
        <v>4844.1187470241275</v>
      </c>
      <c r="DD42" s="286">
        <f t="shared" si="126"/>
        <v>4653.5845204326688</v>
      </c>
      <c r="DE42" s="286">
        <f t="shared" si="126"/>
        <v>4638.2350178622619</v>
      </c>
      <c r="DF42" s="286">
        <f t="shared" si="126"/>
        <v>4509.3378892329247</v>
      </c>
      <c r="DG42" s="286">
        <f t="shared" si="126"/>
        <v>4485.5143418000262</v>
      </c>
      <c r="DH42" s="286">
        <f t="shared" si="126"/>
        <v>4453.9221264569433</v>
      </c>
      <c r="DI42" s="286">
        <f t="shared" si="126"/>
        <v>4281.7605489963753</v>
      </c>
      <c r="DJ42" s="286">
        <f t="shared" si="126"/>
        <v>4223.6034482345849</v>
      </c>
      <c r="DK42" s="286">
        <f t="shared" si="126"/>
        <v>4215.6306094930587</v>
      </c>
      <c r="DL42" s="286">
        <f t="shared" si="126"/>
        <v>4145.2317635199433</v>
      </c>
      <c r="DM42" s="286">
        <f t="shared" si="126"/>
        <v>4012.6534229549729</v>
      </c>
      <c r="DN42" s="286">
        <f t="shared" si="126"/>
        <v>4054.3009157476013</v>
      </c>
      <c r="DO42" s="286">
        <f t="shared" si="126"/>
        <v>4159.48769745348</v>
      </c>
      <c r="DP42" s="286">
        <f t="shared" si="126"/>
        <v>4082.6239018499969</v>
      </c>
      <c r="DQ42" s="286">
        <f t="shared" si="126"/>
        <v>3868.8359620797446</v>
      </c>
      <c r="DR42" s="286">
        <f t="shared" si="126"/>
        <v>3714.9588912285521</v>
      </c>
      <c r="DS42" s="286">
        <f t="shared" si="126"/>
        <v>3646.24514701109</v>
      </c>
      <c r="DT42" s="286">
        <f t="shared" si="126"/>
        <v>3649.7310456733476</v>
      </c>
      <c r="DU42" s="286">
        <f t="shared" si="126"/>
        <v>3695.4018491770448</v>
      </c>
      <c r="DV42" s="286">
        <f t="shared" si="126"/>
        <v>10936.398085071545</v>
      </c>
      <c r="DW42" s="286">
        <f t="shared" si="126"/>
        <v>11486</v>
      </c>
      <c r="DX42" s="286">
        <f t="shared" si="126"/>
        <v>11783.728973244604</v>
      </c>
      <c r="DY42" s="286">
        <f t="shared" si="126"/>
        <v>11842</v>
      </c>
      <c r="DZ42" s="286">
        <f t="shared" si="126"/>
        <v>11885</v>
      </c>
      <c r="EA42" s="286">
        <f t="shared" si="126"/>
        <v>12335</v>
      </c>
      <c r="EB42" s="286">
        <f t="shared" si="126"/>
        <v>13373</v>
      </c>
      <c r="EC42" s="286">
        <f t="shared" si="126"/>
        <v>14099</v>
      </c>
      <c r="ED42" s="286">
        <f t="shared" si="126"/>
        <v>15169</v>
      </c>
      <c r="EE42" s="286">
        <f t="shared" si="126"/>
        <v>15624</v>
      </c>
      <c r="EF42" s="286">
        <f t="shared" si="126"/>
        <v>16720</v>
      </c>
      <c r="EG42" s="286">
        <f t="shared" si="126"/>
        <v>16829</v>
      </c>
      <c r="EH42" s="286">
        <f t="shared" si="126"/>
        <v>17557</v>
      </c>
      <c r="EI42" s="286">
        <f t="shared" si="126"/>
        <v>17896</v>
      </c>
      <c r="EJ42" s="286">
        <f t="shared" si="126"/>
        <v>19188</v>
      </c>
      <c r="EK42" s="286">
        <f t="shared" si="126"/>
        <v>19235</v>
      </c>
      <c r="EL42" s="286">
        <f t="shared" si="126"/>
        <v>20065</v>
      </c>
      <c r="EM42" s="286">
        <f t="shared" si="126"/>
        <v>19977</v>
      </c>
      <c r="EN42" s="286">
        <f t="shared" ref="EN42:HG42" si="128">+EN41+EN52+EN54</f>
        <v>19959.023640434636</v>
      </c>
      <c r="EO42" s="286">
        <f t="shared" si="128"/>
        <v>20971.775429382858</v>
      </c>
      <c r="EP42" s="286">
        <f t="shared" si="128"/>
        <v>21823.420874884807</v>
      </c>
      <c r="EQ42" s="286">
        <f t="shared" si="128"/>
        <v>22772.891389139113</v>
      </c>
      <c r="ER42" s="286">
        <f t="shared" si="128"/>
        <v>23070.652077302879</v>
      </c>
      <c r="ES42" s="286">
        <f t="shared" si="128"/>
        <v>23779.383182391306</v>
      </c>
      <c r="ET42" s="286">
        <f t="shared" si="128"/>
        <v>24114.374635810884</v>
      </c>
      <c r="EU42" s="286">
        <f t="shared" si="128"/>
        <v>24551.464842521036</v>
      </c>
      <c r="EV42" s="286">
        <f t="shared" si="128"/>
        <v>26890.005079203602</v>
      </c>
      <c r="EW42" s="286">
        <f t="shared" si="128"/>
        <v>26999.512425337798</v>
      </c>
      <c r="EX42" s="286">
        <f t="shared" si="128"/>
        <v>27908.8428329341</v>
      </c>
      <c r="EY42" s="286">
        <f t="shared" si="128"/>
        <v>29205.02358423945</v>
      </c>
      <c r="EZ42" s="286">
        <f t="shared" si="128"/>
        <v>30048.820148338575</v>
      </c>
      <c r="FA42" s="286">
        <f t="shared" si="128"/>
        <v>30179.408371888756</v>
      </c>
      <c r="FB42" s="286">
        <f t="shared" si="128"/>
        <v>30308.8754929303</v>
      </c>
      <c r="FC42" s="286">
        <f t="shared" si="128"/>
        <v>31178.271852143644</v>
      </c>
      <c r="FD42" s="286">
        <f t="shared" si="128"/>
        <v>32395.386083215319</v>
      </c>
      <c r="FE42" s="286">
        <f t="shared" si="128"/>
        <v>32066.416061109892</v>
      </c>
      <c r="FF42" s="286">
        <f t="shared" si="128"/>
        <v>31596.553729527612</v>
      </c>
      <c r="FG42" s="286">
        <f t="shared" si="128"/>
        <v>32017.786215631448</v>
      </c>
      <c r="FH42" s="286">
        <f t="shared" si="128"/>
        <v>34122.440771855698</v>
      </c>
      <c r="FI42" s="286">
        <f t="shared" si="128"/>
        <v>34104.151221332664</v>
      </c>
      <c r="FJ42" s="286">
        <f t="shared" si="128"/>
        <v>35641.729671007262</v>
      </c>
      <c r="FK42" s="286">
        <f t="shared" si="128"/>
        <v>51438.283059446403</v>
      </c>
      <c r="FL42" s="286">
        <f t="shared" si="128"/>
        <v>53135.7895064064</v>
      </c>
      <c r="FM42" s="286">
        <f t="shared" si="128"/>
        <v>51015.876928683414</v>
      </c>
      <c r="FN42" s="286">
        <f t="shared" si="128"/>
        <v>51721.57319413207</v>
      </c>
      <c r="FO42" s="286">
        <f t="shared" si="128"/>
        <v>51489</v>
      </c>
      <c r="FP42" s="286">
        <f t="shared" si="128"/>
        <v>55939</v>
      </c>
      <c r="FQ42" s="286">
        <f t="shared" si="128"/>
        <v>58490</v>
      </c>
      <c r="FR42" s="286">
        <f t="shared" si="128"/>
        <v>58628</v>
      </c>
      <c r="FS42" s="286">
        <f t="shared" si="128"/>
        <v>58469</v>
      </c>
      <c r="FT42" s="286">
        <f t="shared" si="128"/>
        <v>58497</v>
      </c>
      <c r="FU42" s="286">
        <f t="shared" si="128"/>
        <v>60488</v>
      </c>
      <c r="FV42" s="286">
        <f t="shared" si="128"/>
        <v>62717</v>
      </c>
      <c r="FW42" s="286">
        <f t="shared" si="128"/>
        <v>66568.5</v>
      </c>
      <c r="FX42" s="286">
        <f t="shared" si="128"/>
        <v>69749</v>
      </c>
      <c r="FY42" s="286">
        <f t="shared" si="128"/>
        <v>73644</v>
      </c>
      <c r="FZ42" s="286">
        <f t="shared" si="128"/>
        <v>79842</v>
      </c>
      <c r="GA42" s="286">
        <f t="shared" si="128"/>
        <v>83844</v>
      </c>
      <c r="GB42" s="286">
        <f t="shared" si="128"/>
        <v>86804</v>
      </c>
      <c r="GC42" s="286">
        <f t="shared" si="128"/>
        <v>91910.727513015954</v>
      </c>
      <c r="GD42" s="286">
        <f t="shared" si="128"/>
        <v>91429.202132937266</v>
      </c>
      <c r="GE42" s="286">
        <f t="shared" si="128"/>
        <v>90994.734183280059</v>
      </c>
      <c r="GF42" s="286">
        <f t="shared" si="128"/>
        <v>88219.568334819865</v>
      </c>
      <c r="GG42" s="286">
        <f t="shared" si="128"/>
        <v>85541.518019188195</v>
      </c>
      <c r="GH42" s="286">
        <f t="shared" si="128"/>
        <v>85612.72775830864</v>
      </c>
      <c r="GI42" s="286">
        <f t="shared" si="128"/>
        <v>83229.317395976454</v>
      </c>
      <c r="GJ42" s="286">
        <f t="shared" si="128"/>
        <v>80796.049645321851</v>
      </c>
      <c r="GK42" s="286">
        <f t="shared" si="128"/>
        <v>83742.35929919286</v>
      </c>
      <c r="GL42" s="286">
        <f t="shared" si="128"/>
        <v>82330.150202768709</v>
      </c>
      <c r="GM42" s="286">
        <f t="shared" si="128"/>
        <v>79866.371178302448</v>
      </c>
      <c r="GN42" s="286">
        <f t="shared" si="128"/>
        <v>78102.475049560351</v>
      </c>
      <c r="GO42" s="286">
        <f t="shared" si="128"/>
        <v>78854.206474742852</v>
      </c>
      <c r="GP42" s="286">
        <f t="shared" si="128"/>
        <v>79072.594423629678</v>
      </c>
      <c r="GQ42" s="286">
        <f t="shared" si="128"/>
        <v>81410.786851086275</v>
      </c>
      <c r="GR42" s="286">
        <f t="shared" si="128"/>
        <v>83089.839262220165</v>
      </c>
      <c r="GS42" s="286">
        <f t="shared" si="128"/>
        <v>83254.864677809543</v>
      </c>
      <c r="GT42" s="286">
        <f t="shared" si="128"/>
        <v>81496.270693959246</v>
      </c>
      <c r="GU42" s="286">
        <f t="shared" si="128"/>
        <v>79201.807484727775</v>
      </c>
      <c r="GV42" s="286">
        <f t="shared" si="128"/>
        <v>77110.65595866862</v>
      </c>
      <c r="GW42" s="286">
        <f t="shared" si="128"/>
        <v>78318.424865674548</v>
      </c>
      <c r="GX42" s="286">
        <f t="shared" si="128"/>
        <v>79294.817918957109</v>
      </c>
      <c r="GY42" s="286">
        <f t="shared" si="128"/>
        <v>80846.609078614565</v>
      </c>
      <c r="GZ42" s="286">
        <f t="shared" si="128"/>
        <v>14674.437937398146</v>
      </c>
      <c r="HA42" s="286">
        <f t="shared" si="128"/>
        <v>15582</v>
      </c>
      <c r="HB42" s="286">
        <f t="shared" si="128"/>
        <v>15640.749905491763</v>
      </c>
      <c r="HC42" s="286">
        <f t="shared" si="128"/>
        <v>16103</v>
      </c>
      <c r="HD42" s="286">
        <f t="shared" si="128"/>
        <v>16771</v>
      </c>
      <c r="HE42" s="286">
        <f t="shared" si="128"/>
        <v>18421</v>
      </c>
      <c r="HF42" s="286">
        <f t="shared" si="128"/>
        <v>19866</v>
      </c>
      <c r="HG42" s="286">
        <f t="shared" si="128"/>
        <v>20629</v>
      </c>
      <c r="HH42" s="286">
        <f t="shared" ref="HH42:JW42" si="129">+HH41+HH52+HH54</f>
        <v>21242</v>
      </c>
      <c r="HI42" s="286">
        <f t="shared" si="129"/>
        <v>21646</v>
      </c>
      <c r="HJ42" s="286">
        <f t="shared" si="129"/>
        <v>23959</v>
      </c>
      <c r="HK42" s="286">
        <f t="shared" si="129"/>
        <v>25749</v>
      </c>
      <c r="HL42" s="286">
        <f t="shared" si="129"/>
        <v>28355.5</v>
      </c>
      <c r="HM42" s="286">
        <f t="shared" si="129"/>
        <v>29837</v>
      </c>
      <c r="HN42" s="286">
        <f t="shared" si="129"/>
        <v>32120</v>
      </c>
      <c r="HO42" s="286">
        <f t="shared" si="129"/>
        <v>33955</v>
      </c>
      <c r="HP42" s="286">
        <f t="shared" si="129"/>
        <v>37899</v>
      </c>
      <c r="HQ42" s="286">
        <f t="shared" si="129"/>
        <v>40528</v>
      </c>
      <c r="HR42" s="286">
        <f t="shared" si="129"/>
        <v>46151</v>
      </c>
      <c r="HS42" s="286">
        <f t="shared" si="129"/>
        <v>49016</v>
      </c>
      <c r="HT42" s="286">
        <f t="shared" si="129"/>
        <v>53391</v>
      </c>
      <c r="HU42" s="286">
        <f t="shared" si="129"/>
        <v>56848</v>
      </c>
      <c r="HV42" s="286">
        <f t="shared" si="129"/>
        <v>58425.345177736672</v>
      </c>
      <c r="HW42" s="286">
        <f t="shared" si="129"/>
        <v>62997.973230666357</v>
      </c>
      <c r="HX42" s="286">
        <f t="shared" si="129"/>
        <v>64560.169942089982</v>
      </c>
      <c r="HY42" s="286">
        <f t="shared" si="129"/>
        <v>66870.297174915861</v>
      </c>
      <c r="HZ42" s="286">
        <f t="shared" si="129"/>
        <v>71889.749224975909</v>
      </c>
      <c r="IA42" s="286">
        <f t="shared" si="129"/>
        <v>76217.68588293354</v>
      </c>
      <c r="IB42" s="286">
        <f t="shared" si="129"/>
        <v>78619.311792869994</v>
      </c>
      <c r="IC42" s="286">
        <f t="shared" si="129"/>
        <v>81676.077080832838</v>
      </c>
      <c r="ID42" s="286">
        <f t="shared" si="129"/>
        <v>85759.543281280145</v>
      </c>
      <c r="IE42" s="286">
        <f t="shared" si="129"/>
        <v>89197.4752171625</v>
      </c>
      <c r="IF42" s="286">
        <f t="shared" si="129"/>
        <v>93143.59638062866</v>
      </c>
      <c r="IG42" s="286">
        <f t="shared" si="129"/>
        <v>97143.246957506577</v>
      </c>
      <c r="IH42" s="286">
        <f t="shared" si="129"/>
        <v>94266.131432005292</v>
      </c>
      <c r="II42" s="286">
        <f t="shared" si="129"/>
        <v>90038.816155755529</v>
      </c>
      <c r="IJ42" s="286">
        <f t="shared" si="129"/>
        <v>84518.425935949272</v>
      </c>
      <c r="IK42" s="286">
        <f t="shared" si="129"/>
        <v>81551.517150004453</v>
      </c>
      <c r="IL42" s="286">
        <f t="shared" si="129"/>
        <v>81283.938259962102</v>
      </c>
      <c r="IM42" s="286">
        <f t="shared" si="129"/>
        <v>79231.156937927837</v>
      </c>
      <c r="IN42" s="286">
        <f t="shared" si="129"/>
        <v>80883.091346225308</v>
      </c>
      <c r="IO42" s="286">
        <f t="shared" si="129"/>
        <v>512195.83947514265</v>
      </c>
      <c r="IP42" s="286">
        <f t="shared" si="129"/>
        <v>517943</v>
      </c>
      <c r="IQ42" s="286">
        <f t="shared" si="129"/>
        <v>503599</v>
      </c>
      <c r="IR42" s="286">
        <f t="shared" si="129"/>
        <v>518808</v>
      </c>
      <c r="IS42" s="286">
        <f t="shared" si="129"/>
        <v>523394</v>
      </c>
      <c r="IT42" s="286">
        <f t="shared" si="129"/>
        <v>527828</v>
      </c>
      <c r="IU42" s="286">
        <f t="shared" si="129"/>
        <v>545446</v>
      </c>
      <c r="IV42" s="286">
        <f t="shared" si="129"/>
        <v>549097</v>
      </c>
      <c r="IW42" s="286">
        <f t="shared" si="129"/>
        <v>550227</v>
      </c>
      <c r="IX42" s="286">
        <f t="shared" si="129"/>
        <v>544665</v>
      </c>
      <c r="IY42" s="286">
        <f t="shared" si="129"/>
        <v>545691</v>
      </c>
      <c r="IZ42" s="286">
        <f t="shared" si="129"/>
        <v>562879</v>
      </c>
      <c r="JA42" s="286">
        <f t="shared" si="129"/>
        <v>562505.5</v>
      </c>
      <c r="JB42" s="286">
        <f t="shared" si="129"/>
        <v>552267</v>
      </c>
      <c r="JC42" s="286">
        <f t="shared" si="129"/>
        <v>554068</v>
      </c>
      <c r="JD42" s="286">
        <f t="shared" si="129"/>
        <v>560058</v>
      </c>
      <c r="JE42" s="286">
        <f t="shared" si="129"/>
        <v>568547</v>
      </c>
      <c r="JF42" s="286">
        <f t="shared" si="129"/>
        <v>558417</v>
      </c>
      <c r="JG42" s="286">
        <f t="shared" si="129"/>
        <v>556164.78935475787</v>
      </c>
      <c r="JH42" s="286">
        <f t="shared" si="129"/>
        <v>552189.98289846419</v>
      </c>
      <c r="JI42" s="286">
        <f t="shared" si="129"/>
        <v>544676.27178817405</v>
      </c>
      <c r="JJ42" s="286">
        <f t="shared" si="129"/>
        <v>540791.2852665754</v>
      </c>
      <c r="JK42" s="286">
        <f t="shared" si="129"/>
        <v>522582.00491067575</v>
      </c>
      <c r="JL42" s="286">
        <f t="shared" si="129"/>
        <v>515310.84799953387</v>
      </c>
      <c r="JM42" s="286">
        <f t="shared" si="129"/>
        <v>515642.30003270262</v>
      </c>
      <c r="JN42" s="286">
        <f t="shared" si="129"/>
        <v>511321.46375567495</v>
      </c>
      <c r="JO42" s="286">
        <f t="shared" si="129"/>
        <v>515995.20783140539</v>
      </c>
      <c r="JP42" s="286">
        <f t="shared" si="129"/>
        <v>512944.75439140172</v>
      </c>
      <c r="JQ42" s="286">
        <f t="shared" si="129"/>
        <v>502522.33343264094</v>
      </c>
      <c r="JR42" s="286">
        <f t="shared" si="129"/>
        <v>502739.20257668803</v>
      </c>
      <c r="JS42" s="286">
        <f t="shared" si="129"/>
        <v>505528.29987258126</v>
      </c>
      <c r="JT42" s="286">
        <f t="shared" si="129"/>
        <v>498903.07101579849</v>
      </c>
      <c r="JU42" s="286">
        <f t="shared" si="129"/>
        <v>500935.97390890989</v>
      </c>
      <c r="JV42" s="286">
        <f t="shared" si="129"/>
        <v>505325.83639651252</v>
      </c>
      <c r="JW42" s="286">
        <f t="shared" si="129"/>
        <v>491677.63304368913</v>
      </c>
      <c r="JX42" s="286">
        <f t="shared" ref="JX42:KC42" si="130">+JX41+JX52+JX54</f>
        <v>480756.88995238894</v>
      </c>
      <c r="JY42" s="286">
        <f t="shared" si="130"/>
        <v>467911.82509339944</v>
      </c>
      <c r="JZ42" s="286">
        <f t="shared" si="130"/>
        <v>463308.2535214026</v>
      </c>
      <c r="KA42" s="286">
        <f t="shared" si="130"/>
        <v>460897.13230518939</v>
      </c>
      <c r="KB42" s="286">
        <f t="shared" si="130"/>
        <v>460038.38408130704</v>
      </c>
      <c r="KC42" s="286">
        <f t="shared" si="130"/>
        <v>462408.93302576564</v>
      </c>
    </row>
    <row r="43" spans="1:289">
      <c r="A43" s="113" t="s">
        <v>129</v>
      </c>
      <c r="B43" s="100"/>
      <c r="C43" s="100"/>
      <c r="D43" s="99"/>
      <c r="E43" s="99"/>
      <c r="F43" s="99"/>
      <c r="G43" s="99"/>
      <c r="H43" s="100"/>
      <c r="I43" s="99"/>
      <c r="J43" s="99"/>
      <c r="K43" s="99"/>
      <c r="L43" s="99"/>
      <c r="M43" s="99"/>
      <c r="N43" s="99"/>
      <c r="O43" s="99"/>
      <c r="P43" s="99"/>
      <c r="Q43" s="99"/>
      <c r="R43" s="99"/>
      <c r="S43" s="99"/>
      <c r="T43" s="99"/>
      <c r="U43" s="99"/>
      <c r="V43" s="99"/>
      <c r="W43" s="99"/>
      <c r="X43" s="546"/>
      <c r="Y43" s="181"/>
      <c r="Z43" s="181"/>
      <c r="AA43" s="181"/>
      <c r="AB43" s="181"/>
      <c r="AC43" s="181"/>
      <c r="AD43" s="181"/>
      <c r="AE43" s="181"/>
      <c r="AF43" s="181"/>
      <c r="AG43" s="181"/>
      <c r="AH43" s="181"/>
      <c r="AI43" s="181"/>
      <c r="AJ43" s="181"/>
      <c r="AK43" s="181"/>
      <c r="AL43" s="181"/>
      <c r="AM43" s="181"/>
      <c r="AN43" s="181"/>
      <c r="AO43" s="181"/>
      <c r="AP43" s="181"/>
      <c r="AQ43" s="181"/>
      <c r="AR43" s="537"/>
      <c r="AS43" s="538"/>
      <c r="AT43" s="538"/>
      <c r="AU43" s="538"/>
      <c r="AV43" s="538"/>
      <c r="AW43" s="538"/>
      <c r="AX43" s="538"/>
      <c r="AY43" s="538"/>
      <c r="AZ43" s="538"/>
      <c r="BA43" s="538"/>
      <c r="BB43" s="538"/>
      <c r="BC43" s="538"/>
      <c r="BD43" s="538"/>
      <c r="BE43" s="538"/>
      <c r="BF43" s="538"/>
      <c r="BG43" s="538"/>
      <c r="BH43" s="538"/>
      <c r="BI43" s="538"/>
      <c r="BJ43" s="538"/>
      <c r="BK43" s="538"/>
      <c r="BL43" s="538"/>
      <c r="BM43" s="538"/>
      <c r="BN43" s="260"/>
      <c r="BO43" s="260"/>
      <c r="BP43" s="260"/>
      <c r="BQ43" s="260"/>
      <c r="BR43" s="260"/>
      <c r="BS43" s="260"/>
      <c r="BT43" s="260"/>
      <c r="BU43" s="260"/>
      <c r="BV43" s="260"/>
      <c r="BW43" s="260"/>
      <c r="BX43" s="260"/>
      <c r="BY43" s="260"/>
      <c r="BZ43" s="260"/>
      <c r="CA43" s="260"/>
      <c r="CB43" s="260"/>
      <c r="CC43" s="260"/>
      <c r="CD43" s="260"/>
      <c r="CE43" s="260"/>
      <c r="CF43" s="260"/>
      <c r="CG43" s="100"/>
      <c r="CH43" s="100"/>
      <c r="CI43" s="99"/>
      <c r="CJ43" s="99"/>
      <c r="CK43" s="99"/>
      <c r="CL43" s="99"/>
      <c r="CM43" s="100"/>
      <c r="CN43" s="99"/>
      <c r="CO43" s="99"/>
      <c r="CP43" s="99"/>
      <c r="CQ43" s="99"/>
      <c r="CR43" s="99"/>
      <c r="CS43" s="99"/>
      <c r="CT43" s="99"/>
      <c r="CU43" s="99"/>
      <c r="CV43" s="99"/>
      <c r="CW43" s="99"/>
      <c r="CX43" s="99"/>
      <c r="CY43" s="99"/>
      <c r="CZ43" s="99"/>
      <c r="DA43" s="99"/>
      <c r="DB43" s="99"/>
      <c r="DC43" s="181"/>
      <c r="DD43" s="181"/>
      <c r="DE43" s="181"/>
      <c r="DF43" s="181"/>
      <c r="DG43" s="181"/>
      <c r="DH43" s="181"/>
      <c r="DI43" s="181"/>
      <c r="DJ43" s="181"/>
      <c r="DK43" s="181"/>
      <c r="DL43" s="181"/>
      <c r="DM43" s="181"/>
      <c r="DN43" s="181"/>
      <c r="DO43" s="181"/>
      <c r="DP43" s="181"/>
      <c r="DQ43" s="181"/>
      <c r="DR43" s="181"/>
      <c r="DS43" s="181"/>
      <c r="DT43" s="181"/>
      <c r="DU43" s="181"/>
      <c r="DV43" s="100"/>
      <c r="DW43" s="100"/>
      <c r="DX43" s="99"/>
      <c r="DY43" s="99"/>
      <c r="DZ43" s="99"/>
      <c r="EA43" s="99"/>
      <c r="EB43" s="100"/>
      <c r="EC43" s="99"/>
      <c r="ED43" s="99"/>
      <c r="EE43" s="99"/>
      <c r="EF43" s="99"/>
      <c r="EG43" s="99"/>
      <c r="EH43" s="99"/>
      <c r="EI43" s="99"/>
      <c r="EJ43" s="99"/>
      <c r="EK43" s="99"/>
      <c r="EL43" s="99"/>
      <c r="EM43" s="99"/>
      <c r="EN43" s="99"/>
      <c r="EO43" s="99"/>
      <c r="EP43" s="99"/>
      <c r="EQ43" s="99"/>
      <c r="ER43" s="181"/>
      <c r="ES43" s="181"/>
      <c r="ET43" s="181"/>
      <c r="EU43" s="181"/>
      <c r="EV43" s="181"/>
      <c r="EW43" s="181"/>
      <c r="EX43" s="181"/>
      <c r="EY43" s="181"/>
      <c r="EZ43" s="181"/>
      <c r="FA43" s="181"/>
      <c r="FB43" s="181"/>
      <c r="FC43" s="181"/>
      <c r="FD43" s="181"/>
      <c r="FE43" s="181"/>
      <c r="FF43" s="181"/>
      <c r="FG43" s="181"/>
      <c r="FH43" s="181"/>
      <c r="FI43" s="181"/>
      <c r="FJ43" s="181"/>
      <c r="FK43" s="100"/>
      <c r="FL43" s="100"/>
      <c r="FM43" s="99"/>
      <c r="FN43" s="99"/>
      <c r="FO43" s="99"/>
      <c r="FP43" s="99"/>
      <c r="FQ43" s="100"/>
      <c r="FR43" s="99"/>
      <c r="FS43" s="99"/>
      <c r="FT43" s="99"/>
      <c r="FU43" s="99"/>
      <c r="FV43" s="99"/>
      <c r="FW43" s="99"/>
      <c r="FX43" s="99"/>
      <c r="FY43" s="99"/>
      <c r="FZ43" s="99"/>
      <c r="GA43" s="99"/>
      <c r="GB43" s="99"/>
      <c r="GC43" s="99"/>
      <c r="GD43" s="99"/>
      <c r="GE43" s="99"/>
      <c r="GF43" s="99"/>
      <c r="GG43" s="181"/>
      <c r="GH43" s="181"/>
      <c r="GI43" s="181"/>
      <c r="GJ43" s="181"/>
      <c r="GK43" s="181"/>
      <c r="GL43" s="181"/>
      <c r="GM43" s="181"/>
      <c r="GN43" s="181"/>
      <c r="GO43" s="181"/>
      <c r="GP43" s="181"/>
      <c r="GQ43" s="181"/>
      <c r="GR43" s="181"/>
      <c r="GS43" s="181"/>
      <c r="GT43" s="181"/>
      <c r="GU43" s="181"/>
      <c r="GV43" s="181"/>
      <c r="GW43" s="181"/>
      <c r="GX43" s="181"/>
      <c r="GY43" s="181"/>
      <c r="GZ43" s="100"/>
      <c r="HA43" s="100"/>
      <c r="HB43" s="99"/>
      <c r="HC43" s="99"/>
      <c r="HD43" s="99"/>
      <c r="HE43" s="99"/>
      <c r="HF43" s="100"/>
      <c r="HG43" s="99"/>
      <c r="HH43" s="99"/>
      <c r="HI43" s="99"/>
      <c r="HJ43" s="99"/>
      <c r="HK43" s="99"/>
      <c r="HL43" s="99"/>
      <c r="HM43" s="99"/>
      <c r="HN43" s="99"/>
      <c r="HO43" s="99"/>
      <c r="HP43" s="99"/>
      <c r="HQ43" s="99"/>
      <c r="HR43" s="99"/>
      <c r="HS43" s="99"/>
      <c r="HT43" s="99"/>
      <c r="HU43" s="99"/>
      <c r="HV43" s="181"/>
      <c r="HW43" s="181"/>
      <c r="HX43" s="181"/>
      <c r="HY43" s="181"/>
      <c r="HZ43" s="181"/>
      <c r="IA43" s="181"/>
      <c r="IB43" s="181"/>
      <c r="IC43" s="181"/>
      <c r="ID43" s="181"/>
      <c r="IE43" s="181"/>
      <c r="IF43" s="181"/>
      <c r="IG43" s="181"/>
      <c r="IH43" s="181"/>
      <c r="II43" s="181"/>
      <c r="IJ43" s="181"/>
      <c r="IK43" s="181"/>
      <c r="IL43" s="181"/>
      <c r="IM43" s="181"/>
      <c r="IN43" s="181"/>
      <c r="IO43" s="100"/>
      <c r="IP43" s="100"/>
      <c r="IQ43" s="99"/>
      <c r="IR43" s="99"/>
      <c r="IS43" s="99"/>
      <c r="IT43" s="99"/>
      <c r="IU43" s="100"/>
      <c r="IV43" s="99"/>
      <c r="IW43" s="99"/>
      <c r="IX43" s="99"/>
      <c r="IY43" s="99"/>
      <c r="IZ43" s="99"/>
      <c r="JA43" s="99"/>
      <c r="JB43" s="99"/>
      <c r="JC43" s="99"/>
      <c r="JD43" s="99"/>
      <c r="JE43" s="99"/>
      <c r="JF43" s="99"/>
      <c r="JG43" s="99"/>
      <c r="JH43" s="99"/>
      <c r="JI43" s="99"/>
      <c r="JJ43" s="99"/>
      <c r="JK43" s="181"/>
      <c r="JL43" s="181"/>
      <c r="JM43" s="181"/>
      <c r="JN43" s="181"/>
      <c r="JO43" s="181"/>
      <c r="JP43" s="181"/>
      <c r="JQ43" s="181"/>
      <c r="JR43" s="181"/>
      <c r="JS43" s="181"/>
      <c r="JT43" s="181"/>
      <c r="JU43" s="181"/>
      <c r="JV43" s="181"/>
      <c r="JW43" s="181"/>
      <c r="JX43" s="181"/>
      <c r="JY43" s="181"/>
      <c r="JZ43" s="181"/>
      <c r="KA43" s="181"/>
      <c r="KB43" s="181"/>
      <c r="KC43" s="181"/>
    </row>
    <row r="44" spans="1:289">
      <c r="A44" s="175" t="s">
        <v>65</v>
      </c>
      <c r="B44" s="100">
        <v>102742</v>
      </c>
      <c r="C44" s="100">
        <v>103628</v>
      </c>
      <c r="D44" s="99">
        <v>102126</v>
      </c>
      <c r="E44" s="99">
        <v>105164</v>
      </c>
      <c r="F44" s="99">
        <v>104626</v>
      </c>
      <c r="G44" s="99">
        <v>110170</v>
      </c>
      <c r="H44" s="100">
        <v>114611</v>
      </c>
      <c r="I44" s="99">
        <v>112556</v>
      </c>
      <c r="J44" s="99">
        <v>111835</v>
      </c>
      <c r="K44" s="99">
        <v>110624</v>
      </c>
      <c r="L44" s="99">
        <v>116657</v>
      </c>
      <c r="M44" s="99">
        <v>117507</v>
      </c>
      <c r="N44" s="99">
        <v>124763</v>
      </c>
      <c r="O44" s="99">
        <v>123615</v>
      </c>
      <c r="P44" s="99">
        <v>126817</v>
      </c>
      <c r="Q44" s="99">
        <v>130220</v>
      </c>
      <c r="R44" s="99">
        <v>135143</v>
      </c>
      <c r="S44" s="99">
        <v>131670</v>
      </c>
      <c r="T44" s="99">
        <v>139035</v>
      </c>
      <c r="U44" s="99">
        <v>134956</v>
      </c>
      <c r="V44" s="99">
        <v>139575</v>
      </c>
      <c r="W44" s="99">
        <v>139228</v>
      </c>
      <c r="X44" s="546">
        <v>135720</v>
      </c>
      <c r="Y44" s="180">
        <v>135724.85642759586</v>
      </c>
      <c r="Z44" s="180">
        <v>138973.86874532406</v>
      </c>
      <c r="AA44" s="180">
        <v>133089.76323685946</v>
      </c>
      <c r="AB44" s="180">
        <v>132767.34447549461</v>
      </c>
      <c r="AC44" s="180">
        <v>135357.32157806036</v>
      </c>
      <c r="AD44" s="181">
        <v>134527.01462328483</v>
      </c>
      <c r="AE44" s="180">
        <v>132837.7501841636</v>
      </c>
      <c r="AF44" s="180">
        <v>132303.27582839056</v>
      </c>
      <c r="AG44" s="180">
        <v>133475.72582757621</v>
      </c>
      <c r="AH44" s="180">
        <v>131170.46369187775</v>
      </c>
      <c r="AI44" s="180">
        <v>130894.51761930881</v>
      </c>
      <c r="AJ44" s="181">
        <v>132779.80141316142</v>
      </c>
      <c r="AK44" s="180">
        <v>129387.47163972903</v>
      </c>
      <c r="AL44" s="180">
        <v>125339.26402976141</v>
      </c>
      <c r="AM44" s="180">
        <v>120839.95613725933</v>
      </c>
      <c r="AN44" s="180">
        <v>117932.92226475858</v>
      </c>
      <c r="AO44" s="180">
        <v>116491.38881847008</v>
      </c>
      <c r="AP44" s="180">
        <v>114837.32782686703</v>
      </c>
      <c r="AQ44" s="180">
        <v>116018.81803687221</v>
      </c>
      <c r="AR44" s="533">
        <f t="shared" ref="AR44:AR56" si="131">+CG44+DV44</f>
        <v>3892</v>
      </c>
      <c r="AS44" s="534">
        <f t="shared" ref="AS44:AS56" si="132">+CH44+DW44</f>
        <v>3885</v>
      </c>
      <c r="AT44" s="534">
        <f t="shared" ref="AT44:AT56" si="133">+CI44+DX44</f>
        <v>4072</v>
      </c>
      <c r="AU44" s="534">
        <f t="shared" ref="AU44:AU56" si="134">+CJ44+DY44</f>
        <v>4309</v>
      </c>
      <c r="AV44" s="534">
        <f t="shared" ref="AV44:AV56" si="135">+CK44+DZ44</f>
        <v>4221</v>
      </c>
      <c r="AW44" s="534">
        <f t="shared" ref="AW44:AW56" si="136">+CL44+EA44</f>
        <v>4649</v>
      </c>
      <c r="AX44" s="534">
        <f t="shared" ref="AX44:AX56" si="137">+CM44+EB44</f>
        <v>5041</v>
      </c>
      <c r="AY44" s="534">
        <f t="shared" ref="AY44:AY56" si="138">+CN44+EC44</f>
        <v>4896</v>
      </c>
      <c r="AZ44" s="534">
        <f t="shared" ref="AZ44:AZ56" si="139">+CO44+ED44</f>
        <v>4956</v>
      </c>
      <c r="BA44" s="534">
        <f t="shared" ref="BA44:BA56" si="140">+CP44+EE44</f>
        <v>5061</v>
      </c>
      <c r="BB44" s="534">
        <f t="shared" ref="BB44:BB56" si="141">+CQ44+EF44</f>
        <v>5667</v>
      </c>
      <c r="BC44" s="534">
        <f t="shared" ref="BC44:BC56" si="142">+CR44+EG44</f>
        <v>5411</v>
      </c>
      <c r="BD44" s="534">
        <f t="shared" ref="BD44:BD56" si="143">+CS44+EH44</f>
        <v>5682</v>
      </c>
      <c r="BE44" s="534">
        <f t="shared" ref="BE44:BE56" si="144">+CT44+EI44</f>
        <v>5877</v>
      </c>
      <c r="BF44" s="534">
        <f t="shared" ref="BF44:BF56" si="145">+CU44+EJ44</f>
        <v>6068</v>
      </c>
      <c r="BG44" s="534">
        <f t="shared" ref="BG44:BG56" si="146">+CV44+EK44</f>
        <v>6385</v>
      </c>
      <c r="BH44" s="534">
        <f t="shared" ref="BH44:BH56" si="147">+CW44+EL44</f>
        <v>6318</v>
      </c>
      <c r="BI44" s="534">
        <f t="shared" ref="BI44:BI56" si="148">+CX44+EM44</f>
        <v>5842</v>
      </c>
      <c r="BJ44" s="534">
        <f t="shared" ref="BJ44:BJ56" si="149">+CY44+EN44</f>
        <v>6111</v>
      </c>
      <c r="BK44" s="534">
        <f t="shared" ref="BK44:BK56" si="150">+CZ44+EO44</f>
        <v>6455.2572913084696</v>
      </c>
      <c r="BL44" s="534">
        <f t="shared" ref="BL44:BL56" si="151">+DA44+EP44</f>
        <v>6773.405860516039</v>
      </c>
      <c r="BM44" s="534">
        <f t="shared" ref="BM44:BM56" si="152">+DB44+EQ44</f>
        <v>6948.4793644243045</v>
      </c>
      <c r="BN44" s="186">
        <f t="shared" ref="BN44:BN56" si="153">+DC44+ER44</f>
        <v>7067.9975501527333</v>
      </c>
      <c r="BO44" s="186">
        <f t="shared" ref="BO44:BO56" si="154">+DD44+ES44</f>
        <v>7352.7512887083567</v>
      </c>
      <c r="BP44" s="186">
        <f t="shared" ref="BP44:BP56" si="155">+DE44+ET44</f>
        <v>7284.013809718942</v>
      </c>
      <c r="BQ44" s="186">
        <f t="shared" ref="BQ44:BQ56" si="156">+DF44+EU44</f>
        <v>7373.9486437801779</v>
      </c>
      <c r="BR44" s="186">
        <f t="shared" ref="BR44:BR56" si="157">+DG44+EV44</f>
        <v>8165.8415094075908</v>
      </c>
      <c r="BS44" s="186">
        <f t="shared" ref="BS44:BS56" si="158">+DH44+EW44</f>
        <v>8108.9968644044448</v>
      </c>
      <c r="BT44" s="186">
        <f t="shared" ref="BT44:BT56" si="159">+DI44+EX44</f>
        <v>8272.9650018986194</v>
      </c>
      <c r="BU44" s="186">
        <f t="shared" ref="BU44:BU56" si="160">+DJ44+EY44</f>
        <v>8707.6058412925086</v>
      </c>
      <c r="BV44" s="186">
        <f t="shared" ref="BV44:BV56" si="161">+DK44+EZ44</f>
        <v>9109.6813210868368</v>
      </c>
      <c r="BW44" s="186">
        <f t="shared" ref="BW44:BW56" si="162">+DL44+FA44</f>
        <v>9310.626542357415</v>
      </c>
      <c r="BX44" s="186">
        <f t="shared" ref="BX44:BX56" si="163">+DM44+FB44</f>
        <v>9162.9895989750603</v>
      </c>
      <c r="BY44" s="186">
        <f t="shared" ref="BY44:BY56" si="164">+DN44+FC44</f>
        <v>9569.8065954652757</v>
      </c>
      <c r="BZ44" s="186">
        <f t="shared" ref="BZ44:BZ56" si="165">+DO44+FD44</f>
        <v>9729.5098427929333</v>
      </c>
      <c r="CA44" s="186">
        <f t="shared" ref="CA44:CA56" si="166">+DP44+FE44</f>
        <v>9482.3620900792048</v>
      </c>
      <c r="CB44" s="186">
        <f t="shared" ref="CB44:CB56" si="167">+DQ44+FF44</f>
        <v>9385.7980815224619</v>
      </c>
      <c r="CC44" s="186">
        <f t="shared" ref="CC44:CC56" si="168">+DR44+FG44</f>
        <v>9287.5544793211629</v>
      </c>
      <c r="CD44" s="186">
        <f t="shared" ref="CD44:CD56" si="169">+DS44+FH44</f>
        <v>9614.5459980427586</v>
      </c>
      <c r="CE44" s="186">
        <f t="shared" ref="CE44:CE56" si="170">+DT44+FI44</f>
        <v>9426.7161312596436</v>
      </c>
      <c r="CF44" s="186">
        <f t="shared" ref="CF44:CF56" si="171">+DU44+FJ44</f>
        <v>9651.7142619522328</v>
      </c>
      <c r="CG44" s="100">
        <v>187</v>
      </c>
      <c r="CH44" s="100">
        <v>139</v>
      </c>
      <c r="CI44" s="99">
        <v>143</v>
      </c>
      <c r="CJ44" s="99">
        <v>220</v>
      </c>
      <c r="CK44" s="99">
        <v>158</v>
      </c>
      <c r="CL44" s="99">
        <v>269</v>
      </c>
      <c r="CM44" s="100">
        <v>225</v>
      </c>
      <c r="CN44" s="99">
        <v>165</v>
      </c>
      <c r="CO44" s="99">
        <v>206</v>
      </c>
      <c r="CP44" s="99">
        <v>172</v>
      </c>
      <c r="CQ44" s="99">
        <v>433</v>
      </c>
      <c r="CR44" s="99">
        <v>234</v>
      </c>
      <c r="CS44" s="99">
        <v>255</v>
      </c>
      <c r="CT44" s="99">
        <v>363</v>
      </c>
      <c r="CU44" s="99">
        <v>252</v>
      </c>
      <c r="CV44" s="99">
        <v>422</v>
      </c>
      <c r="CW44" s="99">
        <v>318</v>
      </c>
      <c r="CX44" s="99">
        <v>242</v>
      </c>
      <c r="CY44" s="99">
        <v>284</v>
      </c>
      <c r="CZ44" s="99">
        <v>430.6694799510388</v>
      </c>
      <c r="DA44" s="99">
        <v>406.50588903870732</v>
      </c>
      <c r="DB44" s="99">
        <v>374.75522395554174</v>
      </c>
      <c r="DC44" s="180">
        <v>351.72215583474946</v>
      </c>
      <c r="DD44" s="180">
        <v>399.81415121794561</v>
      </c>
      <c r="DE44" s="180">
        <v>422.97750053096337</v>
      </c>
      <c r="DF44" s="180">
        <v>425.45715455650492</v>
      </c>
      <c r="DG44" s="180">
        <v>493.78748984482843</v>
      </c>
      <c r="DH44" s="181">
        <v>460.10051682001836</v>
      </c>
      <c r="DI44" s="180">
        <v>529.35633063639079</v>
      </c>
      <c r="DJ44" s="180">
        <v>534.51869227709187</v>
      </c>
      <c r="DK44" s="180">
        <v>576.32258658327476</v>
      </c>
      <c r="DL44" s="180">
        <v>631.35465779853541</v>
      </c>
      <c r="DM44" s="180">
        <v>673.29782949025105</v>
      </c>
      <c r="DN44" s="181">
        <v>761.35552821378519</v>
      </c>
      <c r="DO44" s="180">
        <v>638.31363062351397</v>
      </c>
      <c r="DP44" s="180">
        <v>604.63231326395339</v>
      </c>
      <c r="DQ44" s="180">
        <v>564.4470268830687</v>
      </c>
      <c r="DR44" s="180">
        <v>456.91384610792494</v>
      </c>
      <c r="DS44" s="180">
        <v>490.63339339127333</v>
      </c>
      <c r="DT44" s="180">
        <v>507.11581014294165</v>
      </c>
      <c r="DU44" s="180">
        <v>466.70338346698372</v>
      </c>
      <c r="DV44" s="100">
        <v>3705</v>
      </c>
      <c r="DW44" s="100">
        <v>3746</v>
      </c>
      <c r="DX44" s="99">
        <v>3929</v>
      </c>
      <c r="DY44" s="99">
        <v>4089</v>
      </c>
      <c r="DZ44" s="99">
        <v>4063</v>
      </c>
      <c r="EA44" s="99">
        <v>4380</v>
      </c>
      <c r="EB44" s="100">
        <v>4816</v>
      </c>
      <c r="EC44" s="99">
        <v>4731</v>
      </c>
      <c r="ED44" s="99">
        <v>4750</v>
      </c>
      <c r="EE44" s="99">
        <v>4889</v>
      </c>
      <c r="EF44" s="99">
        <v>5234</v>
      </c>
      <c r="EG44" s="99">
        <v>5177</v>
      </c>
      <c r="EH44" s="99">
        <v>5427</v>
      </c>
      <c r="EI44" s="99">
        <v>5514</v>
      </c>
      <c r="EJ44" s="99">
        <v>5816</v>
      </c>
      <c r="EK44" s="99">
        <v>5963</v>
      </c>
      <c r="EL44" s="99">
        <v>6000</v>
      </c>
      <c r="EM44" s="99">
        <v>5600</v>
      </c>
      <c r="EN44" s="99">
        <v>5827</v>
      </c>
      <c r="EO44" s="99">
        <v>6024.5878113574308</v>
      </c>
      <c r="EP44" s="99">
        <v>6366.8999714773317</v>
      </c>
      <c r="EQ44" s="99">
        <v>6573.7241404687629</v>
      </c>
      <c r="ER44" s="180">
        <v>6716.2753943179841</v>
      </c>
      <c r="ES44" s="180">
        <v>6952.9371374904113</v>
      </c>
      <c r="ET44" s="180">
        <v>6861.036309187979</v>
      </c>
      <c r="EU44" s="180">
        <v>6948.4914892236729</v>
      </c>
      <c r="EV44" s="180">
        <v>7672.0540195627627</v>
      </c>
      <c r="EW44" s="181">
        <v>7648.8963475844266</v>
      </c>
      <c r="EX44" s="180">
        <v>7743.6086712622291</v>
      </c>
      <c r="EY44" s="180">
        <v>8173.0871490154159</v>
      </c>
      <c r="EZ44" s="180">
        <v>8533.3587345035612</v>
      </c>
      <c r="FA44" s="180">
        <v>8679.2718845588788</v>
      </c>
      <c r="FB44" s="180">
        <v>8489.6917694848089</v>
      </c>
      <c r="FC44" s="181">
        <v>8808.4510672514898</v>
      </c>
      <c r="FD44" s="180">
        <v>9091.1962121694196</v>
      </c>
      <c r="FE44" s="180">
        <v>8877.7297768152512</v>
      </c>
      <c r="FF44" s="180">
        <v>8821.3510546393936</v>
      </c>
      <c r="FG44" s="180">
        <v>8830.6406332132374</v>
      </c>
      <c r="FH44" s="180">
        <v>9123.9126046514848</v>
      </c>
      <c r="FI44" s="180">
        <v>8919.6003211167026</v>
      </c>
      <c r="FJ44" s="180">
        <v>9185.0108784852491</v>
      </c>
      <c r="FK44" s="100">
        <v>16017</v>
      </c>
      <c r="FL44" s="100">
        <v>16045</v>
      </c>
      <c r="FM44" s="99">
        <v>15598</v>
      </c>
      <c r="FN44" s="99">
        <v>15411</v>
      </c>
      <c r="FO44" s="99">
        <v>15597</v>
      </c>
      <c r="FP44" s="99">
        <v>16472</v>
      </c>
      <c r="FQ44" s="100">
        <v>17390</v>
      </c>
      <c r="FR44" s="99">
        <v>16964</v>
      </c>
      <c r="FS44" s="99">
        <v>16416</v>
      </c>
      <c r="FT44" s="99">
        <v>15498</v>
      </c>
      <c r="FU44" s="99">
        <v>16294</v>
      </c>
      <c r="FV44" s="99">
        <v>15886</v>
      </c>
      <c r="FW44" s="99">
        <v>18341</v>
      </c>
      <c r="FX44" s="99">
        <v>18771</v>
      </c>
      <c r="FY44" s="99">
        <v>19482</v>
      </c>
      <c r="FZ44" s="99">
        <v>21116</v>
      </c>
      <c r="GA44" s="99">
        <v>21728</v>
      </c>
      <c r="GB44" s="99">
        <v>21887</v>
      </c>
      <c r="GC44" s="99">
        <v>24859</v>
      </c>
      <c r="GD44" s="99">
        <v>23233.240965775578</v>
      </c>
      <c r="GE44" s="99">
        <v>24261.624853848145</v>
      </c>
      <c r="GF44" s="99">
        <v>22695.016857198967</v>
      </c>
      <c r="GG44" s="180">
        <v>22076.195927439738</v>
      </c>
      <c r="GH44" s="180">
        <v>23168.940386441685</v>
      </c>
      <c r="GI44" s="180">
        <v>21133.344033384903</v>
      </c>
      <c r="GJ44" s="180">
        <v>20861.846787924824</v>
      </c>
      <c r="GK44" s="180">
        <v>21120.758721232029</v>
      </c>
      <c r="GL44" s="181">
        <v>20472.32780826313</v>
      </c>
      <c r="GM44" s="180">
        <v>19942.068751078103</v>
      </c>
      <c r="GN44" s="180">
        <v>19263.419701096682</v>
      </c>
      <c r="GO44" s="180">
        <v>19373.528626592648</v>
      </c>
      <c r="GP44" s="180">
        <v>18966.923963779551</v>
      </c>
      <c r="GQ44" s="180">
        <v>19330.976900702659</v>
      </c>
      <c r="GR44" s="181">
        <v>19864.021902946504</v>
      </c>
      <c r="GS44" s="180">
        <v>19287.98286549823</v>
      </c>
      <c r="GT44" s="180">
        <v>18724.253381197032</v>
      </c>
      <c r="GU44" s="180">
        <v>17870.499065664815</v>
      </c>
      <c r="GV44" s="180">
        <v>16982.828066490732</v>
      </c>
      <c r="GW44" s="180">
        <v>17062.532944675553</v>
      </c>
      <c r="GX44" s="180">
        <v>16760.926775194628</v>
      </c>
      <c r="GY44" s="180">
        <v>16996.704287701235</v>
      </c>
      <c r="GZ44" s="100">
        <v>7079</v>
      </c>
      <c r="HA44" s="100">
        <v>7782</v>
      </c>
      <c r="HB44" s="99">
        <v>7983</v>
      </c>
      <c r="HC44" s="99">
        <v>8263</v>
      </c>
      <c r="HD44" s="99">
        <v>8459</v>
      </c>
      <c r="HE44" s="99">
        <v>9377</v>
      </c>
      <c r="HF44" s="100">
        <v>10302</v>
      </c>
      <c r="HG44" s="99">
        <v>10467</v>
      </c>
      <c r="HH44" s="99">
        <v>10873</v>
      </c>
      <c r="HI44" s="99">
        <v>10855</v>
      </c>
      <c r="HJ44" s="99">
        <v>12242</v>
      </c>
      <c r="HK44" s="99">
        <v>13098</v>
      </c>
      <c r="HL44" s="99">
        <v>14561</v>
      </c>
      <c r="HM44" s="99">
        <v>14926</v>
      </c>
      <c r="HN44" s="99">
        <v>15764</v>
      </c>
      <c r="HO44" s="99">
        <v>16128</v>
      </c>
      <c r="HP44" s="99">
        <v>18411</v>
      </c>
      <c r="HQ44" s="99">
        <v>19616</v>
      </c>
      <c r="HR44" s="99">
        <v>22320</v>
      </c>
      <c r="HS44" s="99">
        <v>22783</v>
      </c>
      <c r="HT44" s="99">
        <v>25771</v>
      </c>
      <c r="HU44" s="99">
        <v>26687</v>
      </c>
      <c r="HV44" s="180">
        <v>26974.867023953153</v>
      </c>
      <c r="HW44" s="180">
        <v>29048.100737561414</v>
      </c>
      <c r="HX44" s="180">
        <v>28574.847724227253</v>
      </c>
      <c r="HY44" s="180">
        <v>29175.598819235471</v>
      </c>
      <c r="HZ44" s="180">
        <v>30836.123376804546</v>
      </c>
      <c r="IA44" s="181">
        <v>31883.998540515164</v>
      </c>
      <c r="IB44" s="180">
        <v>32281.571289393778</v>
      </c>
      <c r="IC44" s="180">
        <v>33240.762364199036</v>
      </c>
      <c r="ID44" s="180">
        <v>34136.254451279303</v>
      </c>
      <c r="IE44" s="180">
        <v>34352.891525159852</v>
      </c>
      <c r="IF44" s="180">
        <v>35011.279640759582</v>
      </c>
      <c r="IG44" s="181">
        <v>36136.758816769528</v>
      </c>
      <c r="IH44" s="180">
        <v>34316.215916640336</v>
      </c>
      <c r="II44" s="180">
        <v>32352.207998362555</v>
      </c>
      <c r="IJ44" s="180">
        <v>29907.065562508054</v>
      </c>
      <c r="IK44" s="180">
        <v>28682.398304809834</v>
      </c>
      <c r="IL44" s="180">
        <v>27974.386248007027</v>
      </c>
      <c r="IM44" s="180">
        <v>26848.702081406507</v>
      </c>
      <c r="IN44" s="180">
        <v>27115.721474340513</v>
      </c>
      <c r="IO44" s="100">
        <v>75754</v>
      </c>
      <c r="IP44" s="100">
        <v>75916</v>
      </c>
      <c r="IQ44" s="99">
        <v>74473</v>
      </c>
      <c r="IR44" s="99">
        <v>77181</v>
      </c>
      <c r="IS44" s="99">
        <v>76349</v>
      </c>
      <c r="IT44" s="99">
        <v>79672</v>
      </c>
      <c r="IU44" s="100">
        <v>81878</v>
      </c>
      <c r="IV44" s="99">
        <v>80229</v>
      </c>
      <c r="IW44" s="99">
        <v>79590</v>
      </c>
      <c r="IX44" s="99">
        <v>79210</v>
      </c>
      <c r="IY44" s="99">
        <v>82454</v>
      </c>
      <c r="IZ44" s="99">
        <v>83112</v>
      </c>
      <c r="JA44" s="99">
        <v>86179</v>
      </c>
      <c r="JB44" s="99">
        <v>83613</v>
      </c>
      <c r="JC44" s="99">
        <v>85503</v>
      </c>
      <c r="JD44" s="99">
        <v>85552</v>
      </c>
      <c r="JE44" s="99">
        <v>87097</v>
      </c>
      <c r="JF44" s="99">
        <v>82749</v>
      </c>
      <c r="JG44" s="99">
        <v>83547</v>
      </c>
      <c r="JH44" s="99">
        <v>82484.501742915949</v>
      </c>
      <c r="JI44" s="99">
        <v>82768.969285635816</v>
      </c>
      <c r="JJ44" s="99">
        <v>82897.503778376733</v>
      </c>
      <c r="JK44" s="180">
        <v>79497.291826252986</v>
      </c>
      <c r="JL44" s="180">
        <v>79679.839742299155</v>
      </c>
      <c r="JM44" s="180">
        <v>77071.448389519835</v>
      </c>
      <c r="JN44" s="180">
        <v>76774.908186416753</v>
      </c>
      <c r="JO44" s="180">
        <v>76926.064858692975</v>
      </c>
      <c r="JP44" s="181">
        <v>76208.937855110955</v>
      </c>
      <c r="JQ44" s="180">
        <v>75101.66479072439</v>
      </c>
      <c r="JR44" s="180">
        <v>74577.607768550806</v>
      </c>
      <c r="JS44" s="180">
        <v>75035.832420936349</v>
      </c>
      <c r="JT44" s="180">
        <v>73337.355926887147</v>
      </c>
      <c r="JU44" s="180">
        <v>72688.978856821457</v>
      </c>
      <c r="JV44" s="181">
        <v>73311.832031107362</v>
      </c>
      <c r="JW44" s="180">
        <v>71155.439611160313</v>
      </c>
      <c r="JX44" s="180">
        <v>69646.278760018133</v>
      </c>
      <c r="JY44" s="180">
        <v>68494.211954479062</v>
      </c>
      <c r="JZ44" s="180">
        <v>67328.486366366851</v>
      </c>
      <c r="KA44" s="180">
        <v>66019.089587715702</v>
      </c>
      <c r="KB44" s="180">
        <v>65728.986380260671</v>
      </c>
      <c r="KC44" s="180">
        <v>66009.839783721618</v>
      </c>
    </row>
    <row r="45" spans="1:289">
      <c r="A45" s="175" t="s">
        <v>66</v>
      </c>
      <c r="B45" s="100">
        <v>56630</v>
      </c>
      <c r="C45" s="100">
        <v>56982</v>
      </c>
      <c r="D45" s="99">
        <v>54650</v>
      </c>
      <c r="E45" s="99">
        <v>56058</v>
      </c>
      <c r="F45" s="99">
        <v>56330</v>
      </c>
      <c r="G45" s="99">
        <v>57463</v>
      </c>
      <c r="H45" s="100">
        <v>58944</v>
      </c>
      <c r="I45" s="99">
        <v>59033</v>
      </c>
      <c r="J45" s="99">
        <v>57012</v>
      </c>
      <c r="K45" s="99">
        <v>56172</v>
      </c>
      <c r="L45" s="99">
        <v>56722</v>
      </c>
      <c r="M45" s="99">
        <v>57897</v>
      </c>
      <c r="N45" s="99">
        <v>56008</v>
      </c>
      <c r="O45" s="99">
        <v>55444</v>
      </c>
      <c r="P45" s="99">
        <v>57920</v>
      </c>
      <c r="Q45" s="99">
        <v>59887</v>
      </c>
      <c r="R45" s="99">
        <v>61901</v>
      </c>
      <c r="S45" s="99">
        <v>63663</v>
      </c>
      <c r="T45" s="99">
        <v>64551</v>
      </c>
      <c r="U45" s="99">
        <v>66133</v>
      </c>
      <c r="V45" s="99">
        <v>65667</v>
      </c>
      <c r="W45" s="99">
        <v>66595</v>
      </c>
      <c r="X45" s="546">
        <v>70800</v>
      </c>
      <c r="Y45" s="180">
        <v>67125.048183183404</v>
      </c>
      <c r="Z45" s="180">
        <v>65858.403404927012</v>
      </c>
      <c r="AA45" s="180">
        <v>65619.730065704425</v>
      </c>
      <c r="AB45" s="180">
        <v>65561.658576000904</v>
      </c>
      <c r="AC45" s="180">
        <v>66504.281416123456</v>
      </c>
      <c r="AD45" s="181">
        <v>68000.528101040094</v>
      </c>
      <c r="AE45" s="180">
        <v>65228.508977206642</v>
      </c>
      <c r="AF45" s="180">
        <v>63571.684384500906</v>
      </c>
      <c r="AG45" s="180">
        <v>64681.722040250759</v>
      </c>
      <c r="AH45" s="180">
        <v>64129.613651851883</v>
      </c>
      <c r="AI45" s="180">
        <v>64568.1673893072</v>
      </c>
      <c r="AJ45" s="181">
        <v>65391.640691209694</v>
      </c>
      <c r="AK45" s="180">
        <v>64995.877942043975</v>
      </c>
      <c r="AL45" s="180">
        <v>63539.959333504659</v>
      </c>
      <c r="AM45" s="180">
        <v>61432.342908389925</v>
      </c>
      <c r="AN45" s="180">
        <v>61185.654535158188</v>
      </c>
      <c r="AO45" s="180">
        <v>60852.236829349102</v>
      </c>
      <c r="AP45" s="180">
        <v>60807.52772944107</v>
      </c>
      <c r="AQ45" s="180">
        <v>61526.17857646598</v>
      </c>
      <c r="AR45" s="533">
        <f t="shared" si="131"/>
        <v>584</v>
      </c>
      <c r="AS45" s="534">
        <f t="shared" si="132"/>
        <v>422</v>
      </c>
      <c r="AT45" s="534">
        <f t="shared" si="133"/>
        <v>448</v>
      </c>
      <c r="AU45" s="534">
        <f t="shared" si="134"/>
        <v>459</v>
      </c>
      <c r="AV45" s="534">
        <f t="shared" si="135"/>
        <v>662</v>
      </c>
      <c r="AW45" s="534">
        <f t="shared" si="136"/>
        <v>604</v>
      </c>
      <c r="AX45" s="534">
        <f t="shared" si="137"/>
        <v>664</v>
      </c>
      <c r="AY45" s="534">
        <f t="shared" si="138"/>
        <v>754</v>
      </c>
      <c r="AZ45" s="534">
        <f t="shared" si="139"/>
        <v>694</v>
      </c>
      <c r="BA45" s="534">
        <f t="shared" si="140"/>
        <v>716</v>
      </c>
      <c r="BB45" s="534">
        <f t="shared" si="141"/>
        <v>798</v>
      </c>
      <c r="BC45" s="534">
        <f t="shared" si="142"/>
        <v>834</v>
      </c>
      <c r="BD45" s="534">
        <f t="shared" si="143"/>
        <v>816</v>
      </c>
      <c r="BE45" s="534">
        <f t="shared" si="144"/>
        <v>838</v>
      </c>
      <c r="BF45" s="534">
        <f t="shared" si="145"/>
        <v>942</v>
      </c>
      <c r="BG45" s="534">
        <f t="shared" si="146"/>
        <v>944</v>
      </c>
      <c r="BH45" s="534">
        <f t="shared" si="147"/>
        <v>985</v>
      </c>
      <c r="BI45" s="534">
        <f t="shared" si="148"/>
        <v>974</v>
      </c>
      <c r="BJ45" s="534">
        <f t="shared" si="149"/>
        <v>1082</v>
      </c>
      <c r="BK45" s="534">
        <f t="shared" si="150"/>
        <v>1194.5112010023979</v>
      </c>
      <c r="BL45" s="534">
        <f t="shared" si="151"/>
        <v>1365.1682000237347</v>
      </c>
      <c r="BM45" s="534">
        <f t="shared" si="152"/>
        <v>1478.3070989206112</v>
      </c>
      <c r="BN45" s="186">
        <f t="shared" si="153"/>
        <v>1512.8916499025279</v>
      </c>
      <c r="BO45" s="186">
        <f t="shared" si="154"/>
        <v>1546.1901206080224</v>
      </c>
      <c r="BP45" s="186">
        <f t="shared" si="155"/>
        <v>1644.5790347308869</v>
      </c>
      <c r="BQ45" s="186">
        <f t="shared" si="156"/>
        <v>1783.2119591122732</v>
      </c>
      <c r="BR45" s="186">
        <f t="shared" si="157"/>
        <v>1934.5893823419071</v>
      </c>
      <c r="BS45" s="186">
        <f t="shared" si="158"/>
        <v>1988.327080266142</v>
      </c>
      <c r="BT45" s="186">
        <f t="shared" si="159"/>
        <v>2089.4147968125976</v>
      </c>
      <c r="BU45" s="186">
        <f t="shared" si="160"/>
        <v>2192.6950429678309</v>
      </c>
      <c r="BV45" s="186">
        <f t="shared" si="161"/>
        <v>2331.2517305181991</v>
      </c>
      <c r="BW45" s="186">
        <f t="shared" si="162"/>
        <v>2202.3286596270927</v>
      </c>
      <c r="BX45" s="186">
        <f t="shared" si="163"/>
        <v>2491.7551848240114</v>
      </c>
      <c r="BY45" s="186">
        <f t="shared" si="164"/>
        <v>2447.8285512123825</v>
      </c>
      <c r="BZ45" s="186">
        <f t="shared" si="165"/>
        <v>2682.3154825627125</v>
      </c>
      <c r="CA45" s="186">
        <f t="shared" si="166"/>
        <v>2906.1363374456282</v>
      </c>
      <c r="CB45" s="186">
        <f t="shared" si="167"/>
        <v>2821.670938499929</v>
      </c>
      <c r="CC45" s="186">
        <f t="shared" si="168"/>
        <v>2914.1665915235876</v>
      </c>
      <c r="CD45" s="186">
        <f t="shared" si="169"/>
        <v>3202.5051589775053</v>
      </c>
      <c r="CE45" s="186">
        <f t="shared" si="170"/>
        <v>3389.4950794253659</v>
      </c>
      <c r="CF45" s="186">
        <f t="shared" si="171"/>
        <v>3379.6189830267645</v>
      </c>
      <c r="CG45" s="100">
        <v>74</v>
      </c>
      <c r="CH45" s="100">
        <v>23</v>
      </c>
      <c r="CI45" s="99">
        <v>52</v>
      </c>
      <c r="CJ45" s="99">
        <v>38</v>
      </c>
      <c r="CK45" s="99">
        <v>101</v>
      </c>
      <c r="CL45" s="99">
        <v>90</v>
      </c>
      <c r="CM45" s="100">
        <v>99</v>
      </c>
      <c r="CN45" s="99">
        <v>79</v>
      </c>
      <c r="CO45" s="99">
        <v>68</v>
      </c>
      <c r="CP45" s="99">
        <v>95</v>
      </c>
      <c r="CQ45" s="99">
        <v>141</v>
      </c>
      <c r="CR45" s="99">
        <v>110</v>
      </c>
      <c r="CS45" s="99">
        <v>120</v>
      </c>
      <c r="CT45" s="99">
        <v>119</v>
      </c>
      <c r="CU45" s="99">
        <v>138</v>
      </c>
      <c r="CV45" s="99">
        <v>123</v>
      </c>
      <c r="CW45" s="99">
        <v>141</v>
      </c>
      <c r="CX45" s="99">
        <v>140</v>
      </c>
      <c r="CY45" s="99">
        <v>182</v>
      </c>
      <c r="CZ45" s="99">
        <v>193.15157021142014</v>
      </c>
      <c r="DA45" s="99">
        <v>192.09851938277475</v>
      </c>
      <c r="DB45" s="99">
        <v>230.05034145207867</v>
      </c>
      <c r="DC45" s="180">
        <v>203.74486509397994</v>
      </c>
      <c r="DD45" s="180">
        <v>196.54506951192676</v>
      </c>
      <c r="DE45" s="180">
        <v>197.32078917824938</v>
      </c>
      <c r="DF45" s="180">
        <v>181.9045325528264</v>
      </c>
      <c r="DG45" s="180">
        <v>200.92874151059868</v>
      </c>
      <c r="DH45" s="181">
        <v>187.83774624546544</v>
      </c>
      <c r="DI45" s="180">
        <v>161.06193363200416</v>
      </c>
      <c r="DJ45" s="180">
        <v>159.78157256071171</v>
      </c>
      <c r="DK45" s="180">
        <v>142.18517954463024</v>
      </c>
      <c r="DL45" s="180">
        <v>165.60853106631771</v>
      </c>
      <c r="DM45" s="180">
        <v>141.11351505821281</v>
      </c>
      <c r="DN45" s="181">
        <v>120.83814590020199</v>
      </c>
      <c r="DO45" s="180">
        <v>128.07163695371926</v>
      </c>
      <c r="DP45" s="180">
        <v>124.36675844863686</v>
      </c>
      <c r="DQ45" s="180">
        <v>125.78082249984999</v>
      </c>
      <c r="DR45" s="180">
        <v>140.37354529542549</v>
      </c>
      <c r="DS45" s="180">
        <v>135.35675449374668</v>
      </c>
      <c r="DT45" s="180">
        <v>115.01893496656831</v>
      </c>
      <c r="DU45" s="180">
        <v>119.34949571004587</v>
      </c>
      <c r="DV45" s="100">
        <v>510</v>
      </c>
      <c r="DW45" s="100">
        <v>399</v>
      </c>
      <c r="DX45" s="99">
        <v>396</v>
      </c>
      <c r="DY45" s="99">
        <v>421</v>
      </c>
      <c r="DZ45" s="99">
        <v>561</v>
      </c>
      <c r="EA45" s="99">
        <v>514</v>
      </c>
      <c r="EB45" s="100">
        <v>565</v>
      </c>
      <c r="EC45" s="99">
        <v>675</v>
      </c>
      <c r="ED45" s="99">
        <v>626</v>
      </c>
      <c r="EE45" s="99">
        <v>621</v>
      </c>
      <c r="EF45" s="99">
        <v>657</v>
      </c>
      <c r="EG45" s="99">
        <v>724</v>
      </c>
      <c r="EH45" s="99">
        <v>696</v>
      </c>
      <c r="EI45" s="99">
        <v>719</v>
      </c>
      <c r="EJ45" s="99">
        <v>804</v>
      </c>
      <c r="EK45" s="99">
        <v>821</v>
      </c>
      <c r="EL45" s="99">
        <v>844</v>
      </c>
      <c r="EM45" s="99">
        <v>834</v>
      </c>
      <c r="EN45" s="99">
        <v>900</v>
      </c>
      <c r="EO45" s="99">
        <v>1001.3596307909778</v>
      </c>
      <c r="EP45" s="99">
        <v>1173.0696806409599</v>
      </c>
      <c r="EQ45" s="99">
        <v>1248.2567574685327</v>
      </c>
      <c r="ER45" s="180">
        <v>1309.1467848085479</v>
      </c>
      <c r="ES45" s="180">
        <v>1349.6450510960956</v>
      </c>
      <c r="ET45" s="180">
        <v>1447.2582455526374</v>
      </c>
      <c r="EU45" s="180">
        <v>1601.3074265594469</v>
      </c>
      <c r="EV45" s="180">
        <v>1733.6606408313085</v>
      </c>
      <c r="EW45" s="181">
        <v>1800.4893340206766</v>
      </c>
      <c r="EX45" s="180">
        <v>1928.3528631805934</v>
      </c>
      <c r="EY45" s="180">
        <v>2032.9134704071193</v>
      </c>
      <c r="EZ45" s="180">
        <v>2189.0665509735691</v>
      </c>
      <c r="FA45" s="180">
        <v>2036.7201285607748</v>
      </c>
      <c r="FB45" s="180">
        <v>2350.6416697657987</v>
      </c>
      <c r="FC45" s="181">
        <v>2326.9904053121804</v>
      </c>
      <c r="FD45" s="180">
        <v>2554.2438456089931</v>
      </c>
      <c r="FE45" s="180">
        <v>2781.7695789969912</v>
      </c>
      <c r="FF45" s="180">
        <v>2695.8901160000792</v>
      </c>
      <c r="FG45" s="180">
        <v>2773.793046228162</v>
      </c>
      <c r="FH45" s="180">
        <v>3067.1484044837584</v>
      </c>
      <c r="FI45" s="180">
        <v>3274.4761444587975</v>
      </c>
      <c r="FJ45" s="180">
        <v>3260.2694873167184</v>
      </c>
      <c r="FK45" s="100">
        <v>4888</v>
      </c>
      <c r="FL45" s="100">
        <v>4663</v>
      </c>
      <c r="FM45" s="99">
        <v>4136</v>
      </c>
      <c r="FN45" s="99">
        <v>4597</v>
      </c>
      <c r="FO45" s="99">
        <v>4416</v>
      </c>
      <c r="FP45" s="99">
        <v>4858</v>
      </c>
      <c r="FQ45" s="100">
        <v>4963</v>
      </c>
      <c r="FR45" s="99">
        <v>5108</v>
      </c>
      <c r="FS45" s="99">
        <v>4327</v>
      </c>
      <c r="FT45" s="99">
        <v>4358</v>
      </c>
      <c r="FU45" s="99">
        <v>4650</v>
      </c>
      <c r="FV45" s="99">
        <v>4669</v>
      </c>
      <c r="FW45" s="99">
        <v>4342</v>
      </c>
      <c r="FX45" s="99">
        <v>4549</v>
      </c>
      <c r="FY45" s="99">
        <v>5140</v>
      </c>
      <c r="FZ45" s="99">
        <v>5279</v>
      </c>
      <c r="GA45" s="99">
        <v>5564</v>
      </c>
      <c r="GB45" s="99">
        <v>6070</v>
      </c>
      <c r="GC45" s="99">
        <v>6583</v>
      </c>
      <c r="GD45" s="99">
        <v>6985.4517891089517</v>
      </c>
      <c r="GE45" s="99">
        <v>6795.8029548733894</v>
      </c>
      <c r="GF45" s="99">
        <v>7116.0239118810432</v>
      </c>
      <c r="GG45" s="180">
        <v>7193.997372058725</v>
      </c>
      <c r="GH45" s="180">
        <v>6970.2218696638147</v>
      </c>
      <c r="GI45" s="180">
        <v>7054.1735770080659</v>
      </c>
      <c r="GJ45" s="180">
        <v>7094.4371396086381</v>
      </c>
      <c r="GK45" s="180">
        <v>7337.802505634515</v>
      </c>
      <c r="GL45" s="181">
        <v>7549.0342952613155</v>
      </c>
      <c r="GM45" s="180">
        <v>7336.7443120003436</v>
      </c>
      <c r="GN45" s="180">
        <v>6751.7809476581151</v>
      </c>
      <c r="GO45" s="180">
        <v>6961.2388365298775</v>
      </c>
      <c r="GP45" s="180">
        <v>7363.3761276485911</v>
      </c>
      <c r="GQ45" s="180">
        <v>7561.822504871795</v>
      </c>
      <c r="GR45" s="181">
        <v>7762.780993765793</v>
      </c>
      <c r="GS45" s="180">
        <v>7764.4374861393071</v>
      </c>
      <c r="GT45" s="180">
        <v>7539.276981407932</v>
      </c>
      <c r="GU45" s="180">
        <v>7446.8460121455164</v>
      </c>
      <c r="GV45" s="180">
        <v>7295.7593612060991</v>
      </c>
      <c r="GW45" s="180">
        <v>7476.6233225012575</v>
      </c>
      <c r="GX45" s="180">
        <v>7439.8971140508793</v>
      </c>
      <c r="GY45" s="180">
        <v>7686.3078806117865</v>
      </c>
      <c r="GZ45" s="100">
        <v>963</v>
      </c>
      <c r="HA45" s="100">
        <v>920</v>
      </c>
      <c r="HB45" s="99">
        <v>882</v>
      </c>
      <c r="HC45" s="99">
        <v>991</v>
      </c>
      <c r="HD45" s="99">
        <v>1143</v>
      </c>
      <c r="HE45" s="99">
        <v>1115</v>
      </c>
      <c r="HF45" s="100">
        <v>1199</v>
      </c>
      <c r="HG45" s="99">
        <v>1252</v>
      </c>
      <c r="HH45" s="99">
        <v>1186</v>
      </c>
      <c r="HI45" s="99">
        <v>1304</v>
      </c>
      <c r="HJ45" s="99">
        <v>1428</v>
      </c>
      <c r="HK45" s="99">
        <v>1474</v>
      </c>
      <c r="HL45" s="99">
        <v>1602</v>
      </c>
      <c r="HM45" s="99">
        <v>1636</v>
      </c>
      <c r="HN45" s="99">
        <v>1953</v>
      </c>
      <c r="HO45" s="99">
        <v>2161</v>
      </c>
      <c r="HP45" s="99">
        <v>2433</v>
      </c>
      <c r="HQ45" s="99">
        <v>2700</v>
      </c>
      <c r="HR45" s="99">
        <v>3168</v>
      </c>
      <c r="HS45" s="99">
        <v>3869</v>
      </c>
      <c r="HT45" s="99">
        <v>4089</v>
      </c>
      <c r="HU45" s="99">
        <v>4643</v>
      </c>
      <c r="HV45" s="180">
        <v>4851.1125589471076</v>
      </c>
      <c r="HW45" s="180">
        <v>5225.7438044084001</v>
      </c>
      <c r="HX45" s="180">
        <v>5591.1806781153009</v>
      </c>
      <c r="HY45" s="180">
        <v>6116.9858875563996</v>
      </c>
      <c r="HZ45" s="180">
        <v>6509.8620297675134</v>
      </c>
      <c r="IA45" s="181">
        <v>7544.6140657219066</v>
      </c>
      <c r="IB45" s="180">
        <v>7780.0032667383202</v>
      </c>
      <c r="IC45" s="180">
        <v>8151.7238339624782</v>
      </c>
      <c r="ID45" s="180">
        <v>8977.8806543891315</v>
      </c>
      <c r="IE45" s="180">
        <v>9292.3384089406227</v>
      </c>
      <c r="IF45" s="180">
        <v>10050.697423739004</v>
      </c>
      <c r="IG45" s="181">
        <v>10857.892612226962</v>
      </c>
      <c r="IH45" s="180">
        <v>10338.787347417809</v>
      </c>
      <c r="II45" s="180">
        <v>9760.2498962334175</v>
      </c>
      <c r="IJ45" s="180">
        <v>9097.6996823553072</v>
      </c>
      <c r="IK45" s="180">
        <v>8668.8651787690178</v>
      </c>
      <c r="IL45" s="180">
        <v>8518.9856949348905</v>
      </c>
      <c r="IM45" s="180">
        <v>8267.8768717992134</v>
      </c>
      <c r="IN45" s="180">
        <v>8745.2328243569445</v>
      </c>
      <c r="IO45" s="100">
        <v>50195</v>
      </c>
      <c r="IP45" s="100">
        <v>50977</v>
      </c>
      <c r="IQ45" s="99">
        <v>49184</v>
      </c>
      <c r="IR45" s="99">
        <v>50011</v>
      </c>
      <c r="IS45" s="99">
        <v>50109</v>
      </c>
      <c r="IT45" s="99">
        <v>50886</v>
      </c>
      <c r="IU45" s="100">
        <v>52118</v>
      </c>
      <c r="IV45" s="99">
        <v>51919</v>
      </c>
      <c r="IW45" s="99">
        <v>50805</v>
      </c>
      <c r="IX45" s="99">
        <v>49794</v>
      </c>
      <c r="IY45" s="99">
        <v>49846</v>
      </c>
      <c r="IZ45" s="99">
        <v>50920</v>
      </c>
      <c r="JA45" s="99">
        <v>49248</v>
      </c>
      <c r="JB45" s="99">
        <v>48421</v>
      </c>
      <c r="JC45" s="99">
        <v>49885</v>
      </c>
      <c r="JD45" s="99">
        <v>50578</v>
      </c>
      <c r="JE45" s="99">
        <v>51810</v>
      </c>
      <c r="JF45" s="99">
        <v>52568</v>
      </c>
      <c r="JG45" s="99">
        <v>52160</v>
      </c>
      <c r="JH45" s="99">
        <v>54084.037009888649</v>
      </c>
      <c r="JI45" s="99">
        <v>53417.028845102875</v>
      </c>
      <c r="JJ45" s="99">
        <v>53357.668989198348</v>
      </c>
      <c r="JK45" s="180">
        <v>53479.605910571845</v>
      </c>
      <c r="JL45" s="180">
        <v>52326.623359696066</v>
      </c>
      <c r="JM45" s="180">
        <v>52009.079263103027</v>
      </c>
      <c r="JN45" s="180">
        <v>51577.939496254301</v>
      </c>
      <c r="JO45" s="180">
        <v>52118.225655325739</v>
      </c>
      <c r="JP45" s="181">
        <v>52792.654042811278</v>
      </c>
      <c r="JQ45" s="180">
        <v>50368.273123654479</v>
      </c>
      <c r="JR45" s="180">
        <v>49430.200520423088</v>
      </c>
      <c r="JS45" s="180">
        <v>50018.917760161334</v>
      </c>
      <c r="JT45" s="180">
        <v>49281.54254664031</v>
      </c>
      <c r="JU45" s="180">
        <v>49241.447805974305</v>
      </c>
      <c r="JV45" s="181">
        <v>49848.167439998702</v>
      </c>
      <c r="JW45" s="180">
        <v>49128.03368635635</v>
      </c>
      <c r="JX45" s="180">
        <v>48115.253455253631</v>
      </c>
      <c r="JY45" s="180">
        <v>46629.634306646454</v>
      </c>
      <c r="JZ45" s="180">
        <v>46670.507851031114</v>
      </c>
      <c r="KA45" s="180">
        <v>46177.660551674737</v>
      </c>
      <c r="KB45" s="180">
        <v>46203.763122632801</v>
      </c>
      <c r="KC45" s="180">
        <v>46394.710957319927</v>
      </c>
    </row>
    <row r="46" spans="1:289">
      <c r="A46" s="175" t="s">
        <v>67</v>
      </c>
      <c r="B46" s="100">
        <v>29224</v>
      </c>
      <c r="C46" s="100">
        <v>30677</v>
      </c>
      <c r="D46" s="99">
        <v>30247</v>
      </c>
      <c r="E46" s="99">
        <v>31268</v>
      </c>
      <c r="F46" s="99">
        <v>31689</v>
      </c>
      <c r="G46" s="99">
        <v>32986</v>
      </c>
      <c r="H46" s="100">
        <v>34189</v>
      </c>
      <c r="I46" s="99">
        <v>34378</v>
      </c>
      <c r="J46" s="99">
        <v>33926</v>
      </c>
      <c r="K46" s="99">
        <v>33774</v>
      </c>
      <c r="L46" s="99">
        <v>33789</v>
      </c>
      <c r="M46" s="99">
        <v>34860</v>
      </c>
      <c r="N46" s="99">
        <v>34339</v>
      </c>
      <c r="O46" s="99">
        <v>33547</v>
      </c>
      <c r="P46" s="99">
        <v>33693</v>
      </c>
      <c r="Q46" s="99">
        <v>34127</v>
      </c>
      <c r="R46" s="99">
        <v>34573</v>
      </c>
      <c r="S46" s="99">
        <v>33926</v>
      </c>
      <c r="T46" s="99">
        <v>34462</v>
      </c>
      <c r="U46" s="99">
        <v>33853</v>
      </c>
      <c r="V46" s="99">
        <v>33230</v>
      </c>
      <c r="W46" s="99">
        <v>32548</v>
      </c>
      <c r="X46" s="546">
        <v>34080</v>
      </c>
      <c r="Y46" s="180">
        <v>32473.513232236324</v>
      </c>
      <c r="Z46" s="180">
        <v>32398.913666040717</v>
      </c>
      <c r="AA46" s="180">
        <v>32403.267546804407</v>
      </c>
      <c r="AB46" s="180">
        <v>32451.274407909394</v>
      </c>
      <c r="AC46" s="180">
        <v>33152.754971208458</v>
      </c>
      <c r="AD46" s="181">
        <v>32789.523317960986</v>
      </c>
      <c r="AE46" s="180">
        <v>32814.762764385625</v>
      </c>
      <c r="AF46" s="180">
        <v>33221.267234302533</v>
      </c>
      <c r="AG46" s="180">
        <v>33323.656213863636</v>
      </c>
      <c r="AH46" s="180">
        <v>33850.854857456921</v>
      </c>
      <c r="AI46" s="180">
        <v>34606.878115917978</v>
      </c>
      <c r="AJ46" s="181">
        <v>35254.567410203708</v>
      </c>
      <c r="AK46" s="180">
        <v>34692.792992973475</v>
      </c>
      <c r="AL46" s="180">
        <v>34197.643606247606</v>
      </c>
      <c r="AM46" s="180">
        <v>33308.648562456583</v>
      </c>
      <c r="AN46" s="180">
        <v>32858.75936303968</v>
      </c>
      <c r="AO46" s="180">
        <v>33318.744399227078</v>
      </c>
      <c r="AP46" s="180">
        <v>33653.270718182248</v>
      </c>
      <c r="AQ46" s="180">
        <v>34160.45145521759</v>
      </c>
      <c r="AR46" s="533">
        <f t="shared" si="131"/>
        <v>598</v>
      </c>
      <c r="AS46" s="534">
        <f t="shared" si="132"/>
        <v>500</v>
      </c>
      <c r="AT46" s="534">
        <f t="shared" si="133"/>
        <v>544</v>
      </c>
      <c r="AU46" s="534">
        <f t="shared" si="134"/>
        <v>631</v>
      </c>
      <c r="AV46" s="534">
        <f t="shared" si="135"/>
        <v>558</v>
      </c>
      <c r="AW46" s="534">
        <f t="shared" si="136"/>
        <v>628</v>
      </c>
      <c r="AX46" s="534">
        <f t="shared" si="137"/>
        <v>592</v>
      </c>
      <c r="AY46" s="534">
        <f t="shared" si="138"/>
        <v>586</v>
      </c>
      <c r="AZ46" s="534">
        <f t="shared" si="139"/>
        <v>621</v>
      </c>
      <c r="BA46" s="534">
        <f t="shared" si="140"/>
        <v>896</v>
      </c>
      <c r="BB46" s="534">
        <f t="shared" si="141"/>
        <v>765</v>
      </c>
      <c r="BC46" s="534">
        <f t="shared" si="142"/>
        <v>780</v>
      </c>
      <c r="BD46" s="534">
        <f t="shared" si="143"/>
        <v>793</v>
      </c>
      <c r="BE46" s="534">
        <f t="shared" si="144"/>
        <v>819</v>
      </c>
      <c r="BF46" s="534">
        <f t="shared" si="145"/>
        <v>851</v>
      </c>
      <c r="BG46" s="534">
        <f t="shared" si="146"/>
        <v>762</v>
      </c>
      <c r="BH46" s="534">
        <f t="shared" si="147"/>
        <v>790</v>
      </c>
      <c r="BI46" s="534">
        <f t="shared" si="148"/>
        <v>811</v>
      </c>
      <c r="BJ46" s="534">
        <f t="shared" si="149"/>
        <v>837.22268713649055</v>
      </c>
      <c r="BK46" s="534">
        <f t="shared" si="150"/>
        <v>804.36867712841536</v>
      </c>
      <c r="BL46" s="534">
        <f t="shared" si="151"/>
        <v>789.77367961029722</v>
      </c>
      <c r="BM46" s="534">
        <f t="shared" si="152"/>
        <v>894.89873403313038</v>
      </c>
      <c r="BN46" s="186">
        <f t="shared" si="153"/>
        <v>882.86969756938606</v>
      </c>
      <c r="BO46" s="186">
        <f t="shared" si="154"/>
        <v>914.43528885149055</v>
      </c>
      <c r="BP46" s="186">
        <f t="shared" si="155"/>
        <v>913.03542100474897</v>
      </c>
      <c r="BQ46" s="186">
        <f t="shared" si="156"/>
        <v>901.81342640252683</v>
      </c>
      <c r="BR46" s="186">
        <f t="shared" si="157"/>
        <v>1054.7628135580803</v>
      </c>
      <c r="BS46" s="186">
        <f t="shared" si="158"/>
        <v>959.38282232115239</v>
      </c>
      <c r="BT46" s="186">
        <f t="shared" si="159"/>
        <v>1029.921788011879</v>
      </c>
      <c r="BU46" s="186">
        <f t="shared" si="160"/>
        <v>1089.534355794879</v>
      </c>
      <c r="BV46" s="186">
        <f t="shared" si="161"/>
        <v>1072.4002714238413</v>
      </c>
      <c r="BW46" s="186">
        <f t="shared" si="162"/>
        <v>1105.7190873745994</v>
      </c>
      <c r="BX46" s="186">
        <f t="shared" si="163"/>
        <v>1085.6741386910967</v>
      </c>
      <c r="BY46" s="186">
        <f t="shared" si="164"/>
        <v>1132.7430835928531</v>
      </c>
      <c r="BZ46" s="186">
        <f t="shared" si="165"/>
        <v>1093.7500501025302</v>
      </c>
      <c r="CA46" s="186">
        <f t="shared" si="166"/>
        <v>1147.5054909908642</v>
      </c>
      <c r="CB46" s="186">
        <f t="shared" si="167"/>
        <v>1225.7914404139487</v>
      </c>
      <c r="CC46" s="186">
        <f t="shared" si="168"/>
        <v>1293.6390275204967</v>
      </c>
      <c r="CD46" s="186">
        <f t="shared" si="169"/>
        <v>1434.8395960387434</v>
      </c>
      <c r="CE46" s="186">
        <f t="shared" si="170"/>
        <v>1483.289386792492</v>
      </c>
      <c r="CF46" s="186">
        <f t="shared" si="171"/>
        <v>1550.1405946599737</v>
      </c>
      <c r="CG46" s="100">
        <v>143</v>
      </c>
      <c r="CH46" s="100">
        <v>45</v>
      </c>
      <c r="CI46" s="99">
        <v>59</v>
      </c>
      <c r="CJ46" s="99">
        <v>69</v>
      </c>
      <c r="CK46" s="99">
        <v>55</v>
      </c>
      <c r="CL46" s="99">
        <v>73</v>
      </c>
      <c r="CM46" s="100">
        <v>84</v>
      </c>
      <c r="CN46" s="99">
        <v>90</v>
      </c>
      <c r="CO46" s="99">
        <v>74</v>
      </c>
      <c r="CP46" s="99">
        <v>212</v>
      </c>
      <c r="CQ46" s="99">
        <v>108</v>
      </c>
      <c r="CR46" s="99">
        <v>124</v>
      </c>
      <c r="CS46" s="99">
        <v>121</v>
      </c>
      <c r="CT46" s="99">
        <v>164</v>
      </c>
      <c r="CU46" s="99">
        <v>156</v>
      </c>
      <c r="CV46" s="99">
        <v>152</v>
      </c>
      <c r="CW46" s="99">
        <v>159</v>
      </c>
      <c r="CX46" s="99">
        <v>154</v>
      </c>
      <c r="CY46" s="99">
        <v>160.98669863991321</v>
      </c>
      <c r="CZ46" s="99">
        <v>144.31501521226852</v>
      </c>
      <c r="DA46" s="99">
        <v>125.61219724428017</v>
      </c>
      <c r="DB46" s="99">
        <v>156.89553648674067</v>
      </c>
      <c r="DC46" s="180">
        <v>132.66892545438185</v>
      </c>
      <c r="DD46" s="180">
        <v>134.35961010160744</v>
      </c>
      <c r="DE46" s="180">
        <v>106.94591814711401</v>
      </c>
      <c r="DF46" s="180">
        <v>101.5994612908022</v>
      </c>
      <c r="DG46" s="180">
        <v>99.58199155922145</v>
      </c>
      <c r="DH46" s="181">
        <v>92.6825347380788</v>
      </c>
      <c r="DI46" s="180">
        <v>80.737435806755229</v>
      </c>
      <c r="DJ46" s="180">
        <v>81.901727892304535</v>
      </c>
      <c r="DK46" s="180">
        <v>75.195456283131421</v>
      </c>
      <c r="DL46" s="180">
        <v>75.570577320651324</v>
      </c>
      <c r="DM46" s="180">
        <v>65.57287823947604</v>
      </c>
      <c r="DN46" s="181">
        <v>69.184006296620183</v>
      </c>
      <c r="DO46" s="180">
        <v>70.72078095444536</v>
      </c>
      <c r="DP46" s="180">
        <v>62.273738767119731</v>
      </c>
      <c r="DQ46" s="180">
        <v>65.478170113512803</v>
      </c>
      <c r="DR46" s="180">
        <v>59.725855232356551</v>
      </c>
      <c r="DS46" s="180">
        <v>62.733617295082126</v>
      </c>
      <c r="DT46" s="180">
        <v>59.267691288808884</v>
      </c>
      <c r="DU46" s="180">
        <v>69.32953185104644</v>
      </c>
      <c r="DV46" s="100">
        <v>455</v>
      </c>
      <c r="DW46" s="100">
        <v>455</v>
      </c>
      <c r="DX46" s="99">
        <v>485</v>
      </c>
      <c r="DY46" s="99">
        <v>562</v>
      </c>
      <c r="DZ46" s="99">
        <v>503</v>
      </c>
      <c r="EA46" s="99">
        <v>555</v>
      </c>
      <c r="EB46" s="100">
        <v>508</v>
      </c>
      <c r="EC46" s="99">
        <v>496</v>
      </c>
      <c r="ED46" s="99">
        <v>547</v>
      </c>
      <c r="EE46" s="99">
        <v>684</v>
      </c>
      <c r="EF46" s="99">
        <v>657</v>
      </c>
      <c r="EG46" s="99">
        <v>656</v>
      </c>
      <c r="EH46" s="99">
        <v>672</v>
      </c>
      <c r="EI46" s="99">
        <v>655</v>
      </c>
      <c r="EJ46" s="99">
        <v>695</v>
      </c>
      <c r="EK46" s="99">
        <v>610</v>
      </c>
      <c r="EL46" s="99">
        <v>631</v>
      </c>
      <c r="EM46" s="99">
        <v>657</v>
      </c>
      <c r="EN46" s="99">
        <v>676.23598849657731</v>
      </c>
      <c r="EO46" s="99">
        <v>660.05366191614689</v>
      </c>
      <c r="EP46" s="99">
        <v>664.16148236601703</v>
      </c>
      <c r="EQ46" s="99">
        <v>738.00319754638974</v>
      </c>
      <c r="ER46" s="180">
        <v>750.20077211500416</v>
      </c>
      <c r="ES46" s="180">
        <v>780.07567874988308</v>
      </c>
      <c r="ET46" s="180">
        <v>806.08950285763501</v>
      </c>
      <c r="EU46" s="180">
        <v>800.21396511172463</v>
      </c>
      <c r="EV46" s="180">
        <v>955.18082199885896</v>
      </c>
      <c r="EW46" s="181">
        <v>866.70028758307353</v>
      </c>
      <c r="EX46" s="180">
        <v>949.18435220512367</v>
      </c>
      <c r="EY46" s="180">
        <v>1007.6326279025744</v>
      </c>
      <c r="EZ46" s="180">
        <v>997.20481514070991</v>
      </c>
      <c r="FA46" s="180">
        <v>1030.148510053948</v>
      </c>
      <c r="FB46" s="180">
        <v>1020.1012604516208</v>
      </c>
      <c r="FC46" s="181">
        <v>1063.5590772962328</v>
      </c>
      <c r="FD46" s="180">
        <v>1023.0292691480847</v>
      </c>
      <c r="FE46" s="180">
        <v>1085.2317522237445</v>
      </c>
      <c r="FF46" s="180">
        <v>1160.313270300436</v>
      </c>
      <c r="FG46" s="180">
        <v>1233.9131722881402</v>
      </c>
      <c r="FH46" s="180">
        <v>1372.1059787436611</v>
      </c>
      <c r="FI46" s="180">
        <v>1424.0216955036831</v>
      </c>
      <c r="FJ46" s="180">
        <v>1480.8110628089273</v>
      </c>
      <c r="FK46" s="100">
        <v>514</v>
      </c>
      <c r="FL46" s="100">
        <v>529</v>
      </c>
      <c r="FM46" s="99">
        <v>717</v>
      </c>
      <c r="FN46" s="99">
        <v>580</v>
      </c>
      <c r="FO46" s="99">
        <v>647</v>
      </c>
      <c r="FP46" s="99">
        <v>614</v>
      </c>
      <c r="FQ46" s="100">
        <v>696</v>
      </c>
      <c r="FR46" s="99">
        <v>673</v>
      </c>
      <c r="FS46" s="99">
        <v>734</v>
      </c>
      <c r="FT46" s="99">
        <v>678</v>
      </c>
      <c r="FU46" s="99">
        <v>756</v>
      </c>
      <c r="FV46" s="99">
        <v>857</v>
      </c>
      <c r="FW46" s="99">
        <v>900</v>
      </c>
      <c r="FX46" s="99">
        <v>1021</v>
      </c>
      <c r="FY46" s="99">
        <v>1091</v>
      </c>
      <c r="FZ46" s="99">
        <v>1190</v>
      </c>
      <c r="GA46" s="99">
        <v>1266</v>
      </c>
      <c r="GB46" s="99">
        <v>1344</v>
      </c>
      <c r="GC46" s="99">
        <v>1284.3250737740425</v>
      </c>
      <c r="GD46" s="99">
        <v>1398.3186063017347</v>
      </c>
      <c r="GE46" s="99">
        <v>1305.2494382737898</v>
      </c>
      <c r="GF46" s="99">
        <v>1341.4188524443548</v>
      </c>
      <c r="GG46" s="180">
        <v>1412.28833702213</v>
      </c>
      <c r="GH46" s="180">
        <v>1451.5549762440055</v>
      </c>
      <c r="GI46" s="180">
        <v>1417.8926389808425</v>
      </c>
      <c r="GJ46" s="180">
        <v>1446.679063650904</v>
      </c>
      <c r="GK46" s="180">
        <v>1505.9111518435454</v>
      </c>
      <c r="GL46" s="181">
        <v>1505.0572834909417</v>
      </c>
      <c r="GM46" s="180">
        <v>1478.285449774892</v>
      </c>
      <c r="GN46" s="180">
        <v>1539.4056905775553</v>
      </c>
      <c r="GO46" s="180">
        <v>1588.8679996955213</v>
      </c>
      <c r="GP46" s="180">
        <v>1557.8375579923265</v>
      </c>
      <c r="GQ46" s="180">
        <v>1607.5387148559598</v>
      </c>
      <c r="GR46" s="181">
        <v>1708.2206992639926</v>
      </c>
      <c r="GS46" s="180">
        <v>1841.2439918527275</v>
      </c>
      <c r="GT46" s="180">
        <v>1961.5117596776458</v>
      </c>
      <c r="GU46" s="180">
        <v>1875.4309111699831</v>
      </c>
      <c r="GV46" s="180">
        <v>1862.1686418327643</v>
      </c>
      <c r="GW46" s="180">
        <v>2022.4701508317473</v>
      </c>
      <c r="GX46" s="180">
        <v>2150.6803859070637</v>
      </c>
      <c r="GY46" s="180">
        <v>2396.8243052847292</v>
      </c>
      <c r="GZ46" s="100">
        <v>356</v>
      </c>
      <c r="HA46" s="100">
        <v>342</v>
      </c>
      <c r="HB46" s="99">
        <v>419</v>
      </c>
      <c r="HC46" s="99">
        <v>403</v>
      </c>
      <c r="HD46" s="99">
        <v>404</v>
      </c>
      <c r="HE46" s="99">
        <v>524</v>
      </c>
      <c r="HF46" s="100">
        <v>531</v>
      </c>
      <c r="HG46" s="99">
        <v>500</v>
      </c>
      <c r="HH46" s="99">
        <v>537</v>
      </c>
      <c r="HI46" s="99">
        <v>582</v>
      </c>
      <c r="HJ46" s="99">
        <v>660</v>
      </c>
      <c r="HK46" s="99">
        <v>748</v>
      </c>
      <c r="HL46" s="99">
        <v>928</v>
      </c>
      <c r="HM46" s="99">
        <v>999</v>
      </c>
      <c r="HN46" s="99">
        <v>1100</v>
      </c>
      <c r="HO46" s="99">
        <v>1156</v>
      </c>
      <c r="HP46" s="99">
        <v>1267</v>
      </c>
      <c r="HQ46" s="99">
        <v>1353</v>
      </c>
      <c r="HR46" s="99">
        <v>1794</v>
      </c>
      <c r="HS46" s="99">
        <v>1921</v>
      </c>
      <c r="HT46" s="99">
        <v>2045</v>
      </c>
      <c r="HU46" s="99">
        <v>2228</v>
      </c>
      <c r="HV46" s="180">
        <v>2307.1038834869851</v>
      </c>
      <c r="HW46" s="180">
        <v>2480.9864131352547</v>
      </c>
      <c r="HX46" s="180">
        <v>2553.4276073054448</v>
      </c>
      <c r="HY46" s="180">
        <v>2679.6614111631384</v>
      </c>
      <c r="HZ46" s="180">
        <v>3031.4428464908019</v>
      </c>
      <c r="IA46" s="181">
        <v>3024.3443807649114</v>
      </c>
      <c r="IB46" s="180">
        <v>3247.5142750338168</v>
      </c>
      <c r="IC46" s="180">
        <v>3334.716022878059</v>
      </c>
      <c r="ID46" s="180">
        <v>3549.3379627340892</v>
      </c>
      <c r="IE46" s="180">
        <v>3822.9640218911677</v>
      </c>
      <c r="IF46" s="180">
        <v>4146.179122561357</v>
      </c>
      <c r="IG46" s="181">
        <v>4303.9285087581866</v>
      </c>
      <c r="IH46" s="180">
        <v>4243.3968842463046</v>
      </c>
      <c r="II46" s="180">
        <v>4069.7292044979517</v>
      </c>
      <c r="IJ46" s="180">
        <v>3920.4598110170132</v>
      </c>
      <c r="IK46" s="180">
        <v>3967.2624377254228</v>
      </c>
      <c r="IL46" s="180">
        <v>4013.8500501192502</v>
      </c>
      <c r="IM46" s="180">
        <v>4040.1632116312085</v>
      </c>
      <c r="IN46" s="180">
        <v>4215.1503634703595</v>
      </c>
      <c r="IO46" s="100">
        <v>27756</v>
      </c>
      <c r="IP46" s="100">
        <v>29306</v>
      </c>
      <c r="IQ46" s="99">
        <v>28567</v>
      </c>
      <c r="IR46" s="99">
        <v>29654</v>
      </c>
      <c r="IS46" s="99">
        <v>30080</v>
      </c>
      <c r="IT46" s="99">
        <v>31220</v>
      </c>
      <c r="IU46" s="100">
        <v>32370</v>
      </c>
      <c r="IV46" s="99">
        <v>32619</v>
      </c>
      <c r="IW46" s="99">
        <v>32034</v>
      </c>
      <c r="IX46" s="99">
        <v>31618</v>
      </c>
      <c r="IY46" s="99">
        <v>31608</v>
      </c>
      <c r="IZ46" s="99">
        <v>32475</v>
      </c>
      <c r="JA46" s="99">
        <v>31718</v>
      </c>
      <c r="JB46" s="99">
        <v>30708</v>
      </c>
      <c r="JC46" s="99">
        <v>30651</v>
      </c>
      <c r="JD46" s="99">
        <v>31019</v>
      </c>
      <c r="JE46" s="99">
        <v>31250</v>
      </c>
      <c r="JF46" s="99">
        <v>30418</v>
      </c>
      <c r="JG46" s="99">
        <v>30546.452239089467</v>
      </c>
      <c r="JH46" s="99">
        <v>29729.31271656985</v>
      </c>
      <c r="JI46" s="99">
        <v>29089.976882115912</v>
      </c>
      <c r="JJ46" s="99">
        <v>28083.682413522514</v>
      </c>
      <c r="JK46" s="180">
        <v>27784.688518918771</v>
      </c>
      <c r="JL46" s="180">
        <v>27468.151872447579</v>
      </c>
      <c r="JM46" s="180">
        <v>27443.171053423179</v>
      </c>
      <c r="JN46" s="180">
        <v>27328.556714554266</v>
      </c>
      <c r="JO46" s="180">
        <v>27474.914484699239</v>
      </c>
      <c r="JP46" s="181">
        <v>27209.307470749362</v>
      </c>
      <c r="JQ46" s="180">
        <v>26996.55531480147</v>
      </c>
      <c r="JR46" s="180">
        <v>27192.518876014135</v>
      </c>
      <c r="JS46" s="180">
        <v>27047.708014728978</v>
      </c>
      <c r="JT46" s="180">
        <v>27328.978108620729</v>
      </c>
      <c r="JU46" s="180">
        <v>27763.419754885279</v>
      </c>
      <c r="JV46" s="181">
        <v>28098.289547748955</v>
      </c>
      <c r="JW46" s="180">
        <v>27631.970952148378</v>
      </c>
      <c r="JX46" s="180">
        <v>27145.2139132634</v>
      </c>
      <c r="JY46" s="180">
        <v>26392.156103303765</v>
      </c>
      <c r="JZ46" s="180">
        <v>25892.381735807467</v>
      </c>
      <c r="KA46" s="180">
        <v>26050.899441656828</v>
      </c>
      <c r="KB46" s="180">
        <v>26238.252138124059</v>
      </c>
      <c r="KC46" s="180">
        <v>26330.679572110075</v>
      </c>
    </row>
    <row r="47" spans="1:289">
      <c r="A47" s="175" t="s">
        <v>68</v>
      </c>
      <c r="B47" s="100">
        <v>24129</v>
      </c>
      <c r="C47" s="100">
        <v>24720</v>
      </c>
      <c r="D47" s="99">
        <v>25319</v>
      </c>
      <c r="E47" s="99">
        <v>26125</v>
      </c>
      <c r="F47" s="99">
        <v>25786</v>
      </c>
      <c r="G47" s="99">
        <v>26648</v>
      </c>
      <c r="H47" s="100">
        <v>27856</v>
      </c>
      <c r="I47" s="99">
        <v>28685</v>
      </c>
      <c r="J47" s="99">
        <v>29102</v>
      </c>
      <c r="K47" s="99">
        <v>29360</v>
      </c>
      <c r="L47" s="99">
        <v>29541</v>
      </c>
      <c r="M47" s="99">
        <v>29963</v>
      </c>
      <c r="N47" s="99">
        <v>30155</v>
      </c>
      <c r="O47" s="99">
        <v>30355</v>
      </c>
      <c r="P47" s="99">
        <v>29818</v>
      </c>
      <c r="Q47" s="99">
        <v>30139</v>
      </c>
      <c r="R47" s="99">
        <v>30737</v>
      </c>
      <c r="S47" s="99">
        <v>30368</v>
      </c>
      <c r="T47" s="99">
        <v>31642</v>
      </c>
      <c r="U47" s="99">
        <v>31370</v>
      </c>
      <c r="V47" s="99">
        <v>31898</v>
      </c>
      <c r="W47" s="99">
        <v>31922</v>
      </c>
      <c r="X47" s="546">
        <v>33120</v>
      </c>
      <c r="Y47" s="180">
        <v>31704.816256273243</v>
      </c>
      <c r="Z47" s="180">
        <v>31322.243675536778</v>
      </c>
      <c r="AA47" s="180">
        <v>32106.496162967076</v>
      </c>
      <c r="AB47" s="180">
        <v>31812.238776371611</v>
      </c>
      <c r="AC47" s="180">
        <v>33162.029095589707</v>
      </c>
      <c r="AD47" s="181">
        <v>33384.269317785169</v>
      </c>
      <c r="AE47" s="180">
        <v>33128.293545033441</v>
      </c>
      <c r="AF47" s="180">
        <v>33777.366368322226</v>
      </c>
      <c r="AG47" s="180">
        <v>33802.881276071792</v>
      </c>
      <c r="AH47" s="180">
        <v>34284.677089249832</v>
      </c>
      <c r="AI47" s="180">
        <v>34925.979985659345</v>
      </c>
      <c r="AJ47" s="181">
        <v>35769.608509542246</v>
      </c>
      <c r="AK47" s="180">
        <v>35709.89491808445</v>
      </c>
      <c r="AL47" s="180">
        <v>35345.116391952673</v>
      </c>
      <c r="AM47" s="180">
        <v>34719.440103454333</v>
      </c>
      <c r="AN47" s="180">
        <v>33830.021377092518</v>
      </c>
      <c r="AO47" s="180">
        <v>34424.207010151185</v>
      </c>
      <c r="AP47" s="180">
        <v>33152.151968295875</v>
      </c>
      <c r="AQ47" s="180">
        <v>33482.054721630804</v>
      </c>
      <c r="AR47" s="533">
        <f t="shared" si="131"/>
        <v>659</v>
      </c>
      <c r="AS47" s="534">
        <f t="shared" si="132"/>
        <v>724</v>
      </c>
      <c r="AT47" s="534">
        <f t="shared" si="133"/>
        <v>737</v>
      </c>
      <c r="AU47" s="534">
        <f t="shared" si="134"/>
        <v>794</v>
      </c>
      <c r="AV47" s="534">
        <f t="shared" si="135"/>
        <v>796</v>
      </c>
      <c r="AW47" s="534">
        <f t="shared" si="136"/>
        <v>827</v>
      </c>
      <c r="AX47" s="534">
        <f t="shared" si="137"/>
        <v>869</v>
      </c>
      <c r="AY47" s="534">
        <f t="shared" si="138"/>
        <v>855</v>
      </c>
      <c r="AZ47" s="534">
        <f t="shared" si="139"/>
        <v>956</v>
      </c>
      <c r="BA47" s="534">
        <f t="shared" si="140"/>
        <v>973</v>
      </c>
      <c r="BB47" s="534">
        <f t="shared" si="141"/>
        <v>968</v>
      </c>
      <c r="BC47" s="534">
        <f t="shared" si="142"/>
        <v>1006</v>
      </c>
      <c r="BD47" s="534">
        <f t="shared" si="143"/>
        <v>1110</v>
      </c>
      <c r="BE47" s="534">
        <f t="shared" si="144"/>
        <v>1058</v>
      </c>
      <c r="BF47" s="534">
        <f t="shared" si="145"/>
        <v>1091</v>
      </c>
      <c r="BG47" s="534">
        <f t="shared" si="146"/>
        <v>1000</v>
      </c>
      <c r="BH47" s="534">
        <f t="shared" si="147"/>
        <v>1092</v>
      </c>
      <c r="BI47" s="534">
        <f t="shared" si="148"/>
        <v>1157</v>
      </c>
      <c r="BJ47" s="534">
        <f t="shared" si="149"/>
        <v>1186.6144982729681</v>
      </c>
      <c r="BK47" s="534">
        <f t="shared" si="150"/>
        <v>1247.038279529459</v>
      </c>
      <c r="BL47" s="534">
        <f t="shared" si="151"/>
        <v>1222.2944194259537</v>
      </c>
      <c r="BM47" s="534">
        <f t="shared" si="152"/>
        <v>1224.8584064401778</v>
      </c>
      <c r="BN47" s="186">
        <f t="shared" si="153"/>
        <v>1269.3206104991007</v>
      </c>
      <c r="BO47" s="186">
        <f t="shared" si="154"/>
        <v>1303.5501813039639</v>
      </c>
      <c r="BP47" s="186">
        <f t="shared" si="155"/>
        <v>1341.2566284719635</v>
      </c>
      <c r="BQ47" s="186">
        <f t="shared" si="156"/>
        <v>1214.4601318599023</v>
      </c>
      <c r="BR47" s="186">
        <f t="shared" si="157"/>
        <v>1391.6272026170568</v>
      </c>
      <c r="BS47" s="186">
        <f t="shared" si="158"/>
        <v>1321.0126474379103</v>
      </c>
      <c r="BT47" s="186">
        <f t="shared" si="159"/>
        <v>1367.4239198498885</v>
      </c>
      <c r="BU47" s="186">
        <f t="shared" si="160"/>
        <v>1426.1475959450001</v>
      </c>
      <c r="BV47" s="186">
        <f t="shared" si="161"/>
        <v>1426.3358079179786</v>
      </c>
      <c r="BW47" s="186">
        <f t="shared" si="162"/>
        <v>1411.5986663376798</v>
      </c>
      <c r="BX47" s="186">
        <f t="shared" si="163"/>
        <v>1411.525277748985</v>
      </c>
      <c r="BY47" s="186">
        <f t="shared" si="164"/>
        <v>1417.219155721293</v>
      </c>
      <c r="BZ47" s="186">
        <f t="shared" si="165"/>
        <v>1458.2685057245289</v>
      </c>
      <c r="CA47" s="186">
        <f t="shared" si="166"/>
        <v>1458.5942240475131</v>
      </c>
      <c r="CB47" s="186">
        <f t="shared" si="167"/>
        <v>1404.5763747939707</v>
      </c>
      <c r="CC47" s="186">
        <f t="shared" si="168"/>
        <v>1403.8793330549624</v>
      </c>
      <c r="CD47" s="186">
        <f t="shared" si="169"/>
        <v>1466.1598327859654</v>
      </c>
      <c r="CE47" s="186">
        <f t="shared" si="170"/>
        <v>1450.7904863774197</v>
      </c>
      <c r="CF47" s="186">
        <f t="shared" si="171"/>
        <v>1457.2179591366394</v>
      </c>
      <c r="CG47" s="100">
        <v>165</v>
      </c>
      <c r="CH47" s="100">
        <v>198</v>
      </c>
      <c r="CI47" s="99">
        <v>189</v>
      </c>
      <c r="CJ47" s="99">
        <v>200</v>
      </c>
      <c r="CK47" s="99">
        <v>237</v>
      </c>
      <c r="CL47" s="99">
        <v>254</v>
      </c>
      <c r="CM47" s="100">
        <v>275</v>
      </c>
      <c r="CN47" s="99">
        <v>256</v>
      </c>
      <c r="CO47" s="99">
        <v>275</v>
      </c>
      <c r="CP47" s="99">
        <v>271</v>
      </c>
      <c r="CQ47" s="99">
        <v>283</v>
      </c>
      <c r="CR47" s="99">
        <v>319</v>
      </c>
      <c r="CS47" s="99">
        <v>407</v>
      </c>
      <c r="CT47" s="99">
        <v>374</v>
      </c>
      <c r="CU47" s="99">
        <v>319</v>
      </c>
      <c r="CV47" s="99">
        <v>338</v>
      </c>
      <c r="CW47" s="99">
        <v>382</v>
      </c>
      <c r="CX47" s="99">
        <v>418</v>
      </c>
      <c r="CY47" s="99">
        <v>395.74465249234441</v>
      </c>
      <c r="CZ47" s="99">
        <v>392.11387443099181</v>
      </c>
      <c r="DA47" s="99">
        <v>377.315589563846</v>
      </c>
      <c r="DB47" s="99">
        <v>386.14110319032289</v>
      </c>
      <c r="DC47" s="180">
        <v>367.97030524477418</v>
      </c>
      <c r="DD47" s="180">
        <v>345.47713662055043</v>
      </c>
      <c r="DE47" s="180">
        <v>359.11997626430019</v>
      </c>
      <c r="DF47" s="180">
        <v>322.15161121502746</v>
      </c>
      <c r="DG47" s="180">
        <v>329.34677442669681</v>
      </c>
      <c r="DH47" s="181">
        <v>273.00108442147996</v>
      </c>
      <c r="DI47" s="180">
        <v>256.46890436211527</v>
      </c>
      <c r="DJ47" s="180">
        <v>245.59749524434878</v>
      </c>
      <c r="DK47" s="180">
        <v>233.72751644136673</v>
      </c>
      <c r="DL47" s="180">
        <v>223.84503246569957</v>
      </c>
      <c r="DM47" s="180">
        <v>196.9028948602795</v>
      </c>
      <c r="DN47" s="181">
        <v>172.3739837911881</v>
      </c>
      <c r="DO47" s="180">
        <v>179.18782319353892</v>
      </c>
      <c r="DP47" s="180">
        <v>161.14765946240163</v>
      </c>
      <c r="DQ47" s="180">
        <v>154.79068413859258</v>
      </c>
      <c r="DR47" s="180">
        <v>164.74174848051678</v>
      </c>
      <c r="DS47" s="180">
        <v>143.23158663146273</v>
      </c>
      <c r="DT47" s="180">
        <v>133.38182286607628</v>
      </c>
      <c r="DU47" s="180">
        <v>164.29386345984739</v>
      </c>
      <c r="DV47" s="100">
        <v>494</v>
      </c>
      <c r="DW47" s="100">
        <v>526</v>
      </c>
      <c r="DX47" s="99">
        <v>548</v>
      </c>
      <c r="DY47" s="99">
        <v>594</v>
      </c>
      <c r="DZ47" s="99">
        <v>559</v>
      </c>
      <c r="EA47" s="99">
        <v>573</v>
      </c>
      <c r="EB47" s="100">
        <v>594</v>
      </c>
      <c r="EC47" s="99">
        <v>599</v>
      </c>
      <c r="ED47" s="99">
        <v>681</v>
      </c>
      <c r="EE47" s="99">
        <v>702</v>
      </c>
      <c r="EF47" s="99">
        <v>685</v>
      </c>
      <c r="EG47" s="99">
        <v>687</v>
      </c>
      <c r="EH47" s="99">
        <v>703</v>
      </c>
      <c r="EI47" s="99">
        <v>684</v>
      </c>
      <c r="EJ47" s="99">
        <v>772</v>
      </c>
      <c r="EK47" s="99">
        <v>662</v>
      </c>
      <c r="EL47" s="99">
        <v>710</v>
      </c>
      <c r="EM47" s="99">
        <v>739</v>
      </c>
      <c r="EN47" s="99">
        <v>790.86984578062368</v>
      </c>
      <c r="EO47" s="99">
        <v>854.9244050984671</v>
      </c>
      <c r="EP47" s="99">
        <v>844.97882986210766</v>
      </c>
      <c r="EQ47" s="99">
        <v>838.71730324985481</v>
      </c>
      <c r="ER47" s="180">
        <v>901.35030525432649</v>
      </c>
      <c r="ES47" s="180">
        <v>958.0730446834134</v>
      </c>
      <c r="ET47" s="180">
        <v>982.13665220766336</v>
      </c>
      <c r="EU47" s="180">
        <v>892.30852064487487</v>
      </c>
      <c r="EV47" s="180">
        <v>1062.28042819036</v>
      </c>
      <c r="EW47" s="181">
        <v>1048.0115630164305</v>
      </c>
      <c r="EX47" s="180">
        <v>1110.9550154877732</v>
      </c>
      <c r="EY47" s="180">
        <v>1180.5501007006515</v>
      </c>
      <c r="EZ47" s="180">
        <v>1192.6082914766118</v>
      </c>
      <c r="FA47" s="180">
        <v>1187.7536338719801</v>
      </c>
      <c r="FB47" s="180">
        <v>1214.6223828887055</v>
      </c>
      <c r="FC47" s="181">
        <v>1244.8451719301049</v>
      </c>
      <c r="FD47" s="180">
        <v>1279.0806825309901</v>
      </c>
      <c r="FE47" s="180">
        <v>1297.4465645851114</v>
      </c>
      <c r="FF47" s="180">
        <v>1249.7856906553782</v>
      </c>
      <c r="FG47" s="180">
        <v>1239.1375845744456</v>
      </c>
      <c r="FH47" s="180">
        <v>1322.9282461545026</v>
      </c>
      <c r="FI47" s="180">
        <v>1317.4086635113435</v>
      </c>
      <c r="FJ47" s="180">
        <v>1292.9240956767919</v>
      </c>
      <c r="FK47" s="100">
        <v>1533</v>
      </c>
      <c r="FL47" s="100">
        <v>1368</v>
      </c>
      <c r="FM47" s="99">
        <v>1472</v>
      </c>
      <c r="FN47" s="99">
        <v>1587</v>
      </c>
      <c r="FO47" s="99">
        <v>1556</v>
      </c>
      <c r="FP47" s="99">
        <v>1617</v>
      </c>
      <c r="FQ47" s="100">
        <v>1699</v>
      </c>
      <c r="FR47" s="99">
        <v>1736</v>
      </c>
      <c r="FS47" s="99">
        <v>1766</v>
      </c>
      <c r="FT47" s="99">
        <v>1844</v>
      </c>
      <c r="FU47" s="99">
        <v>1856</v>
      </c>
      <c r="FV47" s="99">
        <v>1948</v>
      </c>
      <c r="FW47" s="99">
        <v>2157</v>
      </c>
      <c r="FX47" s="99">
        <v>2229</v>
      </c>
      <c r="FY47" s="99">
        <v>2152</v>
      </c>
      <c r="FZ47" s="99">
        <v>2236</v>
      </c>
      <c r="GA47" s="99">
        <v>2217</v>
      </c>
      <c r="GB47" s="99">
        <v>2321</v>
      </c>
      <c r="GC47" s="99">
        <v>2370.6239998944216</v>
      </c>
      <c r="GD47" s="99">
        <v>2368.5128325499231</v>
      </c>
      <c r="GE47" s="99">
        <v>2428.5170539849737</v>
      </c>
      <c r="GF47" s="99">
        <v>2340.9469288076198</v>
      </c>
      <c r="GG47" s="180">
        <v>2208.3398928140173</v>
      </c>
      <c r="GH47" s="180">
        <v>2163.8226445360224</v>
      </c>
      <c r="GI47" s="180">
        <v>2220.9664744150004</v>
      </c>
      <c r="GJ47" s="180">
        <v>2182.802980739028</v>
      </c>
      <c r="GK47" s="180">
        <v>2202.9812127083837</v>
      </c>
      <c r="GL47" s="181">
        <v>2142.856824889122</v>
      </c>
      <c r="GM47" s="180">
        <v>2168.7990828742636</v>
      </c>
      <c r="GN47" s="180">
        <v>2137.9141799001268</v>
      </c>
      <c r="GO47" s="180">
        <v>2049.2729652747844</v>
      </c>
      <c r="GP47" s="180">
        <v>2131.1165430920473</v>
      </c>
      <c r="GQ47" s="180">
        <v>2194.9889957782389</v>
      </c>
      <c r="GR47" s="181">
        <v>2159.576209071131</v>
      </c>
      <c r="GS47" s="180">
        <v>2314.394056635389</v>
      </c>
      <c r="GT47" s="180">
        <v>2239.8849542489506</v>
      </c>
      <c r="GU47" s="180">
        <v>2224.4952583351255</v>
      </c>
      <c r="GV47" s="180">
        <v>2128.3540788792561</v>
      </c>
      <c r="GW47" s="180">
        <v>2143.8074874435029</v>
      </c>
      <c r="GX47" s="180">
        <v>2030.1056053884977</v>
      </c>
      <c r="GY47" s="180">
        <v>2134.9833970002578</v>
      </c>
      <c r="GZ47" s="100">
        <v>818</v>
      </c>
      <c r="HA47" s="100">
        <v>931</v>
      </c>
      <c r="HB47" s="99">
        <v>1007</v>
      </c>
      <c r="HC47" s="99">
        <v>1096</v>
      </c>
      <c r="HD47" s="99">
        <v>1049</v>
      </c>
      <c r="HE47" s="99">
        <v>1117</v>
      </c>
      <c r="HF47" s="100">
        <v>1203</v>
      </c>
      <c r="HG47" s="99">
        <v>1252</v>
      </c>
      <c r="HH47" s="99">
        <v>1205</v>
      </c>
      <c r="HI47" s="99">
        <v>1323</v>
      </c>
      <c r="HJ47" s="99">
        <v>1498</v>
      </c>
      <c r="HK47" s="99">
        <v>1680</v>
      </c>
      <c r="HL47" s="99">
        <v>1758</v>
      </c>
      <c r="HM47" s="99">
        <v>2019</v>
      </c>
      <c r="HN47" s="99">
        <v>2058</v>
      </c>
      <c r="HO47" s="99">
        <v>2283</v>
      </c>
      <c r="HP47" s="99">
        <v>2474</v>
      </c>
      <c r="HQ47" s="99">
        <v>2655</v>
      </c>
      <c r="HR47" s="99">
        <v>3468</v>
      </c>
      <c r="HS47" s="99">
        <v>3770</v>
      </c>
      <c r="HT47" s="99">
        <v>4057</v>
      </c>
      <c r="HU47" s="99">
        <v>4352</v>
      </c>
      <c r="HV47" s="180">
        <v>4378.8522428796168</v>
      </c>
      <c r="HW47" s="180">
        <v>4680.9819145072906</v>
      </c>
      <c r="HX47" s="180">
        <v>5096.9983788348836</v>
      </c>
      <c r="HY47" s="180">
        <v>5225.7096355042459</v>
      </c>
      <c r="HZ47" s="180">
        <v>5737.3956578565439</v>
      </c>
      <c r="IA47" s="181">
        <v>6013.968365494653</v>
      </c>
      <c r="IB47" s="180">
        <v>6205.5020618794342</v>
      </c>
      <c r="IC47" s="180">
        <v>6553.5500781055771</v>
      </c>
      <c r="ID47" s="180">
        <v>6839.2984097732287</v>
      </c>
      <c r="IE47" s="180">
        <v>7210.3752736329971</v>
      </c>
      <c r="IF47" s="180">
        <v>7510.4202964745637</v>
      </c>
      <c r="IG47" s="181">
        <v>7826.8923844087685</v>
      </c>
      <c r="IH47" s="180">
        <v>8034.4430813498566</v>
      </c>
      <c r="II47" s="180">
        <v>8049.0830377419124</v>
      </c>
      <c r="IJ47" s="180">
        <v>7552.7014840662259</v>
      </c>
      <c r="IK47" s="180">
        <v>7375.4808420840827</v>
      </c>
      <c r="IL47" s="180">
        <v>7397.0181189410005</v>
      </c>
      <c r="IM47" s="180">
        <v>7234.352196928563</v>
      </c>
      <c r="IN47" s="180">
        <v>7218.0672689245639</v>
      </c>
      <c r="IO47" s="100">
        <v>21119</v>
      </c>
      <c r="IP47" s="100">
        <v>21697</v>
      </c>
      <c r="IQ47" s="99">
        <v>22103</v>
      </c>
      <c r="IR47" s="99">
        <v>22648</v>
      </c>
      <c r="IS47" s="99">
        <v>22385</v>
      </c>
      <c r="IT47" s="99">
        <v>23087</v>
      </c>
      <c r="IU47" s="100">
        <v>24085</v>
      </c>
      <c r="IV47" s="99">
        <v>24842</v>
      </c>
      <c r="IW47" s="99">
        <v>25175</v>
      </c>
      <c r="IX47" s="99">
        <v>25220</v>
      </c>
      <c r="IY47" s="99">
        <v>25219</v>
      </c>
      <c r="IZ47" s="99">
        <v>25273</v>
      </c>
      <c r="JA47" s="99">
        <v>24938</v>
      </c>
      <c r="JB47" s="99">
        <v>24734</v>
      </c>
      <c r="JC47" s="99">
        <v>24517</v>
      </c>
      <c r="JD47" s="99">
        <v>23858</v>
      </c>
      <c r="JE47" s="99">
        <v>24349</v>
      </c>
      <c r="JF47" s="99">
        <v>23569</v>
      </c>
      <c r="JG47" s="99">
        <v>24616.761501832611</v>
      </c>
      <c r="JH47" s="99">
        <v>23984.448887920618</v>
      </c>
      <c r="JI47" s="99">
        <v>24190.188526589074</v>
      </c>
      <c r="JJ47" s="99">
        <v>24004.194664752202</v>
      </c>
      <c r="JK47" s="180">
        <v>23753.778765340045</v>
      </c>
      <c r="JL47" s="180">
        <v>23188.66734541607</v>
      </c>
      <c r="JM47" s="180">
        <v>23481.510029022142</v>
      </c>
      <c r="JN47" s="180">
        <v>23237.152242679927</v>
      </c>
      <c r="JO47" s="180">
        <v>23957.749242010424</v>
      </c>
      <c r="JP47" s="181">
        <v>24095.492142654752</v>
      </c>
      <c r="JQ47" s="180">
        <v>23645.018212922416</v>
      </c>
      <c r="JR47" s="180">
        <v>24014.303434477824</v>
      </c>
      <c r="JS47" s="180">
        <v>23943.648788950501</v>
      </c>
      <c r="JT47" s="180">
        <v>24065.976016999626</v>
      </c>
      <c r="JU47" s="180">
        <v>24448.303017396574</v>
      </c>
      <c r="JV47" s="181">
        <v>25161.886759650857</v>
      </c>
      <c r="JW47" s="180">
        <v>24714.477087217827</v>
      </c>
      <c r="JX47" s="180">
        <v>24443.817078490752</v>
      </c>
      <c r="JY47" s="180">
        <v>24247.314119812207</v>
      </c>
      <c r="JZ47" s="180">
        <v>23592.40958433468</v>
      </c>
      <c r="KA47" s="180">
        <v>24096.220038292384</v>
      </c>
      <c r="KB47" s="180">
        <v>23133.97034353832</v>
      </c>
      <c r="KC47" s="180">
        <v>23317.392749884246</v>
      </c>
    </row>
    <row r="48" spans="1:289">
      <c r="A48" s="175" t="s">
        <v>69</v>
      </c>
      <c r="B48" s="100">
        <v>87756</v>
      </c>
      <c r="C48" s="100">
        <v>85302</v>
      </c>
      <c r="D48" s="99">
        <v>83385</v>
      </c>
      <c r="E48" s="99">
        <v>84628</v>
      </c>
      <c r="F48" s="99">
        <v>85530</v>
      </c>
      <c r="G48" s="99">
        <v>89695</v>
      </c>
      <c r="H48" s="100">
        <v>92732</v>
      </c>
      <c r="I48" s="99">
        <v>94125</v>
      </c>
      <c r="J48" s="99">
        <v>97679</v>
      </c>
      <c r="K48" s="99">
        <v>96515</v>
      </c>
      <c r="L48" s="99">
        <v>95001</v>
      </c>
      <c r="M48" s="99">
        <v>100301</v>
      </c>
      <c r="N48" s="99">
        <v>98823</v>
      </c>
      <c r="O48" s="99">
        <v>101582</v>
      </c>
      <c r="P48" s="99">
        <v>102582</v>
      </c>
      <c r="Q48" s="99">
        <v>111838</v>
      </c>
      <c r="R48" s="99">
        <v>115183</v>
      </c>
      <c r="S48" s="99">
        <v>112742</v>
      </c>
      <c r="T48" s="99">
        <v>110682</v>
      </c>
      <c r="U48" s="99">
        <v>106017</v>
      </c>
      <c r="V48" s="99">
        <v>105446</v>
      </c>
      <c r="W48" s="99">
        <v>104210</v>
      </c>
      <c r="X48" s="546">
        <v>100280</v>
      </c>
      <c r="Y48" s="180">
        <v>102421.96062933172</v>
      </c>
      <c r="Z48" s="180">
        <v>100709.2515094722</v>
      </c>
      <c r="AA48" s="180">
        <v>99595.942627059208</v>
      </c>
      <c r="AB48" s="180">
        <v>97198.539974692365</v>
      </c>
      <c r="AC48" s="180">
        <v>99073.295445653232</v>
      </c>
      <c r="AD48" s="181">
        <v>98072.928254988365</v>
      </c>
      <c r="AE48" s="180">
        <v>95139.894393053793</v>
      </c>
      <c r="AF48" s="180">
        <v>94396.393582456789</v>
      </c>
      <c r="AG48" s="180">
        <v>95306.879781622352</v>
      </c>
      <c r="AH48" s="180">
        <v>92772.343629590352</v>
      </c>
      <c r="AI48" s="180">
        <v>93396.642691237532</v>
      </c>
      <c r="AJ48" s="181">
        <v>93151.551212430117</v>
      </c>
      <c r="AK48" s="180">
        <v>88968.270019487318</v>
      </c>
      <c r="AL48" s="180">
        <v>86138.712165485398</v>
      </c>
      <c r="AM48" s="180">
        <v>84105.651167277058</v>
      </c>
      <c r="AN48" s="180">
        <v>83855.225324651372</v>
      </c>
      <c r="AO48" s="180">
        <v>83262.573622062904</v>
      </c>
      <c r="AP48" s="180">
        <v>83449.762015714354</v>
      </c>
      <c r="AQ48" s="180">
        <v>84088.40355218116</v>
      </c>
      <c r="AR48" s="533">
        <f t="shared" si="131"/>
        <v>2098</v>
      </c>
      <c r="AS48" s="534">
        <f t="shared" si="132"/>
        <v>2310</v>
      </c>
      <c r="AT48" s="534">
        <f t="shared" si="133"/>
        <v>2464</v>
      </c>
      <c r="AU48" s="534">
        <f t="shared" si="134"/>
        <v>2220</v>
      </c>
      <c r="AV48" s="534">
        <f t="shared" si="135"/>
        <v>2425</v>
      </c>
      <c r="AW48" s="534">
        <f t="shared" si="136"/>
        <v>2284</v>
      </c>
      <c r="AX48" s="534">
        <f t="shared" si="137"/>
        <v>2421</v>
      </c>
      <c r="AY48" s="534">
        <f t="shared" si="138"/>
        <v>2643</v>
      </c>
      <c r="AZ48" s="534">
        <f t="shared" si="139"/>
        <v>2909</v>
      </c>
      <c r="BA48" s="534">
        <f t="shared" si="140"/>
        <v>2864</v>
      </c>
      <c r="BB48" s="534">
        <f t="shared" si="141"/>
        <v>3151</v>
      </c>
      <c r="BC48" s="534">
        <f t="shared" si="142"/>
        <v>3114</v>
      </c>
      <c r="BD48" s="534">
        <f t="shared" si="143"/>
        <v>3113</v>
      </c>
      <c r="BE48" s="534">
        <f t="shared" si="144"/>
        <v>3219</v>
      </c>
      <c r="BF48" s="534">
        <f t="shared" si="145"/>
        <v>3525</v>
      </c>
      <c r="BG48" s="534">
        <f t="shared" si="146"/>
        <v>3660</v>
      </c>
      <c r="BH48" s="534">
        <f t="shared" si="147"/>
        <v>3774</v>
      </c>
      <c r="BI48" s="534">
        <f t="shared" si="148"/>
        <v>3685</v>
      </c>
      <c r="BJ48" s="534">
        <f t="shared" si="149"/>
        <v>3699</v>
      </c>
      <c r="BK48" s="534">
        <f t="shared" si="150"/>
        <v>3653.9074967416009</v>
      </c>
      <c r="BL48" s="534">
        <f t="shared" si="151"/>
        <v>3784.8567463767695</v>
      </c>
      <c r="BM48" s="534">
        <f t="shared" si="152"/>
        <v>4014.1095856619718</v>
      </c>
      <c r="BN48" s="186">
        <f t="shared" si="153"/>
        <v>4018.7843930949634</v>
      </c>
      <c r="BO48" s="186">
        <f t="shared" si="154"/>
        <v>4158.5564350050754</v>
      </c>
      <c r="BP48" s="186">
        <f t="shared" si="155"/>
        <v>4273.0478590755247</v>
      </c>
      <c r="BQ48" s="186">
        <f t="shared" si="156"/>
        <v>4198.3325707008053</v>
      </c>
      <c r="BR48" s="186">
        <f t="shared" si="157"/>
        <v>4422.355582978631</v>
      </c>
      <c r="BS48" s="186">
        <f t="shared" si="158"/>
        <v>4448.5183468589221</v>
      </c>
      <c r="BT48" s="186">
        <f t="shared" si="159"/>
        <v>4506.2673936134415</v>
      </c>
      <c r="BU48" s="186">
        <f t="shared" si="160"/>
        <v>4669.6665137658392</v>
      </c>
      <c r="BV48" s="186">
        <f t="shared" si="161"/>
        <v>4795.0174181385755</v>
      </c>
      <c r="BW48" s="186">
        <f t="shared" si="162"/>
        <v>4587.8821826549229</v>
      </c>
      <c r="BX48" s="186">
        <f t="shared" si="163"/>
        <v>4528.2592781784842</v>
      </c>
      <c r="BY48" s="186">
        <f t="shared" si="164"/>
        <v>4597.5939062135567</v>
      </c>
      <c r="BZ48" s="186">
        <f t="shared" si="165"/>
        <v>4403.7322557521338</v>
      </c>
      <c r="CA48" s="186">
        <f t="shared" si="166"/>
        <v>4342.8249754898707</v>
      </c>
      <c r="CB48" s="186">
        <f t="shared" si="167"/>
        <v>4161.6300164810782</v>
      </c>
      <c r="CC48" s="186">
        <f t="shared" si="168"/>
        <v>4157.2633185743207</v>
      </c>
      <c r="CD48" s="186">
        <f t="shared" si="169"/>
        <v>4316.3911437590277</v>
      </c>
      <c r="CE48" s="186">
        <f t="shared" si="170"/>
        <v>4286.42321651972</v>
      </c>
      <c r="CF48" s="186">
        <f t="shared" si="171"/>
        <v>4472.0054299289122</v>
      </c>
      <c r="CG48" s="100">
        <v>771</v>
      </c>
      <c r="CH48" s="100">
        <v>859</v>
      </c>
      <c r="CI48" s="99">
        <v>775</v>
      </c>
      <c r="CJ48" s="99">
        <v>766</v>
      </c>
      <c r="CK48" s="99">
        <v>996</v>
      </c>
      <c r="CL48" s="99">
        <v>849</v>
      </c>
      <c r="CM48" s="100">
        <v>836</v>
      </c>
      <c r="CN48" s="99">
        <v>924</v>
      </c>
      <c r="CO48" s="99">
        <v>872</v>
      </c>
      <c r="CP48" s="99">
        <v>875</v>
      </c>
      <c r="CQ48" s="99">
        <v>901</v>
      </c>
      <c r="CR48" s="99">
        <v>881</v>
      </c>
      <c r="CS48" s="99">
        <v>888</v>
      </c>
      <c r="CT48" s="99">
        <v>836</v>
      </c>
      <c r="CU48" s="99">
        <v>849</v>
      </c>
      <c r="CV48" s="99">
        <v>949</v>
      </c>
      <c r="CW48" s="99">
        <v>967</v>
      </c>
      <c r="CX48" s="99">
        <v>873</v>
      </c>
      <c r="CY48" s="99">
        <v>891</v>
      </c>
      <c r="CZ48" s="99">
        <v>815.45530515476582</v>
      </c>
      <c r="DA48" s="99">
        <v>894.47274090198721</v>
      </c>
      <c r="DB48" s="99">
        <v>854.05039282678683</v>
      </c>
      <c r="DC48" s="180">
        <v>815.38055938716172</v>
      </c>
      <c r="DD48" s="180">
        <v>738.89680336004392</v>
      </c>
      <c r="DE48" s="180">
        <v>734.631580661106</v>
      </c>
      <c r="DF48" s="180">
        <v>720.09913463459077</v>
      </c>
      <c r="DG48" s="180">
        <v>670.38099748148647</v>
      </c>
      <c r="DH48" s="181">
        <v>638.13973422141669</v>
      </c>
      <c r="DI48" s="180">
        <v>576.63020090172074</v>
      </c>
      <c r="DJ48" s="180">
        <v>589.20238534920679</v>
      </c>
      <c r="DK48" s="180">
        <v>576.07985630073119</v>
      </c>
      <c r="DL48" s="180">
        <v>547.90118898584001</v>
      </c>
      <c r="DM48" s="180">
        <v>519.77692399475507</v>
      </c>
      <c r="DN48" s="181">
        <v>520.8310929300302</v>
      </c>
      <c r="DO48" s="180">
        <v>565.56077053984131</v>
      </c>
      <c r="DP48" s="180">
        <v>584.25593861397454</v>
      </c>
      <c r="DQ48" s="180">
        <v>603.37711634086827</v>
      </c>
      <c r="DR48" s="180">
        <v>546.78695527372042</v>
      </c>
      <c r="DS48" s="180">
        <v>531.16862692004065</v>
      </c>
      <c r="DT48" s="180">
        <v>505.28336767007659</v>
      </c>
      <c r="DU48" s="180">
        <v>544.66740588095547</v>
      </c>
      <c r="DV48" s="100">
        <v>1327</v>
      </c>
      <c r="DW48" s="100">
        <v>1451</v>
      </c>
      <c r="DX48" s="99">
        <v>1689</v>
      </c>
      <c r="DY48" s="99">
        <v>1454</v>
      </c>
      <c r="DZ48" s="99">
        <v>1429</v>
      </c>
      <c r="EA48" s="99">
        <v>1435</v>
      </c>
      <c r="EB48" s="100">
        <v>1585</v>
      </c>
      <c r="EC48" s="99">
        <v>1719</v>
      </c>
      <c r="ED48" s="99">
        <v>2037</v>
      </c>
      <c r="EE48" s="99">
        <v>1989</v>
      </c>
      <c r="EF48" s="99">
        <v>2250</v>
      </c>
      <c r="EG48" s="99">
        <v>2233</v>
      </c>
      <c r="EH48" s="99">
        <v>2225</v>
      </c>
      <c r="EI48" s="99">
        <v>2383</v>
      </c>
      <c r="EJ48" s="99">
        <v>2676</v>
      </c>
      <c r="EK48" s="99">
        <v>2711</v>
      </c>
      <c r="EL48" s="99">
        <v>2807</v>
      </c>
      <c r="EM48" s="99">
        <v>2812</v>
      </c>
      <c r="EN48" s="99">
        <v>2808</v>
      </c>
      <c r="EO48" s="99">
        <v>2838.4521915868349</v>
      </c>
      <c r="EP48" s="99">
        <v>2890.384005474782</v>
      </c>
      <c r="EQ48" s="99">
        <v>3160.0591928351851</v>
      </c>
      <c r="ER48" s="180">
        <v>3203.4038337078018</v>
      </c>
      <c r="ES48" s="180">
        <v>3419.6596316450318</v>
      </c>
      <c r="ET48" s="180">
        <v>3538.4162784144187</v>
      </c>
      <c r="EU48" s="180">
        <v>3478.2334360662144</v>
      </c>
      <c r="EV48" s="180">
        <v>3751.9745854971447</v>
      </c>
      <c r="EW48" s="181">
        <v>3810.3786126375053</v>
      </c>
      <c r="EX48" s="180">
        <v>3929.6371927117207</v>
      </c>
      <c r="EY48" s="180">
        <v>4080.4641284166328</v>
      </c>
      <c r="EZ48" s="180">
        <v>4218.9375618378444</v>
      </c>
      <c r="FA48" s="180">
        <v>4039.9809936690826</v>
      </c>
      <c r="FB48" s="180">
        <v>4008.4823541837291</v>
      </c>
      <c r="FC48" s="181">
        <v>4076.7628132835262</v>
      </c>
      <c r="FD48" s="180">
        <v>3838.1714852122923</v>
      </c>
      <c r="FE48" s="180">
        <v>3758.569036875896</v>
      </c>
      <c r="FF48" s="180">
        <v>3558.2529001402099</v>
      </c>
      <c r="FG48" s="180">
        <v>3610.4763633006005</v>
      </c>
      <c r="FH48" s="180">
        <v>3785.2225168389873</v>
      </c>
      <c r="FI48" s="180">
        <v>3781.1398488496434</v>
      </c>
      <c r="FJ48" s="180">
        <v>3927.3380240479569</v>
      </c>
      <c r="FK48" s="100">
        <v>10830</v>
      </c>
      <c r="FL48" s="100">
        <v>11260</v>
      </c>
      <c r="FM48" s="99">
        <v>10243</v>
      </c>
      <c r="FN48" s="99">
        <v>10558</v>
      </c>
      <c r="FO48" s="99">
        <v>10435</v>
      </c>
      <c r="FP48" s="99">
        <v>11361</v>
      </c>
      <c r="FQ48" s="100">
        <v>11684</v>
      </c>
      <c r="FR48" s="99">
        <v>11651</v>
      </c>
      <c r="FS48" s="99">
        <v>12108</v>
      </c>
      <c r="FT48" s="99">
        <v>12060</v>
      </c>
      <c r="FU48" s="99">
        <v>11619</v>
      </c>
      <c r="FV48" s="99">
        <v>12197</v>
      </c>
      <c r="FW48" s="99">
        <v>11737</v>
      </c>
      <c r="FX48" s="99">
        <v>13129</v>
      </c>
      <c r="FY48" s="99">
        <v>14249</v>
      </c>
      <c r="FZ48" s="99">
        <v>17945</v>
      </c>
      <c r="GA48" s="99">
        <v>19158</v>
      </c>
      <c r="GB48" s="99">
        <v>19219</v>
      </c>
      <c r="GC48" s="99">
        <v>19278</v>
      </c>
      <c r="GD48" s="99">
        <v>18510.613477014795</v>
      </c>
      <c r="GE48" s="99">
        <v>18355.045420152259</v>
      </c>
      <c r="GF48" s="99">
        <v>17394.101577778023</v>
      </c>
      <c r="GG48" s="180">
        <v>16830.695116196861</v>
      </c>
      <c r="GH48" s="180">
        <v>16311.451622058756</v>
      </c>
      <c r="GI48" s="180">
        <v>15550.583236898021</v>
      </c>
      <c r="GJ48" s="180">
        <v>14775.498519616496</v>
      </c>
      <c r="GK48" s="180">
        <v>15441.181549670835</v>
      </c>
      <c r="GL48" s="181">
        <v>14894.196106760848</v>
      </c>
      <c r="GM48" s="180">
        <v>14026.599856294572</v>
      </c>
      <c r="GN48" s="180">
        <v>13692.676400184395</v>
      </c>
      <c r="GO48" s="180">
        <v>13731.214291805523</v>
      </c>
      <c r="GP48" s="180">
        <v>13565.000863389245</v>
      </c>
      <c r="GQ48" s="180">
        <v>13791.155627702476</v>
      </c>
      <c r="GR48" s="181">
        <v>13542.790102979794</v>
      </c>
      <c r="GS48" s="180">
        <v>13663.56362324672</v>
      </c>
      <c r="GT48" s="180">
        <v>13450.266097322004</v>
      </c>
      <c r="GU48" s="180">
        <v>13396.589283740945</v>
      </c>
      <c r="GV48" s="180">
        <v>13171.619215216595</v>
      </c>
      <c r="GW48" s="180">
        <v>13040.283589165536</v>
      </c>
      <c r="GX48" s="180">
        <v>13354.762410980091</v>
      </c>
      <c r="GY48" s="180">
        <v>13106.776672547738</v>
      </c>
      <c r="GZ48" s="100">
        <v>1617</v>
      </c>
      <c r="HA48" s="100">
        <v>1702</v>
      </c>
      <c r="HB48" s="99">
        <v>1648</v>
      </c>
      <c r="HC48" s="99">
        <v>1634</v>
      </c>
      <c r="HD48" s="99">
        <v>1756</v>
      </c>
      <c r="HE48" s="99">
        <v>1984</v>
      </c>
      <c r="HF48" s="100">
        <v>1885</v>
      </c>
      <c r="HG48" s="99">
        <v>2200</v>
      </c>
      <c r="HH48" s="99">
        <v>2192</v>
      </c>
      <c r="HI48" s="99">
        <v>2139</v>
      </c>
      <c r="HJ48" s="99">
        <v>2284</v>
      </c>
      <c r="HK48" s="99">
        <v>2246</v>
      </c>
      <c r="HL48" s="99">
        <v>2405</v>
      </c>
      <c r="HM48" s="99">
        <v>2575</v>
      </c>
      <c r="HN48" s="99">
        <v>2727</v>
      </c>
      <c r="HO48" s="99">
        <v>3213</v>
      </c>
      <c r="HP48" s="99">
        <v>3500</v>
      </c>
      <c r="HQ48" s="99">
        <v>3538</v>
      </c>
      <c r="HR48" s="99">
        <v>3721</v>
      </c>
      <c r="HS48" s="99">
        <v>3022</v>
      </c>
      <c r="HT48" s="99">
        <v>2987</v>
      </c>
      <c r="HU48" s="99">
        <v>3324</v>
      </c>
      <c r="HV48" s="180">
        <v>3827.0597312427835</v>
      </c>
      <c r="HW48" s="180">
        <v>4100.4567618013789</v>
      </c>
      <c r="HX48" s="180">
        <v>4153.6839570946886</v>
      </c>
      <c r="HY48" s="180">
        <v>4229.8425648749781</v>
      </c>
      <c r="HZ48" s="180">
        <v>4778.7704557886791</v>
      </c>
      <c r="IA48" s="181">
        <v>5078.0244786174617</v>
      </c>
      <c r="IB48" s="180">
        <v>5275.8244801829787</v>
      </c>
      <c r="IC48" s="180">
        <v>5466.7761667017448</v>
      </c>
      <c r="ID48" s="180">
        <v>5779.7505139822952</v>
      </c>
      <c r="IE48" s="180">
        <v>6217.7742819581854</v>
      </c>
      <c r="IF48" s="180">
        <v>6263.4585077146367</v>
      </c>
      <c r="IG48" s="181">
        <v>6762.6339872305634</v>
      </c>
      <c r="IH48" s="180">
        <v>6635.5372116078979</v>
      </c>
      <c r="II48" s="180">
        <v>5874.2540067534464</v>
      </c>
      <c r="IJ48" s="180">
        <v>5792.1353384244103</v>
      </c>
      <c r="IK48" s="180">
        <v>5680.2291064489473</v>
      </c>
      <c r="IL48" s="180">
        <v>5526.2801277340113</v>
      </c>
      <c r="IM48" s="180">
        <v>5457.5417817192165</v>
      </c>
      <c r="IN48" s="180">
        <v>5476.9147424271468</v>
      </c>
      <c r="IO48" s="100">
        <v>73211</v>
      </c>
      <c r="IP48" s="100">
        <v>70030</v>
      </c>
      <c r="IQ48" s="99">
        <v>69030</v>
      </c>
      <c r="IR48" s="99">
        <v>70216</v>
      </c>
      <c r="IS48" s="99">
        <v>70914</v>
      </c>
      <c r="IT48" s="99">
        <v>74066</v>
      </c>
      <c r="IU48" s="100">
        <v>76742</v>
      </c>
      <c r="IV48" s="99">
        <v>77631</v>
      </c>
      <c r="IW48" s="99">
        <v>80470</v>
      </c>
      <c r="IX48" s="99">
        <v>79452</v>
      </c>
      <c r="IY48" s="99">
        <v>77947</v>
      </c>
      <c r="IZ48" s="99">
        <v>82744</v>
      </c>
      <c r="JA48" s="99">
        <v>81568</v>
      </c>
      <c r="JB48" s="99">
        <v>82259</v>
      </c>
      <c r="JC48" s="99">
        <v>81795</v>
      </c>
      <c r="JD48" s="99">
        <v>86495</v>
      </c>
      <c r="JE48" s="99">
        <v>88225</v>
      </c>
      <c r="JF48" s="99">
        <v>85642</v>
      </c>
      <c r="JG48" s="99">
        <v>83188</v>
      </c>
      <c r="JH48" s="99">
        <v>80830.4790262436</v>
      </c>
      <c r="JI48" s="99">
        <v>80319.097833470965</v>
      </c>
      <c r="JJ48" s="99">
        <v>79477.788836560008</v>
      </c>
      <c r="JK48" s="180">
        <v>77643.13276744925</v>
      </c>
      <c r="JL48" s="180">
        <v>76148.325875203169</v>
      </c>
      <c r="JM48" s="180">
        <v>75893.799464339987</v>
      </c>
      <c r="JN48" s="180">
        <v>74580.754515951732</v>
      </c>
      <c r="JO48" s="180">
        <v>74842.567618397326</v>
      </c>
      <c r="JP48" s="181">
        <v>74269.129931627293</v>
      </c>
      <c r="JQ48" s="180">
        <v>72186.492763637798</v>
      </c>
      <c r="JR48" s="180">
        <v>71613.622852802408</v>
      </c>
      <c r="JS48" s="180">
        <v>72251.368357915882</v>
      </c>
      <c r="JT48" s="180">
        <v>69581.71427892831</v>
      </c>
      <c r="JU48" s="180">
        <v>70169.379520787537</v>
      </c>
      <c r="JV48" s="181">
        <v>69839.475603016515</v>
      </c>
      <c r="JW48" s="180">
        <v>65363.27925510073</v>
      </c>
      <c r="JX48" s="180">
        <v>63482.786204626864</v>
      </c>
      <c r="JY48" s="180">
        <v>61667.456638362331</v>
      </c>
      <c r="JZ48" s="180">
        <v>61544.427495004558</v>
      </c>
      <c r="KA48" s="180">
        <v>61146.740527686306</v>
      </c>
      <c r="KB48" s="180">
        <v>61083.319245433573</v>
      </c>
      <c r="KC48" s="180">
        <v>62001.524329824635</v>
      </c>
    </row>
    <row r="49" spans="1:289">
      <c r="A49" s="175" t="s">
        <v>70</v>
      </c>
      <c r="B49" s="100">
        <v>46228</v>
      </c>
      <c r="C49" s="100">
        <v>48037</v>
      </c>
      <c r="D49" s="99">
        <v>47536</v>
      </c>
      <c r="E49" s="99">
        <v>49354</v>
      </c>
      <c r="F49" s="99">
        <v>50481</v>
      </c>
      <c r="G49" s="99">
        <v>52378</v>
      </c>
      <c r="H49" s="100">
        <v>54628</v>
      </c>
      <c r="I49" s="99">
        <v>57091</v>
      </c>
      <c r="J49" s="99">
        <v>57372</v>
      </c>
      <c r="K49" s="99">
        <v>56581</v>
      </c>
      <c r="L49" s="99">
        <v>57440</v>
      </c>
      <c r="M49" s="99">
        <v>59432</v>
      </c>
      <c r="N49" s="99">
        <v>59096</v>
      </c>
      <c r="O49" s="99">
        <v>58391</v>
      </c>
      <c r="P49" s="99">
        <v>58898</v>
      </c>
      <c r="Q49" s="99">
        <v>59497</v>
      </c>
      <c r="R49" s="99">
        <v>60409</v>
      </c>
      <c r="S49" s="99">
        <v>59729</v>
      </c>
      <c r="T49" s="99">
        <v>59667</v>
      </c>
      <c r="U49" s="99">
        <v>59357</v>
      </c>
      <c r="V49" s="99">
        <v>57501</v>
      </c>
      <c r="W49" s="99">
        <v>58255</v>
      </c>
      <c r="X49" s="546">
        <v>59870</v>
      </c>
      <c r="Y49" s="180">
        <v>56147.199879409593</v>
      </c>
      <c r="Z49" s="180">
        <v>56719.011086669263</v>
      </c>
      <c r="AA49" s="180">
        <v>56268.755478438987</v>
      </c>
      <c r="AB49" s="180">
        <v>56865.660002948527</v>
      </c>
      <c r="AC49" s="180">
        <v>57743.610364982771</v>
      </c>
      <c r="AD49" s="181">
        <v>58493.696503555839</v>
      </c>
      <c r="AE49" s="180">
        <v>57926.536114803421</v>
      </c>
      <c r="AF49" s="180">
        <v>59357.676184267031</v>
      </c>
      <c r="AG49" s="180">
        <v>60791.791923446552</v>
      </c>
      <c r="AH49" s="180">
        <v>60761.914564252758</v>
      </c>
      <c r="AI49" s="180">
        <v>61887.779091340788</v>
      </c>
      <c r="AJ49" s="181">
        <v>63337.539290135617</v>
      </c>
      <c r="AK49" s="180">
        <v>61890.034154841764</v>
      </c>
      <c r="AL49" s="180">
        <v>60372.117492720441</v>
      </c>
      <c r="AM49" s="180">
        <v>58568.119804860464</v>
      </c>
      <c r="AN49" s="180">
        <v>58348.382301609985</v>
      </c>
      <c r="AO49" s="180">
        <v>58761.66844420971</v>
      </c>
      <c r="AP49" s="180">
        <v>59071.224003797528</v>
      </c>
      <c r="AQ49" s="180">
        <v>59697.496165335695</v>
      </c>
      <c r="AR49" s="533">
        <f t="shared" si="131"/>
        <v>1978</v>
      </c>
      <c r="AS49" s="534">
        <f t="shared" si="132"/>
        <v>2099</v>
      </c>
      <c r="AT49" s="534">
        <f t="shared" si="133"/>
        <v>2131</v>
      </c>
      <c r="AU49" s="534">
        <f t="shared" si="134"/>
        <v>2074</v>
      </c>
      <c r="AV49" s="534">
        <f t="shared" si="135"/>
        <v>2029</v>
      </c>
      <c r="AW49" s="534">
        <f t="shared" si="136"/>
        <v>2141</v>
      </c>
      <c r="AX49" s="534">
        <f t="shared" si="137"/>
        <v>2410</v>
      </c>
      <c r="AY49" s="534">
        <f t="shared" si="138"/>
        <v>2697</v>
      </c>
      <c r="AZ49" s="534">
        <f t="shared" si="139"/>
        <v>2909</v>
      </c>
      <c r="BA49" s="534">
        <f t="shared" si="140"/>
        <v>3111</v>
      </c>
      <c r="BB49" s="534">
        <f t="shared" si="141"/>
        <v>3234</v>
      </c>
      <c r="BC49" s="534">
        <f t="shared" si="142"/>
        <v>3435</v>
      </c>
      <c r="BD49" s="534">
        <f t="shared" si="143"/>
        <v>3660</v>
      </c>
      <c r="BE49" s="534">
        <f t="shared" si="144"/>
        <v>3685</v>
      </c>
      <c r="BF49" s="534">
        <f t="shared" si="145"/>
        <v>3873</v>
      </c>
      <c r="BG49" s="534">
        <f t="shared" si="146"/>
        <v>3950</v>
      </c>
      <c r="BH49" s="534">
        <f t="shared" si="147"/>
        <v>4181</v>
      </c>
      <c r="BI49" s="534">
        <f t="shared" si="148"/>
        <v>4308</v>
      </c>
      <c r="BJ49" s="534">
        <f t="shared" si="149"/>
        <v>4249</v>
      </c>
      <c r="BK49" s="534">
        <f t="shared" si="150"/>
        <v>4192.855993336053</v>
      </c>
      <c r="BL49" s="534">
        <f t="shared" si="151"/>
        <v>4259.6688992823401</v>
      </c>
      <c r="BM49" s="534">
        <f t="shared" si="152"/>
        <v>4399.4137998406677</v>
      </c>
      <c r="BN49" s="186">
        <f t="shared" si="153"/>
        <v>4234.4818223487273</v>
      </c>
      <c r="BO49" s="186">
        <f t="shared" si="154"/>
        <v>4344.9886647104004</v>
      </c>
      <c r="BP49" s="186">
        <f t="shared" si="155"/>
        <v>4224.4110473622241</v>
      </c>
      <c r="BQ49" s="186">
        <f t="shared" si="156"/>
        <v>4353.3991519495976</v>
      </c>
      <c r="BR49" s="186">
        <f t="shared" si="157"/>
        <v>4743.3839495009943</v>
      </c>
      <c r="BS49" s="186">
        <f t="shared" si="158"/>
        <v>4767.1349199341421</v>
      </c>
      <c r="BT49" s="186">
        <f t="shared" si="159"/>
        <v>4856.5524379396984</v>
      </c>
      <c r="BU49" s="186">
        <f t="shared" si="160"/>
        <v>4977.8499858388277</v>
      </c>
      <c r="BV49" s="186">
        <f t="shared" si="161"/>
        <v>5010.5017735218435</v>
      </c>
      <c r="BW49" s="186">
        <f t="shared" si="162"/>
        <v>5034.6144781155244</v>
      </c>
      <c r="BX49" s="186">
        <f t="shared" si="163"/>
        <v>4988.6335960925462</v>
      </c>
      <c r="BY49" s="186">
        <f t="shared" si="164"/>
        <v>5303.9986896796981</v>
      </c>
      <c r="BZ49" s="186">
        <f t="shared" si="165"/>
        <v>5721.8440312652765</v>
      </c>
      <c r="CA49" s="186">
        <f t="shared" si="166"/>
        <v>5571.0164352939755</v>
      </c>
      <c r="CB49" s="186">
        <f t="shared" si="167"/>
        <v>5394.5118952233233</v>
      </c>
      <c r="CC49" s="186">
        <f t="shared" si="168"/>
        <v>5415.4040318985853</v>
      </c>
      <c r="CD49" s="186">
        <f t="shared" si="169"/>
        <v>5775.0632006446858</v>
      </c>
      <c r="CE49" s="186">
        <f t="shared" si="170"/>
        <v>5735.874092747983</v>
      </c>
      <c r="CF49" s="186">
        <f t="shared" si="171"/>
        <v>5991.3841026155842</v>
      </c>
      <c r="CG49" s="100">
        <v>483</v>
      </c>
      <c r="CH49" s="100">
        <v>497</v>
      </c>
      <c r="CI49" s="99">
        <v>528</v>
      </c>
      <c r="CJ49" s="99">
        <v>503</v>
      </c>
      <c r="CK49" s="99">
        <v>503</v>
      </c>
      <c r="CL49" s="99">
        <v>578</v>
      </c>
      <c r="CM49" s="100">
        <v>628</v>
      </c>
      <c r="CN49" s="99">
        <v>631</v>
      </c>
      <c r="CO49" s="99">
        <v>629</v>
      </c>
      <c r="CP49" s="99">
        <v>643</v>
      </c>
      <c r="CQ49" s="99">
        <v>661</v>
      </c>
      <c r="CR49" s="99">
        <v>736</v>
      </c>
      <c r="CS49" s="99">
        <v>799</v>
      </c>
      <c r="CT49" s="99">
        <v>848</v>
      </c>
      <c r="CU49" s="99">
        <v>778</v>
      </c>
      <c r="CV49" s="99">
        <v>890</v>
      </c>
      <c r="CW49" s="99">
        <v>830</v>
      </c>
      <c r="CX49" s="99">
        <v>901</v>
      </c>
      <c r="CY49" s="99">
        <v>902</v>
      </c>
      <c r="CZ49" s="99">
        <v>697.63328244620243</v>
      </c>
      <c r="DA49" s="99">
        <v>670.78337718345415</v>
      </c>
      <c r="DB49" s="99">
        <v>674.38145845220242</v>
      </c>
      <c r="DC49" s="180">
        <v>646.98586342613044</v>
      </c>
      <c r="DD49" s="180">
        <v>628.96659911984568</v>
      </c>
      <c r="DE49" s="180">
        <v>610.87384013591577</v>
      </c>
      <c r="DF49" s="180">
        <v>584.34917038555466</v>
      </c>
      <c r="DG49" s="180">
        <v>586.4470891079169</v>
      </c>
      <c r="DH49" s="181">
        <v>593.35899158386667</v>
      </c>
      <c r="DI49" s="180">
        <v>580.18542473308037</v>
      </c>
      <c r="DJ49" s="180">
        <v>566.80790789622779</v>
      </c>
      <c r="DK49" s="180">
        <v>554.93958327657288</v>
      </c>
      <c r="DL49" s="180">
        <v>496.19961201371564</v>
      </c>
      <c r="DM49" s="180">
        <v>497.4792154816152</v>
      </c>
      <c r="DN49" s="181">
        <v>514.94147477587057</v>
      </c>
      <c r="DO49" s="180">
        <v>546.18654610855549</v>
      </c>
      <c r="DP49" s="180">
        <v>529.11735136703237</v>
      </c>
      <c r="DQ49" s="180">
        <v>478.54517812337417</v>
      </c>
      <c r="DR49" s="180">
        <v>488.20859140652021</v>
      </c>
      <c r="DS49" s="180">
        <v>452.06973444388984</v>
      </c>
      <c r="DT49" s="180">
        <v>477.84568532925988</v>
      </c>
      <c r="DU49" s="180">
        <v>458.21164750244156</v>
      </c>
      <c r="DV49" s="100">
        <v>1495</v>
      </c>
      <c r="DW49" s="100">
        <v>1602</v>
      </c>
      <c r="DX49" s="99">
        <v>1603</v>
      </c>
      <c r="DY49" s="99">
        <v>1571</v>
      </c>
      <c r="DZ49" s="99">
        <v>1526</v>
      </c>
      <c r="EA49" s="99">
        <v>1563</v>
      </c>
      <c r="EB49" s="100">
        <v>1782</v>
      </c>
      <c r="EC49" s="99">
        <v>2066</v>
      </c>
      <c r="ED49" s="99">
        <v>2280</v>
      </c>
      <c r="EE49" s="99">
        <v>2468</v>
      </c>
      <c r="EF49" s="99">
        <v>2573</v>
      </c>
      <c r="EG49" s="99">
        <v>2699</v>
      </c>
      <c r="EH49" s="99">
        <v>2861</v>
      </c>
      <c r="EI49" s="99">
        <v>2837</v>
      </c>
      <c r="EJ49" s="99">
        <v>3095</v>
      </c>
      <c r="EK49" s="99">
        <v>3060</v>
      </c>
      <c r="EL49" s="99">
        <v>3351</v>
      </c>
      <c r="EM49" s="99">
        <v>3407</v>
      </c>
      <c r="EN49" s="99">
        <v>3347</v>
      </c>
      <c r="EO49" s="99">
        <v>3495.2227108898505</v>
      </c>
      <c r="EP49" s="99">
        <v>3588.8855220988858</v>
      </c>
      <c r="EQ49" s="99">
        <v>3725.0323413884648</v>
      </c>
      <c r="ER49" s="180">
        <v>3587.4959589225973</v>
      </c>
      <c r="ES49" s="180">
        <v>3716.022065590555</v>
      </c>
      <c r="ET49" s="180">
        <v>3613.5372072263085</v>
      </c>
      <c r="EU49" s="180">
        <v>3769.0499815640433</v>
      </c>
      <c r="EV49" s="180">
        <v>4156.936860393077</v>
      </c>
      <c r="EW49" s="181">
        <v>4173.7759283502755</v>
      </c>
      <c r="EX49" s="180">
        <v>4276.3670132066181</v>
      </c>
      <c r="EY49" s="180">
        <v>4411.0420779426004</v>
      </c>
      <c r="EZ49" s="180">
        <v>4455.5621902452704</v>
      </c>
      <c r="FA49" s="180">
        <v>4538.4148661018089</v>
      </c>
      <c r="FB49" s="180">
        <v>4491.1543806109312</v>
      </c>
      <c r="FC49" s="181">
        <v>4789.057214903828</v>
      </c>
      <c r="FD49" s="180">
        <v>5175.6574851567211</v>
      </c>
      <c r="FE49" s="180">
        <v>5041.8990839269427</v>
      </c>
      <c r="FF49" s="180">
        <v>4915.9667170999492</v>
      </c>
      <c r="FG49" s="180">
        <v>4927.1954404920652</v>
      </c>
      <c r="FH49" s="180">
        <v>5322.9934662007963</v>
      </c>
      <c r="FI49" s="180">
        <v>5258.028407418723</v>
      </c>
      <c r="FJ49" s="180">
        <v>5533.1724551131429</v>
      </c>
      <c r="FK49" s="100">
        <v>537</v>
      </c>
      <c r="FL49" s="100">
        <v>912</v>
      </c>
      <c r="FM49" s="99">
        <v>1004</v>
      </c>
      <c r="FN49" s="99">
        <v>1051</v>
      </c>
      <c r="FO49" s="99">
        <v>1140</v>
      </c>
      <c r="FP49" s="99">
        <v>1282</v>
      </c>
      <c r="FQ49" s="100">
        <v>1518</v>
      </c>
      <c r="FR49" s="99">
        <v>1651</v>
      </c>
      <c r="FS49" s="99">
        <v>1683</v>
      </c>
      <c r="FT49" s="99">
        <v>1840</v>
      </c>
      <c r="FU49" s="99">
        <v>2122</v>
      </c>
      <c r="FV49" s="99">
        <v>2495</v>
      </c>
      <c r="FW49" s="99">
        <v>2510</v>
      </c>
      <c r="FX49" s="99">
        <v>2637</v>
      </c>
      <c r="FY49" s="99">
        <v>2973</v>
      </c>
      <c r="FZ49" s="99">
        <v>3323</v>
      </c>
      <c r="GA49" s="99">
        <v>3678</v>
      </c>
      <c r="GB49" s="99">
        <v>3969</v>
      </c>
      <c r="GC49" s="99">
        <v>4194</v>
      </c>
      <c r="GD49" s="99">
        <v>4118.6186485207145</v>
      </c>
      <c r="GE49" s="99">
        <v>3868.8455906319987</v>
      </c>
      <c r="GF49" s="99">
        <v>4293.4837873819661</v>
      </c>
      <c r="GG49" s="180">
        <v>4051.2198906044459</v>
      </c>
      <c r="GH49" s="180">
        <v>4108.8546842620135</v>
      </c>
      <c r="GI49" s="180">
        <v>4116.3873373948163</v>
      </c>
      <c r="GJ49" s="180">
        <v>4376.6179184672364</v>
      </c>
      <c r="GK49" s="180">
        <v>4658.3137187542916</v>
      </c>
      <c r="GL49" s="181">
        <v>4828.5035576740383</v>
      </c>
      <c r="GM49" s="180">
        <v>4777.8163331007181</v>
      </c>
      <c r="GN49" s="180">
        <v>4809.6297101519531</v>
      </c>
      <c r="GO49" s="180">
        <v>5140.2547508265507</v>
      </c>
      <c r="GP49" s="180">
        <v>5198.0717053753006</v>
      </c>
      <c r="GQ49" s="180">
        <v>5498.2713443153125</v>
      </c>
      <c r="GR49" s="181">
        <v>5876.7296910456644</v>
      </c>
      <c r="GS49" s="180">
        <v>5995.5105380532841</v>
      </c>
      <c r="GT49" s="180">
        <v>5785.1711436152918</v>
      </c>
      <c r="GU49" s="180">
        <v>5794.6042338985599</v>
      </c>
      <c r="GV49" s="180">
        <v>5698.1614474050302</v>
      </c>
      <c r="GW49" s="180">
        <v>6153.4379124424959</v>
      </c>
      <c r="GX49" s="180">
        <v>6526.3402902345579</v>
      </c>
      <c r="GY49" s="180">
        <v>6842.883086208607</v>
      </c>
      <c r="GZ49" s="100">
        <v>837</v>
      </c>
      <c r="HA49" s="100">
        <v>643</v>
      </c>
      <c r="HB49" s="99">
        <v>658</v>
      </c>
      <c r="HC49" s="99">
        <v>690</v>
      </c>
      <c r="HD49" s="99">
        <v>667</v>
      </c>
      <c r="HE49" s="99">
        <v>762</v>
      </c>
      <c r="HF49" s="100">
        <v>841</v>
      </c>
      <c r="HG49" s="99">
        <v>824</v>
      </c>
      <c r="HH49" s="99">
        <v>885</v>
      </c>
      <c r="HI49" s="99">
        <v>916</v>
      </c>
      <c r="HJ49" s="99">
        <v>1032</v>
      </c>
      <c r="HK49" s="99">
        <v>1139</v>
      </c>
      <c r="HL49" s="99">
        <v>1238</v>
      </c>
      <c r="HM49" s="99">
        <v>1322</v>
      </c>
      <c r="HN49" s="99">
        <v>1501</v>
      </c>
      <c r="HO49" s="99">
        <v>1690</v>
      </c>
      <c r="HP49" s="99">
        <v>1788</v>
      </c>
      <c r="HQ49" s="99">
        <v>1997</v>
      </c>
      <c r="HR49" s="99">
        <v>2176</v>
      </c>
      <c r="HS49" s="99">
        <v>2485</v>
      </c>
      <c r="HT49" s="99">
        <v>2497</v>
      </c>
      <c r="HU49" s="99">
        <v>2827</v>
      </c>
      <c r="HV49" s="180">
        <v>2796.4299636321903</v>
      </c>
      <c r="HW49" s="180">
        <v>3165.5523487950136</v>
      </c>
      <c r="HX49" s="180">
        <v>3159.7593607336744</v>
      </c>
      <c r="HY49" s="180">
        <v>3531.32029350523</v>
      </c>
      <c r="HZ49" s="180">
        <v>3571.5389808774034</v>
      </c>
      <c r="IA49" s="181">
        <v>3972.6706776655083</v>
      </c>
      <c r="IB49" s="180">
        <v>4113.4557277831982</v>
      </c>
      <c r="IC49" s="180">
        <v>4208.2515340886566</v>
      </c>
      <c r="ID49" s="180">
        <v>4730.61075725707</v>
      </c>
      <c r="IE49" s="180">
        <v>4712.2687426059229</v>
      </c>
      <c r="IF49" s="180">
        <v>5064.2914761850834</v>
      </c>
      <c r="IG49" s="181">
        <v>5374.2726678635954</v>
      </c>
      <c r="IH49" s="180">
        <v>5031.8273148123862</v>
      </c>
      <c r="II49" s="180">
        <v>4920.3934187186987</v>
      </c>
      <c r="IJ49" s="180">
        <v>4481.170449146307</v>
      </c>
      <c r="IK49" s="180">
        <v>4044.6598969821525</v>
      </c>
      <c r="IL49" s="180">
        <v>4246.3704857551165</v>
      </c>
      <c r="IM49" s="180">
        <v>4094.3375032713902</v>
      </c>
      <c r="IN49" s="180">
        <v>4095.4487933363462</v>
      </c>
      <c r="IO49" s="100">
        <v>42876</v>
      </c>
      <c r="IP49" s="100">
        <v>44383</v>
      </c>
      <c r="IQ49" s="99">
        <v>43743</v>
      </c>
      <c r="IR49" s="99">
        <v>45539</v>
      </c>
      <c r="IS49" s="99">
        <v>46645</v>
      </c>
      <c r="IT49" s="99">
        <v>48193</v>
      </c>
      <c r="IU49" s="100">
        <v>49859</v>
      </c>
      <c r="IV49" s="99">
        <v>51919</v>
      </c>
      <c r="IW49" s="99">
        <v>51895</v>
      </c>
      <c r="IX49" s="99">
        <v>50714</v>
      </c>
      <c r="IY49" s="99">
        <v>51052</v>
      </c>
      <c r="IZ49" s="99">
        <v>52363</v>
      </c>
      <c r="JA49" s="99">
        <v>51688</v>
      </c>
      <c r="JB49" s="99">
        <v>50749</v>
      </c>
      <c r="JC49" s="99">
        <v>50551</v>
      </c>
      <c r="JD49" s="99">
        <v>50534</v>
      </c>
      <c r="JE49" s="99">
        <v>50762</v>
      </c>
      <c r="JF49" s="99">
        <v>49455</v>
      </c>
      <c r="JG49" s="99">
        <v>49048</v>
      </c>
      <c r="JH49" s="99">
        <v>48560.525358143233</v>
      </c>
      <c r="JI49" s="99">
        <v>46875.485510085658</v>
      </c>
      <c r="JJ49" s="99">
        <v>46735.102412777371</v>
      </c>
      <c r="JK49" s="180">
        <v>44880.839358619101</v>
      </c>
      <c r="JL49" s="180">
        <v>44876.255400912421</v>
      </c>
      <c r="JM49" s="180">
        <v>44552.891210707836</v>
      </c>
      <c r="JN49" s="180">
        <v>44278.438822416625</v>
      </c>
      <c r="JO49" s="180">
        <v>44427.93565893708</v>
      </c>
      <c r="JP49" s="181">
        <v>44454.032344902043</v>
      </c>
      <c r="JQ49" s="180">
        <v>43675.520448542236</v>
      </c>
      <c r="JR49" s="180">
        <v>44898.875841332796</v>
      </c>
      <c r="JS49" s="180">
        <v>45322.298375642626</v>
      </c>
      <c r="JT49" s="180">
        <v>45294.20950986485</v>
      </c>
      <c r="JU49" s="180">
        <v>45718.206328504864</v>
      </c>
      <c r="JV49" s="181">
        <v>46088.830366429836</v>
      </c>
      <c r="JW49" s="180">
        <v>44697.193325743916</v>
      </c>
      <c r="JX49" s="180">
        <v>43637.760590236685</v>
      </c>
      <c r="JY49" s="180">
        <v>42472.950262208848</v>
      </c>
      <c r="JZ49" s="180">
        <v>42137.826696537682</v>
      </c>
      <c r="KA49" s="180">
        <v>41987.186066707829</v>
      </c>
      <c r="KB49" s="180">
        <v>42105.699685842461</v>
      </c>
      <c r="KC49" s="180">
        <v>42184.949028783594</v>
      </c>
    </row>
    <row r="50" spans="1:289">
      <c r="A50" s="175" t="s">
        <v>71</v>
      </c>
      <c r="B50" s="100">
        <v>46556</v>
      </c>
      <c r="C50" s="100">
        <v>46864</v>
      </c>
      <c r="D50" s="99">
        <v>46566</v>
      </c>
      <c r="E50" s="99">
        <v>48862</v>
      </c>
      <c r="F50" s="99">
        <v>49011</v>
      </c>
      <c r="G50" s="99">
        <v>50543</v>
      </c>
      <c r="H50" s="100">
        <v>52095</v>
      </c>
      <c r="I50" s="99">
        <v>52531</v>
      </c>
      <c r="J50" s="99">
        <v>52848</v>
      </c>
      <c r="K50" s="99">
        <v>54138</v>
      </c>
      <c r="L50" s="99">
        <v>54487</v>
      </c>
      <c r="M50" s="99">
        <v>56925</v>
      </c>
      <c r="N50" s="99">
        <v>57983</v>
      </c>
      <c r="O50" s="99">
        <v>57841</v>
      </c>
      <c r="P50" s="99">
        <v>58417</v>
      </c>
      <c r="Q50" s="99">
        <v>60275</v>
      </c>
      <c r="R50" s="99">
        <v>61717</v>
      </c>
      <c r="S50" s="99">
        <v>62969</v>
      </c>
      <c r="T50" s="99">
        <v>63994</v>
      </c>
      <c r="U50" s="99">
        <v>62994</v>
      </c>
      <c r="V50" s="99">
        <v>61313</v>
      </c>
      <c r="W50" s="99">
        <v>61407</v>
      </c>
      <c r="X50" s="546">
        <v>60360</v>
      </c>
      <c r="Y50" s="180">
        <v>60786.325860148689</v>
      </c>
      <c r="Z50" s="180">
        <v>60471.528776740444</v>
      </c>
      <c r="AA50" s="180">
        <v>60846.897085611658</v>
      </c>
      <c r="AB50" s="180">
        <v>59277.937502845052</v>
      </c>
      <c r="AC50" s="180">
        <v>60740.658442164851</v>
      </c>
      <c r="AD50" s="181">
        <v>60348.486438122971</v>
      </c>
      <c r="AE50" s="180">
        <v>59497.119251614822</v>
      </c>
      <c r="AF50" s="180">
        <v>59545.023543059826</v>
      </c>
      <c r="AG50" s="180">
        <v>59904.599962923101</v>
      </c>
      <c r="AH50" s="180">
        <v>60350.736426048497</v>
      </c>
      <c r="AI50" s="180">
        <v>61010.375635245036</v>
      </c>
      <c r="AJ50" s="181">
        <v>62398.088245076447</v>
      </c>
      <c r="AK50" s="180">
        <v>61832.782144725898</v>
      </c>
      <c r="AL50" s="180">
        <v>60194.663372451687</v>
      </c>
      <c r="AM50" s="180">
        <v>58455.258397853439</v>
      </c>
      <c r="AN50" s="180">
        <v>57871.249930145044</v>
      </c>
      <c r="AO50" s="180">
        <v>57458.014048539255</v>
      </c>
      <c r="AP50" s="180">
        <v>57367.677424532965</v>
      </c>
      <c r="AQ50" s="180">
        <v>57401.835547051174</v>
      </c>
      <c r="AR50" s="533">
        <f t="shared" si="131"/>
        <v>649</v>
      </c>
      <c r="AS50" s="534">
        <f t="shared" si="132"/>
        <v>686</v>
      </c>
      <c r="AT50" s="534">
        <f t="shared" si="133"/>
        <v>637</v>
      </c>
      <c r="AU50" s="534">
        <f t="shared" si="134"/>
        <v>652</v>
      </c>
      <c r="AV50" s="534">
        <f t="shared" si="135"/>
        <v>699</v>
      </c>
      <c r="AW50" s="534">
        <f t="shared" si="136"/>
        <v>749</v>
      </c>
      <c r="AX50" s="534">
        <f t="shared" si="137"/>
        <v>758</v>
      </c>
      <c r="AY50" s="534">
        <f t="shared" si="138"/>
        <v>771</v>
      </c>
      <c r="AZ50" s="534">
        <f t="shared" si="139"/>
        <v>953</v>
      </c>
      <c r="BA50" s="534">
        <f t="shared" si="140"/>
        <v>887</v>
      </c>
      <c r="BB50" s="534">
        <f t="shared" si="141"/>
        <v>969</v>
      </c>
      <c r="BC50" s="534">
        <f t="shared" si="142"/>
        <v>953</v>
      </c>
      <c r="BD50" s="534">
        <f t="shared" si="143"/>
        <v>1055</v>
      </c>
      <c r="BE50" s="534">
        <f t="shared" si="144"/>
        <v>1047</v>
      </c>
      <c r="BF50" s="534">
        <f t="shared" si="145"/>
        <v>1225</v>
      </c>
      <c r="BG50" s="534">
        <f t="shared" si="146"/>
        <v>1257</v>
      </c>
      <c r="BH50" s="534">
        <f t="shared" si="147"/>
        <v>1297</v>
      </c>
      <c r="BI50" s="534">
        <f t="shared" si="148"/>
        <v>1329</v>
      </c>
      <c r="BJ50" s="534">
        <f t="shared" si="149"/>
        <v>1444</v>
      </c>
      <c r="BK50" s="534">
        <f t="shared" si="150"/>
        <v>1410.4408969425765</v>
      </c>
      <c r="BL50" s="534">
        <f t="shared" si="151"/>
        <v>1499.787709700594</v>
      </c>
      <c r="BM50" s="534">
        <f t="shared" si="152"/>
        <v>1574.8128006458373</v>
      </c>
      <c r="BN50" s="186">
        <f t="shared" si="153"/>
        <v>1604.0212263395065</v>
      </c>
      <c r="BO50" s="186">
        <f t="shared" si="154"/>
        <v>1592.0100843226164</v>
      </c>
      <c r="BP50" s="186">
        <f t="shared" si="155"/>
        <v>1603.9362488334468</v>
      </c>
      <c r="BQ50" s="186">
        <f t="shared" si="156"/>
        <v>1621.6164407716121</v>
      </c>
      <c r="BR50" s="186">
        <f t="shared" si="157"/>
        <v>1737.2914464160851</v>
      </c>
      <c r="BS50" s="186">
        <f t="shared" si="158"/>
        <v>1758.5208698592489</v>
      </c>
      <c r="BT50" s="186">
        <f t="shared" si="159"/>
        <v>1829.8739019211791</v>
      </c>
      <c r="BU50" s="186">
        <f t="shared" si="160"/>
        <v>1881.3398383654574</v>
      </c>
      <c r="BV50" s="186">
        <f t="shared" si="161"/>
        <v>1846.6670826760578</v>
      </c>
      <c r="BW50" s="186">
        <f t="shared" si="162"/>
        <v>1917.8720417146631</v>
      </c>
      <c r="BX50" s="186">
        <f t="shared" si="163"/>
        <v>1884.4038896048114</v>
      </c>
      <c r="BY50" s="186">
        <f t="shared" si="164"/>
        <v>1850.7746564752861</v>
      </c>
      <c r="BZ50" s="186">
        <f t="shared" si="165"/>
        <v>2075.5441958759538</v>
      </c>
      <c r="CA50" s="186">
        <f t="shared" si="166"/>
        <v>1986.3684943790897</v>
      </c>
      <c r="CB50" s="186">
        <f t="shared" si="167"/>
        <v>1863.7597572959651</v>
      </c>
      <c r="CC50" s="186">
        <f t="shared" si="168"/>
        <v>1875.9047827264144</v>
      </c>
      <c r="CD50" s="186">
        <f t="shared" si="169"/>
        <v>1970.6736050418642</v>
      </c>
      <c r="CE50" s="186">
        <f t="shared" si="170"/>
        <v>1944.1736261425867</v>
      </c>
      <c r="CF50" s="186">
        <f t="shared" si="171"/>
        <v>2067.6073095813863</v>
      </c>
      <c r="CG50" s="100">
        <v>94</v>
      </c>
      <c r="CH50" s="100">
        <v>80</v>
      </c>
      <c r="CI50" s="99">
        <v>98</v>
      </c>
      <c r="CJ50" s="99">
        <v>88</v>
      </c>
      <c r="CK50" s="99">
        <v>90</v>
      </c>
      <c r="CL50" s="99">
        <v>105</v>
      </c>
      <c r="CM50" s="100">
        <v>119</v>
      </c>
      <c r="CN50" s="99">
        <v>104</v>
      </c>
      <c r="CO50" s="99">
        <v>124</v>
      </c>
      <c r="CP50" s="99">
        <v>134</v>
      </c>
      <c r="CQ50" s="99">
        <v>148</v>
      </c>
      <c r="CR50" s="99">
        <v>153</v>
      </c>
      <c r="CS50" s="99">
        <v>189</v>
      </c>
      <c r="CT50" s="99">
        <v>195</v>
      </c>
      <c r="CU50" s="99">
        <v>197</v>
      </c>
      <c r="CV50" s="99">
        <v>222</v>
      </c>
      <c r="CW50" s="99">
        <v>273</v>
      </c>
      <c r="CX50" s="99">
        <v>271</v>
      </c>
      <c r="CY50" s="99">
        <v>318</v>
      </c>
      <c r="CZ50" s="99">
        <v>298.63920315950236</v>
      </c>
      <c r="DA50" s="99">
        <v>343.04043709897735</v>
      </c>
      <c r="DB50" s="99">
        <v>286.89228028579475</v>
      </c>
      <c r="DC50" s="180">
        <v>299.07735506185116</v>
      </c>
      <c r="DD50" s="180">
        <v>288.57342021649839</v>
      </c>
      <c r="DE50" s="180">
        <v>292.99382088560986</v>
      </c>
      <c r="DF50" s="180">
        <v>302.41726090448225</v>
      </c>
      <c r="DG50" s="180">
        <v>287.38634735968094</v>
      </c>
      <c r="DH50" s="181">
        <v>281.7390413847715</v>
      </c>
      <c r="DI50" s="180">
        <v>294.51171850538293</v>
      </c>
      <c r="DJ50" s="180">
        <v>274.45849428470098</v>
      </c>
      <c r="DK50" s="180">
        <v>305.26062030600895</v>
      </c>
      <c r="DL50" s="180">
        <v>320.54978992090832</v>
      </c>
      <c r="DM50" s="180">
        <v>265.30200329409575</v>
      </c>
      <c r="DN50" s="181">
        <v>277.56582099002173</v>
      </c>
      <c r="DO50" s="180">
        <v>300.79480574936389</v>
      </c>
      <c r="DP50" s="180">
        <v>264.54760566240583</v>
      </c>
      <c r="DQ50" s="180">
        <v>240.47844089458337</v>
      </c>
      <c r="DR50" s="180">
        <v>243.49932534562444</v>
      </c>
      <c r="DS50" s="180">
        <v>240.47172444361712</v>
      </c>
      <c r="DT50" s="180">
        <v>244.2009305499291</v>
      </c>
      <c r="DU50" s="180">
        <v>255.59593598006327</v>
      </c>
      <c r="DV50" s="100">
        <v>555</v>
      </c>
      <c r="DW50" s="100">
        <v>606</v>
      </c>
      <c r="DX50" s="99">
        <v>539</v>
      </c>
      <c r="DY50" s="99">
        <v>564</v>
      </c>
      <c r="DZ50" s="99">
        <v>609</v>
      </c>
      <c r="EA50" s="99">
        <v>644</v>
      </c>
      <c r="EB50" s="100">
        <v>639</v>
      </c>
      <c r="EC50" s="99">
        <v>667</v>
      </c>
      <c r="ED50" s="99">
        <v>829</v>
      </c>
      <c r="EE50" s="99">
        <v>753</v>
      </c>
      <c r="EF50" s="99">
        <v>821</v>
      </c>
      <c r="EG50" s="99">
        <v>800</v>
      </c>
      <c r="EH50" s="99">
        <v>866</v>
      </c>
      <c r="EI50" s="99">
        <v>852</v>
      </c>
      <c r="EJ50" s="99">
        <v>1028</v>
      </c>
      <c r="EK50" s="99">
        <v>1035</v>
      </c>
      <c r="EL50" s="99">
        <v>1024</v>
      </c>
      <c r="EM50" s="99">
        <v>1058</v>
      </c>
      <c r="EN50" s="99">
        <v>1126</v>
      </c>
      <c r="EO50" s="99">
        <v>1111.8016937830741</v>
      </c>
      <c r="EP50" s="99">
        <v>1156.7472726016167</v>
      </c>
      <c r="EQ50" s="99">
        <v>1287.9205203600425</v>
      </c>
      <c r="ER50" s="180">
        <v>1304.9438712776553</v>
      </c>
      <c r="ES50" s="180">
        <v>1303.4366641061181</v>
      </c>
      <c r="ET50" s="180">
        <v>1310.9424279478369</v>
      </c>
      <c r="EU50" s="180">
        <v>1319.1991798671299</v>
      </c>
      <c r="EV50" s="180">
        <v>1449.9050990564042</v>
      </c>
      <c r="EW50" s="181">
        <v>1476.7818284744774</v>
      </c>
      <c r="EX50" s="180">
        <v>1535.3621834157962</v>
      </c>
      <c r="EY50" s="180">
        <v>1606.8813440807564</v>
      </c>
      <c r="EZ50" s="180">
        <v>1541.406462370049</v>
      </c>
      <c r="FA50" s="180">
        <v>1597.3222517937547</v>
      </c>
      <c r="FB50" s="180">
        <v>1619.1018863107156</v>
      </c>
      <c r="FC50" s="181">
        <v>1573.2088354852644</v>
      </c>
      <c r="FD50" s="180">
        <v>1774.74939012659</v>
      </c>
      <c r="FE50" s="180">
        <v>1721.8208887166838</v>
      </c>
      <c r="FF50" s="180">
        <v>1623.2813164013817</v>
      </c>
      <c r="FG50" s="180">
        <v>1632.40545738079</v>
      </c>
      <c r="FH50" s="180">
        <v>1730.201880598247</v>
      </c>
      <c r="FI50" s="180">
        <v>1699.9726955926576</v>
      </c>
      <c r="FJ50" s="180">
        <v>1812.0113736013229</v>
      </c>
      <c r="FK50" s="100">
        <v>6344</v>
      </c>
      <c r="FL50" s="100">
        <v>5308</v>
      </c>
      <c r="FM50" s="99">
        <v>5369</v>
      </c>
      <c r="FN50" s="99">
        <v>5420</v>
      </c>
      <c r="FO50" s="99">
        <v>5345</v>
      </c>
      <c r="FP50" s="99">
        <v>5826</v>
      </c>
      <c r="FQ50" s="100">
        <v>6239</v>
      </c>
      <c r="FR50" s="99">
        <v>6687</v>
      </c>
      <c r="FS50" s="99">
        <v>6683</v>
      </c>
      <c r="FT50" s="99">
        <v>6824</v>
      </c>
      <c r="FU50" s="99">
        <v>7195</v>
      </c>
      <c r="FV50" s="99">
        <v>7536</v>
      </c>
      <c r="FW50" s="99">
        <v>7863</v>
      </c>
      <c r="FX50" s="99">
        <v>8234</v>
      </c>
      <c r="FY50" s="99">
        <v>8401</v>
      </c>
      <c r="FZ50" s="99">
        <v>8970</v>
      </c>
      <c r="GA50" s="99">
        <v>9178</v>
      </c>
      <c r="GB50" s="99">
        <v>10111</v>
      </c>
      <c r="GC50" s="99">
        <v>10262</v>
      </c>
      <c r="GD50" s="99">
        <v>10659.312242532649</v>
      </c>
      <c r="GE50" s="99">
        <v>9996.8237518593614</v>
      </c>
      <c r="GF50" s="99">
        <v>9798.5354641177364</v>
      </c>
      <c r="GG50" s="180">
        <v>9451.5433163795424</v>
      </c>
      <c r="GH50" s="180">
        <v>9329.9267234024137</v>
      </c>
      <c r="GI50" s="180">
        <v>9504.8934102430776</v>
      </c>
      <c r="GJ50" s="180">
        <v>8749.0141882208973</v>
      </c>
      <c r="GK50" s="180">
        <v>9173.8156733967589</v>
      </c>
      <c r="GL50" s="181">
        <v>8883.8791680047179</v>
      </c>
      <c r="GM50" s="180">
        <v>8720.9241153291077</v>
      </c>
      <c r="GN50" s="180">
        <v>8519.8006677504891</v>
      </c>
      <c r="GO50" s="180">
        <v>8567.4698172781355</v>
      </c>
      <c r="GP50" s="180">
        <v>8496.1794939030387</v>
      </c>
      <c r="GQ50" s="180">
        <v>8754.4785258224092</v>
      </c>
      <c r="GR50" s="181">
        <v>9134.8765823644371</v>
      </c>
      <c r="GS50" s="180">
        <v>9203.7339951790327</v>
      </c>
      <c r="GT50" s="180">
        <v>8837.843719194012</v>
      </c>
      <c r="GU50" s="180">
        <v>8392.6247099771008</v>
      </c>
      <c r="GV50" s="180">
        <v>8324.5369280628674</v>
      </c>
      <c r="GW50" s="180">
        <v>8266.5042080873536</v>
      </c>
      <c r="GX50" s="180">
        <v>8330.5759092419339</v>
      </c>
      <c r="GY50" s="180">
        <v>8375.0167559691199</v>
      </c>
      <c r="GZ50" s="100">
        <v>422</v>
      </c>
      <c r="HA50" s="100">
        <v>411</v>
      </c>
      <c r="HB50" s="99">
        <v>391</v>
      </c>
      <c r="HC50" s="99">
        <v>404</v>
      </c>
      <c r="HD50" s="99">
        <v>471</v>
      </c>
      <c r="HE50" s="99">
        <v>481</v>
      </c>
      <c r="HF50" s="100">
        <v>535</v>
      </c>
      <c r="HG50" s="99">
        <v>587</v>
      </c>
      <c r="HH50" s="99">
        <v>643</v>
      </c>
      <c r="HI50" s="99">
        <v>711</v>
      </c>
      <c r="HJ50" s="99">
        <v>696</v>
      </c>
      <c r="HK50" s="99">
        <v>867</v>
      </c>
      <c r="HL50" s="99">
        <v>947</v>
      </c>
      <c r="HM50" s="99">
        <v>1075</v>
      </c>
      <c r="HN50" s="99">
        <v>1257</v>
      </c>
      <c r="HO50" s="99">
        <v>1371</v>
      </c>
      <c r="HP50" s="99">
        <v>1498</v>
      </c>
      <c r="HQ50" s="99">
        <v>1591</v>
      </c>
      <c r="HR50" s="99">
        <v>1772</v>
      </c>
      <c r="HS50" s="99">
        <v>1986</v>
      </c>
      <c r="HT50" s="99">
        <v>2131</v>
      </c>
      <c r="HU50" s="99">
        <v>2317</v>
      </c>
      <c r="HV50" s="180">
        <v>2253.819001820294</v>
      </c>
      <c r="HW50" s="180">
        <v>2545.1570783409384</v>
      </c>
      <c r="HX50" s="180">
        <v>2787.3235187674109</v>
      </c>
      <c r="HY50" s="180">
        <v>2918.7921513561246</v>
      </c>
      <c r="HZ50" s="180">
        <v>3158.1829632785693</v>
      </c>
      <c r="IA50" s="181">
        <v>3368.0679844839497</v>
      </c>
      <c r="IB50" s="180">
        <v>3601.0543957600698</v>
      </c>
      <c r="IC50" s="180">
        <v>3728.0216023217954</v>
      </c>
      <c r="ID50" s="180">
        <v>3939.5195961929253</v>
      </c>
      <c r="IE50" s="180">
        <v>4295.4799182932911</v>
      </c>
      <c r="IF50" s="180">
        <v>4474.4464675365134</v>
      </c>
      <c r="IG50" s="181">
        <v>4665.4205884842249</v>
      </c>
      <c r="IH50" s="180">
        <v>4583.5565020044005</v>
      </c>
      <c r="II50" s="180">
        <v>4317.8766502024373</v>
      </c>
      <c r="IJ50" s="180">
        <v>4345.5079651206579</v>
      </c>
      <c r="IK50" s="180">
        <v>4117.7422884330344</v>
      </c>
      <c r="IL50" s="180">
        <v>4066.7260643733703</v>
      </c>
      <c r="IM50" s="180">
        <v>3950.1681924108821</v>
      </c>
      <c r="IN50" s="180">
        <v>3975.14249520866</v>
      </c>
      <c r="IO50" s="100">
        <v>39141</v>
      </c>
      <c r="IP50" s="100">
        <v>40459</v>
      </c>
      <c r="IQ50" s="99">
        <v>40169</v>
      </c>
      <c r="IR50" s="99">
        <v>42386</v>
      </c>
      <c r="IS50" s="99">
        <v>42496</v>
      </c>
      <c r="IT50" s="99">
        <v>43487</v>
      </c>
      <c r="IU50" s="100">
        <v>44563</v>
      </c>
      <c r="IV50" s="99">
        <v>44486</v>
      </c>
      <c r="IW50" s="99">
        <v>44569</v>
      </c>
      <c r="IX50" s="99">
        <v>45716</v>
      </c>
      <c r="IY50" s="99">
        <v>45627</v>
      </c>
      <c r="IZ50" s="99">
        <v>47569</v>
      </c>
      <c r="JA50" s="99">
        <v>48118</v>
      </c>
      <c r="JB50" s="99">
        <v>47485</v>
      </c>
      <c r="JC50" s="99">
        <v>47534</v>
      </c>
      <c r="JD50" s="99">
        <v>48677</v>
      </c>
      <c r="JE50" s="99">
        <v>49744</v>
      </c>
      <c r="JF50" s="99">
        <v>49938</v>
      </c>
      <c r="JG50" s="99">
        <v>50516</v>
      </c>
      <c r="JH50" s="99">
        <v>48938.24686052477</v>
      </c>
      <c r="JI50" s="99">
        <v>47685.388538440042</v>
      </c>
      <c r="JJ50" s="99">
        <v>47716.651735236424</v>
      </c>
      <c r="JK50" s="180">
        <v>47467.273145461157</v>
      </c>
      <c r="JL50" s="180">
        <v>47010.283468972229</v>
      </c>
      <c r="JM50" s="180">
        <v>46978.255292846974</v>
      </c>
      <c r="JN50" s="180">
        <v>46158.034090635185</v>
      </c>
      <c r="JO50" s="180">
        <v>46794.094368549151</v>
      </c>
      <c r="JP50" s="181">
        <v>46497.629937290214</v>
      </c>
      <c r="JQ50" s="180">
        <v>45552.593906204995</v>
      </c>
      <c r="JR50" s="180">
        <v>45698.60724321517</v>
      </c>
      <c r="JS50" s="180">
        <v>45858.188696945144</v>
      </c>
      <c r="JT50" s="180">
        <v>46020.51496760537</v>
      </c>
      <c r="JU50" s="180">
        <v>46257.306092428502</v>
      </c>
      <c r="JV50" s="181">
        <v>47077.066465774726</v>
      </c>
      <c r="JW50" s="180">
        <v>46393.231368012493</v>
      </c>
      <c r="JX50" s="180">
        <v>45426.455392621232</v>
      </c>
      <c r="JY50" s="180">
        <v>44243.153202780923</v>
      </c>
      <c r="JZ50" s="180">
        <v>43492.878962807583</v>
      </c>
      <c r="KA50" s="180">
        <v>43207.638757309047</v>
      </c>
      <c r="KB50" s="180">
        <v>43214.404640091219</v>
      </c>
      <c r="KC50" s="180">
        <v>43047.878182449116</v>
      </c>
    </row>
    <row r="51" spans="1:289">
      <c r="A51" s="175" t="s">
        <v>72</v>
      </c>
      <c r="B51" s="100">
        <v>17040</v>
      </c>
      <c r="C51" s="100">
        <v>17569</v>
      </c>
      <c r="D51" s="99">
        <v>17073</v>
      </c>
      <c r="E51" s="99">
        <v>17969</v>
      </c>
      <c r="F51" s="99">
        <v>18014</v>
      </c>
      <c r="G51" s="99">
        <v>18636</v>
      </c>
      <c r="H51" s="100">
        <v>19719</v>
      </c>
      <c r="I51" s="99">
        <v>20550</v>
      </c>
      <c r="J51" s="99">
        <v>20149</v>
      </c>
      <c r="K51" s="99">
        <v>19658</v>
      </c>
      <c r="L51" s="99">
        <v>19910</v>
      </c>
      <c r="M51" s="99">
        <v>20161</v>
      </c>
      <c r="N51" s="99">
        <v>20309</v>
      </c>
      <c r="O51" s="99">
        <v>19940</v>
      </c>
      <c r="P51" s="99">
        <v>19764</v>
      </c>
      <c r="Q51" s="99">
        <v>19873</v>
      </c>
      <c r="R51" s="99">
        <v>20035</v>
      </c>
      <c r="S51" s="99">
        <v>19501</v>
      </c>
      <c r="T51" s="99">
        <v>19370</v>
      </c>
      <c r="U51" s="99">
        <v>20331</v>
      </c>
      <c r="V51" s="99">
        <v>20464</v>
      </c>
      <c r="W51" s="99">
        <v>20442</v>
      </c>
      <c r="X51" s="546">
        <v>21930</v>
      </c>
      <c r="Y51" s="180">
        <v>20436.069215534524</v>
      </c>
      <c r="Z51" s="180">
        <v>20395.022526087323</v>
      </c>
      <c r="AA51" s="180">
        <v>20371.643905877765</v>
      </c>
      <c r="AB51" s="180">
        <v>20208.510310636153</v>
      </c>
      <c r="AC51" s="180">
        <v>21250.014320153987</v>
      </c>
      <c r="AD51" s="181">
        <v>21598.958072573016</v>
      </c>
      <c r="AE51" s="180">
        <v>21967.813629403692</v>
      </c>
      <c r="AF51" s="180">
        <v>22185.637986096885</v>
      </c>
      <c r="AG51" s="180">
        <v>22674.41417659885</v>
      </c>
      <c r="AH51" s="180">
        <v>22634.430284954884</v>
      </c>
      <c r="AI51" s="180">
        <v>23036.535146210397</v>
      </c>
      <c r="AJ51" s="181">
        <v>21687.164869988221</v>
      </c>
      <c r="AK51" s="180">
        <v>22638.947734301113</v>
      </c>
      <c r="AL51" s="180">
        <v>22751.165622587228</v>
      </c>
      <c r="AM51" s="180">
        <v>21864.555686903597</v>
      </c>
      <c r="AN51" s="180">
        <v>21605.520214855173</v>
      </c>
      <c r="AO51" s="180">
        <v>21683.729289517934</v>
      </c>
      <c r="AP51" s="180">
        <v>21904.301778844336</v>
      </c>
      <c r="AQ51" s="180">
        <v>22517.186057927483</v>
      </c>
      <c r="AR51" s="533">
        <f t="shared" si="131"/>
        <v>319</v>
      </c>
      <c r="AS51" s="534">
        <f t="shared" si="132"/>
        <v>338</v>
      </c>
      <c r="AT51" s="534">
        <f t="shared" si="133"/>
        <v>359</v>
      </c>
      <c r="AU51" s="534">
        <f t="shared" si="134"/>
        <v>342</v>
      </c>
      <c r="AV51" s="534">
        <f t="shared" si="135"/>
        <v>326</v>
      </c>
      <c r="AW51" s="534">
        <f t="shared" si="136"/>
        <v>351</v>
      </c>
      <c r="AX51" s="534">
        <f t="shared" si="137"/>
        <v>353</v>
      </c>
      <c r="AY51" s="534">
        <f t="shared" si="138"/>
        <v>400</v>
      </c>
      <c r="AZ51" s="534">
        <f t="shared" si="139"/>
        <v>453</v>
      </c>
      <c r="BA51" s="534">
        <f t="shared" si="140"/>
        <v>450</v>
      </c>
      <c r="BB51" s="534">
        <f t="shared" si="141"/>
        <v>507</v>
      </c>
      <c r="BC51" s="534">
        <f t="shared" si="142"/>
        <v>484</v>
      </c>
      <c r="BD51" s="534">
        <f t="shared" si="143"/>
        <v>523</v>
      </c>
      <c r="BE51" s="534">
        <f t="shared" si="144"/>
        <v>543</v>
      </c>
      <c r="BF51" s="534">
        <f t="shared" si="145"/>
        <v>565</v>
      </c>
      <c r="BG51" s="534">
        <f t="shared" si="146"/>
        <v>557</v>
      </c>
      <c r="BH51" s="534">
        <f t="shared" si="147"/>
        <v>583</v>
      </c>
      <c r="BI51" s="534">
        <f t="shared" si="148"/>
        <v>555</v>
      </c>
      <c r="BJ51" s="534">
        <f t="shared" si="149"/>
        <v>544</v>
      </c>
      <c r="BK51" s="534">
        <f t="shared" si="150"/>
        <v>633.83409239742718</v>
      </c>
      <c r="BL51" s="534">
        <f t="shared" si="151"/>
        <v>752.04098869426321</v>
      </c>
      <c r="BM51" s="534">
        <f t="shared" si="152"/>
        <v>663.64876060502274</v>
      </c>
      <c r="BN51" s="186">
        <f t="shared" si="153"/>
        <v>723.68525425017299</v>
      </c>
      <c r="BO51" s="186">
        <f t="shared" si="154"/>
        <v>756.91005951214413</v>
      </c>
      <c r="BP51" s="186">
        <f t="shared" si="155"/>
        <v>688.17710131650381</v>
      </c>
      <c r="BQ51" s="186">
        <f t="shared" si="156"/>
        <v>790.38804470703974</v>
      </c>
      <c r="BR51" s="186">
        <f t="shared" si="157"/>
        <v>795.11030546721804</v>
      </c>
      <c r="BS51" s="186">
        <f t="shared" si="158"/>
        <v>904.13222753349362</v>
      </c>
      <c r="BT51" s="186">
        <f t="shared" si="159"/>
        <v>875.62378060361686</v>
      </c>
      <c r="BU51" s="186">
        <f t="shared" si="160"/>
        <v>915.98000263445681</v>
      </c>
      <c r="BV51" s="186">
        <f t="shared" si="161"/>
        <v>957.03486199954125</v>
      </c>
      <c r="BW51" s="186">
        <f t="shared" si="162"/>
        <v>988.43203471626157</v>
      </c>
      <c r="BX51" s="186">
        <f t="shared" si="163"/>
        <v>1029.8010203717745</v>
      </c>
      <c r="BY51" s="186">
        <f t="shared" si="164"/>
        <v>915.09860435787812</v>
      </c>
      <c r="BZ51" s="186">
        <f t="shared" si="165"/>
        <v>960.33114527033024</v>
      </c>
      <c r="CA51" s="186">
        <f t="shared" si="166"/>
        <v>1074.3141630065816</v>
      </c>
      <c r="CB51" s="186">
        <f t="shared" si="167"/>
        <v>1028.2847398861829</v>
      </c>
      <c r="CC51" s="186">
        <f t="shared" si="168"/>
        <v>1022.2834017172281</v>
      </c>
      <c r="CD51" s="186">
        <f t="shared" si="169"/>
        <v>1123.5579462183623</v>
      </c>
      <c r="CE51" s="186">
        <f t="shared" si="170"/>
        <v>1152.8019717740717</v>
      </c>
      <c r="CF51" s="186">
        <f t="shared" si="171"/>
        <v>1317.253610148535</v>
      </c>
      <c r="CG51" s="100">
        <v>77</v>
      </c>
      <c r="CH51" s="100">
        <v>94</v>
      </c>
      <c r="CI51" s="99">
        <v>104</v>
      </c>
      <c r="CJ51" s="99">
        <v>106</v>
      </c>
      <c r="CK51" s="99">
        <v>106</v>
      </c>
      <c r="CL51" s="99">
        <v>124</v>
      </c>
      <c r="CM51" s="100">
        <v>122</v>
      </c>
      <c r="CN51" s="99">
        <v>139</v>
      </c>
      <c r="CO51" s="99">
        <v>126</v>
      </c>
      <c r="CP51" s="99">
        <v>139</v>
      </c>
      <c r="CQ51" s="99">
        <v>150</v>
      </c>
      <c r="CR51" s="99">
        <v>182</v>
      </c>
      <c r="CS51" s="99">
        <v>183</v>
      </c>
      <c r="CT51" s="99">
        <v>197</v>
      </c>
      <c r="CU51" s="99">
        <v>213</v>
      </c>
      <c r="CV51" s="99">
        <v>211</v>
      </c>
      <c r="CW51" s="99">
        <v>228</v>
      </c>
      <c r="CX51" s="99">
        <v>227</v>
      </c>
      <c r="CY51" s="99">
        <v>191</v>
      </c>
      <c r="CZ51" s="99">
        <v>242.02854223427107</v>
      </c>
      <c r="DA51" s="99">
        <v>280.03406956811125</v>
      </c>
      <c r="DB51" s="99">
        <v>237.65145313784666</v>
      </c>
      <c r="DC51" s="180">
        <v>220.89148423688098</v>
      </c>
      <c r="DD51" s="180">
        <v>241.47744163646189</v>
      </c>
      <c r="DE51" s="180">
        <v>216.06240178778904</v>
      </c>
      <c r="DF51" s="180">
        <v>229.12671300139502</v>
      </c>
      <c r="DG51" s="180">
        <v>225.40930958340053</v>
      </c>
      <c r="DH51" s="181">
        <v>267.75368474365894</v>
      </c>
      <c r="DI51" s="180">
        <v>229.47574877353119</v>
      </c>
      <c r="DJ51" s="180">
        <v>235.24858381516142</v>
      </c>
      <c r="DK51" s="180">
        <v>229.88069900859341</v>
      </c>
      <c r="DL51" s="180">
        <v>197.73486083785565</v>
      </c>
      <c r="DM51" s="180">
        <v>224.49207658010266</v>
      </c>
      <c r="DN51" s="181">
        <v>207.58853333937611</v>
      </c>
      <c r="DO51" s="180">
        <v>204.21565633269486</v>
      </c>
      <c r="DP51" s="180">
        <v>216.30644210707698</v>
      </c>
      <c r="DQ51" s="180">
        <v>182.72392779276566</v>
      </c>
      <c r="DR51" s="180">
        <v>182.97944905817201</v>
      </c>
      <c r="DS51" s="180">
        <v>182.7882125122826</v>
      </c>
      <c r="DT51" s="180">
        <v>195.83299822637062</v>
      </c>
      <c r="DU51" s="180">
        <v>200.84761886938057</v>
      </c>
      <c r="DV51" s="100">
        <v>242</v>
      </c>
      <c r="DW51" s="100">
        <v>244</v>
      </c>
      <c r="DX51" s="99">
        <v>255</v>
      </c>
      <c r="DY51" s="99">
        <v>236</v>
      </c>
      <c r="DZ51" s="99">
        <v>220</v>
      </c>
      <c r="EA51" s="99">
        <v>227</v>
      </c>
      <c r="EB51" s="100">
        <v>231</v>
      </c>
      <c r="EC51" s="99">
        <v>261</v>
      </c>
      <c r="ED51" s="99">
        <v>327</v>
      </c>
      <c r="EE51" s="99">
        <v>311</v>
      </c>
      <c r="EF51" s="99">
        <v>357</v>
      </c>
      <c r="EG51" s="99">
        <v>302</v>
      </c>
      <c r="EH51" s="99">
        <v>340</v>
      </c>
      <c r="EI51" s="99">
        <v>346</v>
      </c>
      <c r="EJ51" s="99">
        <v>352</v>
      </c>
      <c r="EK51" s="99">
        <v>346</v>
      </c>
      <c r="EL51" s="99">
        <v>355</v>
      </c>
      <c r="EM51" s="99">
        <v>328</v>
      </c>
      <c r="EN51" s="99">
        <v>353</v>
      </c>
      <c r="EO51" s="99">
        <v>391.80555016315611</v>
      </c>
      <c r="EP51" s="99">
        <v>472.00691912615201</v>
      </c>
      <c r="EQ51" s="99">
        <v>425.99730746717614</v>
      </c>
      <c r="ER51" s="180">
        <v>502.79377001329198</v>
      </c>
      <c r="ES51" s="180">
        <v>515.43261787568224</v>
      </c>
      <c r="ET51" s="180">
        <v>472.11469952871477</v>
      </c>
      <c r="EU51" s="180">
        <v>561.26133170564469</v>
      </c>
      <c r="EV51" s="180">
        <v>569.70099588381754</v>
      </c>
      <c r="EW51" s="181">
        <v>636.37854278983468</v>
      </c>
      <c r="EX51" s="180">
        <v>646.14803183008564</v>
      </c>
      <c r="EY51" s="180">
        <v>680.73141881929541</v>
      </c>
      <c r="EZ51" s="180">
        <v>727.15416299094784</v>
      </c>
      <c r="FA51" s="180">
        <v>790.69717387840592</v>
      </c>
      <c r="FB51" s="180">
        <v>805.30894379167194</v>
      </c>
      <c r="FC51" s="181">
        <v>707.510071018502</v>
      </c>
      <c r="FD51" s="180">
        <v>756.1154889376354</v>
      </c>
      <c r="FE51" s="180">
        <v>858.00772089950465</v>
      </c>
      <c r="FF51" s="180">
        <v>845.56081209341721</v>
      </c>
      <c r="FG51" s="180">
        <v>839.30395265905611</v>
      </c>
      <c r="FH51" s="180">
        <v>940.76973370607982</v>
      </c>
      <c r="FI51" s="180">
        <v>956.96897354770113</v>
      </c>
      <c r="FJ51" s="180">
        <v>1116.4059912791545</v>
      </c>
      <c r="FK51" s="100">
        <v>392</v>
      </c>
      <c r="FL51" s="100">
        <v>631</v>
      </c>
      <c r="FM51" s="99">
        <v>627</v>
      </c>
      <c r="FN51" s="99">
        <v>608</v>
      </c>
      <c r="FO51" s="99">
        <v>631</v>
      </c>
      <c r="FP51" s="99">
        <v>610</v>
      </c>
      <c r="FQ51" s="100">
        <v>724</v>
      </c>
      <c r="FR51" s="99">
        <v>771</v>
      </c>
      <c r="FS51" s="99">
        <v>808</v>
      </c>
      <c r="FT51" s="99">
        <v>827</v>
      </c>
      <c r="FU51" s="99">
        <v>796</v>
      </c>
      <c r="FV51" s="99">
        <v>892</v>
      </c>
      <c r="FW51" s="99">
        <v>984</v>
      </c>
      <c r="FX51" s="99">
        <v>961</v>
      </c>
      <c r="FY51" s="99">
        <v>1032</v>
      </c>
      <c r="FZ51" s="99">
        <v>1226</v>
      </c>
      <c r="GA51" s="99">
        <v>1049</v>
      </c>
      <c r="GB51" s="99">
        <v>1054</v>
      </c>
      <c r="GC51" s="99">
        <v>1093</v>
      </c>
      <c r="GD51" s="99">
        <v>1125.9034456153197</v>
      </c>
      <c r="GE51" s="99">
        <v>1271.4165888130683</v>
      </c>
      <c r="GF51" s="99">
        <v>1301.2607047115707</v>
      </c>
      <c r="GG51" s="180">
        <v>1296.1276623818246</v>
      </c>
      <c r="GH51" s="180">
        <v>1232.0494601762309</v>
      </c>
      <c r="GI51" s="180">
        <v>1166.9568736838046</v>
      </c>
      <c r="GJ51" s="180">
        <v>1033.59181337718</v>
      </c>
      <c r="GK51" s="180">
        <v>1217.3972628236925</v>
      </c>
      <c r="GL51" s="181">
        <v>1232.1184972222293</v>
      </c>
      <c r="GM51" s="180">
        <v>1132.9806919598909</v>
      </c>
      <c r="GN51" s="180">
        <v>1149.3992041047084</v>
      </c>
      <c r="GO51" s="180">
        <v>1141.7115621473429</v>
      </c>
      <c r="GP51" s="180">
        <v>1204.4745527525226</v>
      </c>
      <c r="GQ51" s="180">
        <v>1225.1260137477348</v>
      </c>
      <c r="GR51" s="181">
        <v>1085.2536936048682</v>
      </c>
      <c r="GS51" s="180">
        <v>1228.343607486217</v>
      </c>
      <c r="GT51" s="180">
        <v>1244.5999075780062</v>
      </c>
      <c r="GU51" s="180">
        <v>1214.5315550760326</v>
      </c>
      <c r="GV51" s="180">
        <v>1179.2383712232647</v>
      </c>
      <c r="GW51" s="180">
        <v>1222.0009296421447</v>
      </c>
      <c r="GX51" s="180">
        <v>1230.0050485411202</v>
      </c>
      <c r="GY51" s="180">
        <v>1287.7216646266809</v>
      </c>
      <c r="GZ51" s="100">
        <v>617</v>
      </c>
      <c r="HA51" s="100">
        <v>411</v>
      </c>
      <c r="HB51" s="99">
        <v>407</v>
      </c>
      <c r="HC51" s="99">
        <v>445</v>
      </c>
      <c r="HD51" s="99">
        <v>455</v>
      </c>
      <c r="HE51" s="99">
        <v>501</v>
      </c>
      <c r="HF51" s="100">
        <v>595</v>
      </c>
      <c r="HG51" s="99">
        <v>694</v>
      </c>
      <c r="HH51" s="99">
        <v>673</v>
      </c>
      <c r="HI51" s="99">
        <v>762</v>
      </c>
      <c r="HJ51" s="99">
        <v>756</v>
      </c>
      <c r="HK51" s="99">
        <v>822</v>
      </c>
      <c r="HL51" s="99">
        <v>1004</v>
      </c>
      <c r="HM51" s="99">
        <v>1194</v>
      </c>
      <c r="HN51" s="99">
        <v>1236</v>
      </c>
      <c r="HO51" s="99">
        <v>1290</v>
      </c>
      <c r="HP51" s="99">
        <v>1434</v>
      </c>
      <c r="HQ51" s="99">
        <v>1617</v>
      </c>
      <c r="HR51" s="99">
        <v>1812</v>
      </c>
      <c r="HS51" s="99">
        <v>2348</v>
      </c>
      <c r="HT51" s="99">
        <v>2520</v>
      </c>
      <c r="HU51" s="99">
        <v>2666</v>
      </c>
      <c r="HV51" s="180">
        <v>2885.3288973118388</v>
      </c>
      <c r="HW51" s="180">
        <v>3073.6199880118065</v>
      </c>
      <c r="HX51" s="180">
        <v>3114.9030825279769</v>
      </c>
      <c r="HY51" s="180">
        <v>3191.4511921097824</v>
      </c>
      <c r="HZ51" s="180">
        <v>3561.8792618627717</v>
      </c>
      <c r="IA51" s="181">
        <v>3728.5999646630385</v>
      </c>
      <c r="IB51" s="180">
        <v>4052.7033689793998</v>
      </c>
      <c r="IC51" s="180">
        <v>4131.0932031321454</v>
      </c>
      <c r="ID51" s="180">
        <v>4295.4839526012202</v>
      </c>
      <c r="IE51" s="180">
        <v>4415.6479592253681</v>
      </c>
      <c r="IF51" s="180">
        <v>4695.0780967707597</v>
      </c>
      <c r="IG51" s="181">
        <v>4364.3046869226009</v>
      </c>
      <c r="IH51" s="180">
        <v>4893.276311844199</v>
      </c>
      <c r="II51" s="180">
        <v>4924.846881138832</v>
      </c>
      <c r="IJ51" s="180">
        <v>4505.628652398982</v>
      </c>
      <c r="IK51" s="180">
        <v>4153.404528982408</v>
      </c>
      <c r="IL51" s="180">
        <v>4344.1525907140485</v>
      </c>
      <c r="IM51" s="180">
        <v>4442.1224713722804</v>
      </c>
      <c r="IN51" s="180">
        <v>4729.8552971091312</v>
      </c>
      <c r="IO51" s="100">
        <v>15712</v>
      </c>
      <c r="IP51" s="100">
        <v>16189</v>
      </c>
      <c r="IQ51" s="99">
        <v>15680</v>
      </c>
      <c r="IR51" s="99">
        <v>16574</v>
      </c>
      <c r="IS51" s="99">
        <v>16602</v>
      </c>
      <c r="IT51" s="99">
        <v>17174</v>
      </c>
      <c r="IU51" s="100">
        <v>18047</v>
      </c>
      <c r="IV51" s="99">
        <v>18685</v>
      </c>
      <c r="IW51" s="99">
        <v>18215</v>
      </c>
      <c r="IX51" s="99">
        <v>17619</v>
      </c>
      <c r="IY51" s="99">
        <v>17851</v>
      </c>
      <c r="IZ51" s="99">
        <v>17963</v>
      </c>
      <c r="JA51" s="99">
        <v>17798</v>
      </c>
      <c r="JB51" s="99">
        <v>17242</v>
      </c>
      <c r="JC51" s="99">
        <v>16931</v>
      </c>
      <c r="JD51" s="99">
        <v>16800</v>
      </c>
      <c r="JE51" s="99">
        <v>16969</v>
      </c>
      <c r="JF51" s="99">
        <v>16275</v>
      </c>
      <c r="JG51" s="99">
        <v>15921</v>
      </c>
      <c r="JH51" s="99">
        <v>16223.262461987253</v>
      </c>
      <c r="JI51" s="99">
        <v>15920.542422492668</v>
      </c>
      <c r="JJ51" s="99">
        <v>15811.090534683406</v>
      </c>
      <c r="JK51" s="180">
        <v>15464.46318669331</v>
      </c>
      <c r="JL51" s="180">
        <v>15288.917289749152</v>
      </c>
      <c r="JM51" s="180">
        <v>15395.811097304231</v>
      </c>
      <c r="JN51" s="180">
        <v>15250.311685288114</v>
      </c>
      <c r="JO51" s="180">
        <v>15703.166570661735</v>
      </c>
      <c r="JP51" s="181">
        <v>15760.086768857365</v>
      </c>
      <c r="JQ51" s="180">
        <v>16000.701476757851</v>
      </c>
      <c r="JR51" s="180">
        <v>16100.771692464677</v>
      </c>
      <c r="JS51" s="180">
        <v>16433.326339092146</v>
      </c>
      <c r="JT51" s="180">
        <v>16208.731783898462</v>
      </c>
      <c r="JU51" s="180">
        <v>16284.772528105559</v>
      </c>
      <c r="JV51" s="181">
        <v>15526.410225279076</v>
      </c>
      <c r="JW51" s="180">
        <v>15901.395598903</v>
      </c>
      <c r="JX51" s="180">
        <v>15874.462922374225</v>
      </c>
      <c r="JY51" s="180">
        <v>15408.415552246215</v>
      </c>
      <c r="JZ51" s="180">
        <v>15432.522938137041</v>
      </c>
      <c r="KA51" s="180">
        <v>15272.256792946824</v>
      </c>
      <c r="KB51" s="180">
        <v>15368.953834331665</v>
      </c>
      <c r="KC51" s="180">
        <v>15570.255929675384</v>
      </c>
    </row>
    <row r="52" spans="1:289">
      <c r="A52" s="175" t="s">
        <v>73</v>
      </c>
      <c r="B52" s="100">
        <v>7438</v>
      </c>
      <c r="C52" s="100">
        <v>7310</v>
      </c>
      <c r="D52" s="99">
        <v>7522</v>
      </c>
      <c r="E52" s="99">
        <v>7817</v>
      </c>
      <c r="F52" s="99">
        <v>8027</v>
      </c>
      <c r="G52" s="99">
        <v>8025</v>
      </c>
      <c r="H52" s="100">
        <v>8193</v>
      </c>
      <c r="I52" s="99">
        <v>8388</v>
      </c>
      <c r="J52" s="99">
        <v>8606</v>
      </c>
      <c r="K52" s="99">
        <v>8445</v>
      </c>
      <c r="L52" s="99">
        <v>8114</v>
      </c>
      <c r="M52" s="99">
        <v>8169</v>
      </c>
      <c r="N52" s="99">
        <v>7888</v>
      </c>
      <c r="O52" s="99">
        <v>7555</v>
      </c>
      <c r="P52" s="99">
        <v>7192</v>
      </c>
      <c r="Q52" s="99">
        <v>7159</v>
      </c>
      <c r="R52" s="99">
        <v>6999</v>
      </c>
      <c r="S52" s="99">
        <v>7232</v>
      </c>
      <c r="T52" s="99">
        <v>7155</v>
      </c>
      <c r="U52" s="99">
        <v>7156</v>
      </c>
      <c r="V52" s="99">
        <v>6942</v>
      </c>
      <c r="W52" s="99">
        <v>6900</v>
      </c>
      <c r="X52" s="546">
        <v>6830</v>
      </c>
      <c r="Y52" s="180">
        <v>6961.0739589861951</v>
      </c>
      <c r="Z52" s="180">
        <v>7005.9076661544168</v>
      </c>
      <c r="AA52" s="180">
        <v>7101.1730194456404</v>
      </c>
      <c r="AB52" s="180">
        <v>7141.0874755957466</v>
      </c>
      <c r="AC52" s="180">
        <v>6996.1696223409681</v>
      </c>
      <c r="AD52" s="181">
        <v>7339.2122222152211</v>
      </c>
      <c r="AE52" s="180">
        <v>7479.5564335416611</v>
      </c>
      <c r="AF52" s="180">
        <v>7778.6406361675918</v>
      </c>
      <c r="AG52" s="180">
        <v>8267.6903216699047</v>
      </c>
      <c r="AH52" s="180">
        <v>8432.4856832903024</v>
      </c>
      <c r="AI52" s="180">
        <v>9204.3750724699657</v>
      </c>
      <c r="AJ52" s="181">
        <v>9498.9164232946005</v>
      </c>
      <c r="AK52" s="180">
        <v>9282.9057831706286</v>
      </c>
      <c r="AL52" s="180">
        <v>9353.141360498108</v>
      </c>
      <c r="AM52" s="180">
        <v>9501.6116350300654</v>
      </c>
      <c r="AN52" s="180">
        <v>10007.940164712296</v>
      </c>
      <c r="AO52" s="180">
        <v>10607.139408673866</v>
      </c>
      <c r="AP52" s="180">
        <v>11082.490690549355</v>
      </c>
      <c r="AQ52" s="180">
        <v>11727.287545095402</v>
      </c>
      <c r="AR52" s="533">
        <f t="shared" si="131"/>
        <v>341.2197640064129</v>
      </c>
      <c r="AS52" s="534">
        <f t="shared" si="132"/>
        <v>329</v>
      </c>
      <c r="AT52" s="534">
        <f t="shared" si="133"/>
        <v>357</v>
      </c>
      <c r="AU52" s="534">
        <f t="shared" si="134"/>
        <v>353</v>
      </c>
      <c r="AV52" s="534">
        <f t="shared" si="135"/>
        <v>378</v>
      </c>
      <c r="AW52" s="534">
        <f t="shared" si="136"/>
        <v>355</v>
      </c>
      <c r="AX52" s="534">
        <f t="shared" si="137"/>
        <v>385</v>
      </c>
      <c r="AY52" s="534">
        <f t="shared" si="138"/>
        <v>380</v>
      </c>
      <c r="AZ52" s="534">
        <f t="shared" si="139"/>
        <v>440</v>
      </c>
      <c r="BA52" s="534">
        <f t="shared" si="140"/>
        <v>421</v>
      </c>
      <c r="BB52" s="534">
        <f t="shared" si="141"/>
        <v>424</v>
      </c>
      <c r="BC52" s="534">
        <f t="shared" si="142"/>
        <v>489</v>
      </c>
      <c r="BD52" s="534">
        <f t="shared" si="143"/>
        <v>483</v>
      </c>
      <c r="BE52" s="534">
        <f t="shared" si="144"/>
        <v>504</v>
      </c>
      <c r="BF52" s="534">
        <f t="shared" si="145"/>
        <v>430</v>
      </c>
      <c r="BG52" s="534">
        <f t="shared" si="146"/>
        <v>475</v>
      </c>
      <c r="BH52" s="534">
        <f t="shared" si="147"/>
        <v>412</v>
      </c>
      <c r="BI52" s="534">
        <f t="shared" si="148"/>
        <v>498</v>
      </c>
      <c r="BJ52" s="534">
        <f t="shared" si="149"/>
        <v>565</v>
      </c>
      <c r="BK52" s="534">
        <f t="shared" si="150"/>
        <v>570.7688636246894</v>
      </c>
      <c r="BL52" s="534">
        <f t="shared" si="151"/>
        <v>552.37077393808715</v>
      </c>
      <c r="BM52" s="534">
        <f t="shared" si="152"/>
        <v>522.47109476934463</v>
      </c>
      <c r="BN52" s="186">
        <f t="shared" si="153"/>
        <v>531.82259966716003</v>
      </c>
      <c r="BO52" s="186">
        <f t="shared" si="154"/>
        <v>578.8390375322009</v>
      </c>
      <c r="BP52" s="186">
        <f t="shared" si="155"/>
        <v>582.96582293343499</v>
      </c>
      <c r="BQ52" s="186">
        <f t="shared" si="156"/>
        <v>569.79451295374145</v>
      </c>
      <c r="BR52" s="186">
        <f t="shared" si="157"/>
        <v>586.17219164945152</v>
      </c>
      <c r="BS52" s="186">
        <f t="shared" si="158"/>
        <v>662.48165794272848</v>
      </c>
      <c r="BT52" s="186">
        <f t="shared" si="159"/>
        <v>708.98655906663384</v>
      </c>
      <c r="BU52" s="186">
        <f t="shared" si="160"/>
        <v>708.36066413206618</v>
      </c>
      <c r="BV52" s="186">
        <f t="shared" si="161"/>
        <v>782.98834867858329</v>
      </c>
      <c r="BW52" s="186">
        <f t="shared" si="162"/>
        <v>762.2122388367336</v>
      </c>
      <c r="BX52" s="186">
        <f t="shared" si="163"/>
        <v>798.52142257337925</v>
      </c>
      <c r="BY52" s="186">
        <f t="shared" si="164"/>
        <v>828.05995755977506</v>
      </c>
      <c r="BZ52" s="186">
        <f t="shared" si="165"/>
        <v>817.26953098840272</v>
      </c>
      <c r="CA52" s="186">
        <f t="shared" si="166"/>
        <v>884.13617521248034</v>
      </c>
      <c r="CB52" s="186">
        <f t="shared" si="167"/>
        <v>922.14818453441831</v>
      </c>
      <c r="CC52" s="186">
        <f t="shared" si="168"/>
        <v>928.04366681362262</v>
      </c>
      <c r="CD52" s="186">
        <f t="shared" si="169"/>
        <v>1032.437424107196</v>
      </c>
      <c r="CE52" s="186">
        <f t="shared" si="170"/>
        <v>1120.8303578977529</v>
      </c>
      <c r="CF52" s="186">
        <f t="shared" si="171"/>
        <v>1280.0192619442903</v>
      </c>
      <c r="CG52" s="100">
        <v>280.52072147064086</v>
      </c>
      <c r="CH52" s="100">
        <v>271</v>
      </c>
      <c r="CI52" s="99">
        <v>297</v>
      </c>
      <c r="CJ52" s="99">
        <v>286</v>
      </c>
      <c r="CK52" s="99">
        <v>323</v>
      </c>
      <c r="CL52" s="99">
        <v>317</v>
      </c>
      <c r="CM52" s="100">
        <v>330</v>
      </c>
      <c r="CN52" s="99">
        <v>323</v>
      </c>
      <c r="CO52" s="99">
        <v>388</v>
      </c>
      <c r="CP52" s="99">
        <v>373</v>
      </c>
      <c r="CQ52" s="99">
        <v>362</v>
      </c>
      <c r="CR52" s="99">
        <v>421</v>
      </c>
      <c r="CS52" s="99">
        <v>417</v>
      </c>
      <c r="CT52" s="99">
        <v>442</v>
      </c>
      <c r="CU52" s="99">
        <v>374</v>
      </c>
      <c r="CV52" s="99">
        <v>413</v>
      </c>
      <c r="CW52" s="99">
        <v>357</v>
      </c>
      <c r="CX52" s="99">
        <v>423</v>
      </c>
      <c r="CY52" s="99">
        <v>489</v>
      </c>
      <c r="CZ52" s="99">
        <v>484.51199757702284</v>
      </c>
      <c r="DA52" s="99">
        <v>448.15388853760851</v>
      </c>
      <c r="DB52" s="99">
        <v>419.02872596409259</v>
      </c>
      <c r="DC52" s="180">
        <v>403.52869033150779</v>
      </c>
      <c r="DD52" s="180">
        <v>447.07262713659168</v>
      </c>
      <c r="DE52" s="180">
        <v>432.80716773711072</v>
      </c>
      <c r="DF52" s="180">
        <v>412.47067949935536</v>
      </c>
      <c r="DG52" s="180">
        <v>418.61228542709733</v>
      </c>
      <c r="DH52" s="181">
        <v>467.29784160117754</v>
      </c>
      <c r="DI52" s="180">
        <v>452.88204339227184</v>
      </c>
      <c r="DJ52" s="180">
        <v>440.74348177979113</v>
      </c>
      <c r="DK52" s="180">
        <v>484.52397501895501</v>
      </c>
      <c r="DL52" s="180">
        <v>490.16038782188724</v>
      </c>
      <c r="DM52" s="180">
        <v>480.87610206890952</v>
      </c>
      <c r="DN52" s="181">
        <v>498.04465520861112</v>
      </c>
      <c r="DO52" s="180">
        <v>499.31998244743346</v>
      </c>
      <c r="DP52" s="180">
        <v>494.62074196252763</v>
      </c>
      <c r="DQ52" s="180">
        <v>465.09921246719807</v>
      </c>
      <c r="DR52" s="180">
        <v>488.27746219297904</v>
      </c>
      <c r="DS52" s="180">
        <v>491.56285455401041</v>
      </c>
      <c r="DT52" s="180">
        <v>465.523189226966</v>
      </c>
      <c r="DU52" s="180">
        <v>482.40385244337892</v>
      </c>
      <c r="DV52" s="100">
        <v>60.699042535772044</v>
      </c>
      <c r="DW52" s="100">
        <v>58</v>
      </c>
      <c r="DX52" s="99">
        <v>60</v>
      </c>
      <c r="DY52" s="99">
        <v>67</v>
      </c>
      <c r="DZ52" s="99">
        <v>55</v>
      </c>
      <c r="EA52" s="99">
        <v>38</v>
      </c>
      <c r="EB52" s="100">
        <v>55</v>
      </c>
      <c r="EC52" s="99">
        <v>57</v>
      </c>
      <c r="ED52" s="99">
        <v>52</v>
      </c>
      <c r="EE52" s="99">
        <v>48</v>
      </c>
      <c r="EF52" s="99">
        <v>62</v>
      </c>
      <c r="EG52" s="99">
        <v>68</v>
      </c>
      <c r="EH52" s="99">
        <v>66</v>
      </c>
      <c r="EI52" s="99">
        <v>62</v>
      </c>
      <c r="EJ52" s="99">
        <v>56</v>
      </c>
      <c r="EK52" s="99">
        <v>62</v>
      </c>
      <c r="EL52" s="99">
        <v>55</v>
      </c>
      <c r="EM52" s="99">
        <v>75</v>
      </c>
      <c r="EN52" s="99">
        <v>76</v>
      </c>
      <c r="EO52" s="99">
        <v>86.256866047666563</v>
      </c>
      <c r="EP52" s="99">
        <v>104.21688540047862</v>
      </c>
      <c r="EQ52" s="99">
        <v>103.442368805252</v>
      </c>
      <c r="ER52" s="180">
        <v>128.29390933565227</v>
      </c>
      <c r="ES52" s="180">
        <v>131.76641039560923</v>
      </c>
      <c r="ET52" s="180">
        <v>150.15865519632428</v>
      </c>
      <c r="EU52" s="180">
        <v>157.32383345438609</v>
      </c>
      <c r="EV52" s="180">
        <v>167.55990622235421</v>
      </c>
      <c r="EW52" s="181">
        <v>195.18381634155097</v>
      </c>
      <c r="EX52" s="180">
        <v>256.10451567436206</v>
      </c>
      <c r="EY52" s="180">
        <v>267.61718235227505</v>
      </c>
      <c r="EZ52" s="180">
        <v>298.46437365962828</v>
      </c>
      <c r="FA52" s="180">
        <v>272.05185101484631</v>
      </c>
      <c r="FB52" s="180">
        <v>317.64532050446974</v>
      </c>
      <c r="FC52" s="181">
        <v>330.015302351164</v>
      </c>
      <c r="FD52" s="180">
        <v>317.94954854096932</v>
      </c>
      <c r="FE52" s="180">
        <v>389.51543324995271</v>
      </c>
      <c r="FF52" s="180">
        <v>457.04897206722029</v>
      </c>
      <c r="FG52" s="180">
        <v>439.76620462064352</v>
      </c>
      <c r="FH52" s="180">
        <v>540.87456955318544</v>
      </c>
      <c r="FI52" s="180">
        <v>655.30716867078684</v>
      </c>
      <c r="FJ52" s="180">
        <v>797.61540950091137</v>
      </c>
      <c r="FK52" s="100">
        <v>50.641529723198452</v>
      </c>
      <c r="FL52" s="100">
        <v>39</v>
      </c>
      <c r="FM52" s="99">
        <v>50</v>
      </c>
      <c r="FN52" s="99">
        <v>66</v>
      </c>
      <c r="FO52" s="99">
        <v>51</v>
      </c>
      <c r="FP52" s="99">
        <v>42</v>
      </c>
      <c r="FQ52" s="100">
        <v>39</v>
      </c>
      <c r="FR52" s="99">
        <v>47</v>
      </c>
      <c r="FS52" s="99">
        <v>58</v>
      </c>
      <c r="FT52" s="99">
        <v>47</v>
      </c>
      <c r="FU52" s="99">
        <v>58</v>
      </c>
      <c r="FV52" s="99">
        <v>54</v>
      </c>
      <c r="FW52" s="99">
        <v>69</v>
      </c>
      <c r="FX52" s="99">
        <v>68</v>
      </c>
      <c r="FY52" s="99">
        <v>62</v>
      </c>
      <c r="FZ52" s="99">
        <v>74</v>
      </c>
      <c r="GA52" s="99">
        <v>98</v>
      </c>
      <c r="GB52" s="99">
        <v>138</v>
      </c>
      <c r="GC52" s="99">
        <v>136</v>
      </c>
      <c r="GD52" s="99">
        <v>126.4332666590863</v>
      </c>
      <c r="GE52" s="99">
        <v>159.34304877159184</v>
      </c>
      <c r="GF52" s="99">
        <v>164.67826557218149</v>
      </c>
      <c r="GG52" s="180">
        <v>194.04368848087415</v>
      </c>
      <c r="GH52" s="180">
        <v>240.29807067923974</v>
      </c>
      <c r="GI52" s="180">
        <v>245.70546264769069</v>
      </c>
      <c r="GJ52" s="180">
        <v>277.86652937916438</v>
      </c>
      <c r="GK52" s="180">
        <v>324.77867197491764</v>
      </c>
      <c r="GL52" s="181">
        <v>314.36682454560219</v>
      </c>
      <c r="GM52" s="180">
        <v>387.40697500708382</v>
      </c>
      <c r="GN52" s="180">
        <v>398.10751239281842</v>
      </c>
      <c r="GO52" s="180">
        <v>475.40205736262425</v>
      </c>
      <c r="GP52" s="180">
        <v>527.70683042921712</v>
      </c>
      <c r="GQ52" s="180">
        <v>565.78633445570244</v>
      </c>
      <c r="GR52" s="181">
        <v>635.16622016479334</v>
      </c>
      <c r="GS52" s="180">
        <v>687.45586839001498</v>
      </c>
      <c r="GT52" s="180">
        <v>765.89202730279476</v>
      </c>
      <c r="GU52" s="180">
        <v>874.33178205059164</v>
      </c>
      <c r="GV52" s="180">
        <v>961.4176527263761</v>
      </c>
      <c r="GW52" s="180">
        <v>1176.7682453767156</v>
      </c>
      <c r="GX52" s="180">
        <v>1469.6366517569797</v>
      </c>
      <c r="GY52" s="180">
        <v>2023.8069847674908</v>
      </c>
      <c r="GZ52" s="100">
        <v>45.218968699072931</v>
      </c>
      <c r="HA52" s="100">
        <v>41</v>
      </c>
      <c r="HB52" s="99">
        <v>44</v>
      </c>
      <c r="HC52" s="99">
        <v>53</v>
      </c>
      <c r="HD52" s="99">
        <v>42</v>
      </c>
      <c r="HE52" s="99">
        <v>42</v>
      </c>
      <c r="HF52" s="100">
        <v>58</v>
      </c>
      <c r="HG52" s="99">
        <v>55</v>
      </c>
      <c r="HH52" s="99">
        <v>68</v>
      </c>
      <c r="HI52" s="99">
        <v>54</v>
      </c>
      <c r="HJ52" s="99">
        <v>68</v>
      </c>
      <c r="HK52" s="99">
        <v>73</v>
      </c>
      <c r="HL52" s="99">
        <v>83</v>
      </c>
      <c r="HM52" s="99">
        <v>76</v>
      </c>
      <c r="HN52" s="99">
        <v>63</v>
      </c>
      <c r="HO52" s="99">
        <v>68</v>
      </c>
      <c r="HP52" s="99">
        <v>79</v>
      </c>
      <c r="HQ52" s="99">
        <v>89</v>
      </c>
      <c r="HR52" s="99">
        <v>90</v>
      </c>
      <c r="HS52" s="99">
        <v>111</v>
      </c>
      <c r="HT52" s="99">
        <v>114</v>
      </c>
      <c r="HU52" s="99">
        <v>134</v>
      </c>
      <c r="HV52" s="180">
        <v>149.45633562453997</v>
      </c>
      <c r="HW52" s="180">
        <v>187.43941540864429</v>
      </c>
      <c r="HX52" s="180">
        <v>203.9547403381261</v>
      </c>
      <c r="HY52" s="180">
        <v>217.87842875175977</v>
      </c>
      <c r="HZ52" s="180">
        <v>251.73287534674654</v>
      </c>
      <c r="IA52" s="181">
        <v>323.63465030287307</v>
      </c>
      <c r="IB52" s="180">
        <v>304.21800501424934</v>
      </c>
      <c r="IC52" s="180">
        <v>345.23711040135828</v>
      </c>
      <c r="ID52" s="180">
        <v>417.71606422737995</v>
      </c>
      <c r="IE52" s="180">
        <v>490.31639667986337</v>
      </c>
      <c r="IF52" s="180">
        <v>575.78514946097664</v>
      </c>
      <c r="IG52" s="181">
        <v>659.8167064934571</v>
      </c>
      <c r="IH52" s="180">
        <v>668.46469690031211</v>
      </c>
      <c r="II52" s="180">
        <v>764.73157429574144</v>
      </c>
      <c r="IJ52" s="180">
        <v>748.71372754253309</v>
      </c>
      <c r="IK52" s="180">
        <v>740.58346063708461</v>
      </c>
      <c r="IL52" s="180">
        <v>913.38580477485903</v>
      </c>
      <c r="IM52" s="180">
        <v>1056.7655502082703</v>
      </c>
      <c r="IN52" s="180">
        <v>1166.2656537420792</v>
      </c>
      <c r="IO52" s="100">
        <v>7000.9197375713156</v>
      </c>
      <c r="IP52" s="100">
        <v>6901</v>
      </c>
      <c r="IQ52" s="99">
        <v>7071</v>
      </c>
      <c r="IR52" s="99">
        <v>7345</v>
      </c>
      <c r="IS52" s="99">
        <v>7556</v>
      </c>
      <c r="IT52" s="99">
        <v>7586</v>
      </c>
      <c r="IU52" s="100">
        <v>7711</v>
      </c>
      <c r="IV52" s="99">
        <v>7906</v>
      </c>
      <c r="IW52" s="99">
        <v>8040</v>
      </c>
      <c r="IX52" s="99">
        <v>7923</v>
      </c>
      <c r="IY52" s="99">
        <v>7564</v>
      </c>
      <c r="IZ52" s="99">
        <v>7553</v>
      </c>
      <c r="JA52" s="99">
        <v>7253</v>
      </c>
      <c r="JB52" s="99">
        <v>6907</v>
      </c>
      <c r="JC52" s="99">
        <v>6637</v>
      </c>
      <c r="JD52" s="99">
        <v>6542</v>
      </c>
      <c r="JE52" s="99">
        <v>6410</v>
      </c>
      <c r="JF52" s="99">
        <v>6507</v>
      </c>
      <c r="JG52" s="99">
        <v>6364</v>
      </c>
      <c r="JH52" s="99">
        <v>6347.7978697162243</v>
      </c>
      <c r="JI52" s="99">
        <v>6116.2861772903207</v>
      </c>
      <c r="JJ52" s="99">
        <v>6078.8506396584735</v>
      </c>
      <c r="JK52" s="180">
        <v>6089.161344268281</v>
      </c>
      <c r="JL52" s="180">
        <v>5996.2720362277769</v>
      </c>
      <c r="JM52" s="180">
        <v>6080.2836682245361</v>
      </c>
      <c r="JN52" s="180">
        <v>6116.2049323223991</v>
      </c>
      <c r="JO52" s="180">
        <v>5885.1444389802809</v>
      </c>
      <c r="JP52" s="181">
        <v>6084.8727031331664</v>
      </c>
      <c r="JQ52" s="180">
        <v>6191.0461051750644</v>
      </c>
      <c r="JR52" s="180">
        <v>6467.6409347789804</v>
      </c>
      <c r="JS52" s="180">
        <v>6777.8978810334411</v>
      </c>
      <c r="JT52" s="180">
        <v>6866.4553705059752</v>
      </c>
      <c r="JU52" s="180">
        <v>7560.0994958559577</v>
      </c>
      <c r="JV52" s="181">
        <v>7736.3244938219405</v>
      </c>
      <c r="JW52" s="180">
        <v>7552.3682286801259</v>
      </c>
      <c r="JX52" s="180">
        <v>7549.1130246678367</v>
      </c>
      <c r="JY52" s="180">
        <v>7703.9230557019182</v>
      </c>
      <c r="JZ52" s="180">
        <v>8017.5507731071375</v>
      </c>
      <c r="KA52" s="180">
        <v>8426.1487243057036</v>
      </c>
      <c r="KB52" s="180">
        <v>8769.2007337694395</v>
      </c>
      <c r="KC52" s="180">
        <v>9287.7385312179249</v>
      </c>
    </row>
    <row r="53" spans="1:289">
      <c r="A53" s="175" t="s">
        <v>74</v>
      </c>
      <c r="B53" s="100">
        <v>104522</v>
      </c>
      <c r="C53" s="100">
        <v>107939.78950640639</v>
      </c>
      <c r="D53" s="99">
        <v>99213.858677683849</v>
      </c>
      <c r="E53" s="99">
        <v>99196.57319413207</v>
      </c>
      <c r="F53" s="99">
        <v>101026</v>
      </c>
      <c r="G53" s="99">
        <v>107422</v>
      </c>
      <c r="H53" s="100">
        <v>111211</v>
      </c>
      <c r="I53" s="99">
        <v>111735</v>
      </c>
      <c r="J53" s="99">
        <v>112477</v>
      </c>
      <c r="K53" s="99">
        <v>111281</v>
      </c>
      <c r="L53" s="99">
        <v>110608</v>
      </c>
      <c r="M53" s="99">
        <v>115762</v>
      </c>
      <c r="N53" s="99">
        <v>119029</v>
      </c>
      <c r="O53" s="99">
        <v>116702</v>
      </c>
      <c r="P53" s="99">
        <v>117356</v>
      </c>
      <c r="Q53" s="99">
        <v>117658</v>
      </c>
      <c r="R53" s="99">
        <v>120758</v>
      </c>
      <c r="S53" s="99">
        <v>122203</v>
      </c>
      <c r="T53" s="99">
        <v>123437</v>
      </c>
      <c r="U53" s="99">
        <v>124229</v>
      </c>
      <c r="V53" s="99">
        <v>123135</v>
      </c>
      <c r="W53" s="99">
        <v>122491</v>
      </c>
      <c r="X53" s="546">
        <v>119930</v>
      </c>
      <c r="Y53" s="180">
        <v>112868.92813851158</v>
      </c>
      <c r="Z53" s="180">
        <v>110724.07095076228</v>
      </c>
      <c r="AA53" s="180">
        <v>114949.1459781915</v>
      </c>
      <c r="AB53" s="180">
        <v>112922.67540876346</v>
      </c>
      <c r="AC53" s="180">
        <v>114841.69472808286</v>
      </c>
      <c r="AD53" s="181">
        <v>113296.49291838186</v>
      </c>
      <c r="AE53" s="180">
        <v>111007.0006470941</v>
      </c>
      <c r="AF53" s="180">
        <v>110638.7327886984</v>
      </c>
      <c r="AG53" s="180">
        <v>109886.54829179081</v>
      </c>
      <c r="AH53" s="180">
        <v>109194.63769230283</v>
      </c>
      <c r="AI53" s="180">
        <v>109831.08561710309</v>
      </c>
      <c r="AJ53" s="181">
        <v>110767.0680121622</v>
      </c>
      <c r="AK53" s="180">
        <v>109380.32889787939</v>
      </c>
      <c r="AL53" s="180">
        <v>106394.24073093411</v>
      </c>
      <c r="AM53" s="180">
        <v>102116.13952332911</v>
      </c>
      <c r="AN53" s="180">
        <v>101168.48264040488</v>
      </c>
      <c r="AO53" s="180">
        <v>101655.50223831792</v>
      </c>
      <c r="AP53" s="180">
        <v>102004.55801302906</v>
      </c>
      <c r="AQ53" s="180">
        <v>102381.91177240461</v>
      </c>
      <c r="AR53" s="533">
        <f t="shared" si="131"/>
        <v>1119</v>
      </c>
      <c r="AS53" s="534">
        <f t="shared" si="132"/>
        <v>1413</v>
      </c>
      <c r="AT53" s="534">
        <f t="shared" si="133"/>
        <v>1258.231843508669</v>
      </c>
      <c r="AU53" s="534">
        <f t="shared" si="134"/>
        <v>1211</v>
      </c>
      <c r="AV53" s="534">
        <f t="shared" si="135"/>
        <v>1333</v>
      </c>
      <c r="AW53" s="534">
        <f t="shared" si="136"/>
        <v>1389</v>
      </c>
      <c r="AX53" s="534">
        <f t="shared" si="137"/>
        <v>1459</v>
      </c>
      <c r="AY53" s="534">
        <f t="shared" si="138"/>
        <v>1502</v>
      </c>
      <c r="AZ53" s="534">
        <f t="shared" si="139"/>
        <v>1546</v>
      </c>
      <c r="BA53" s="534">
        <f t="shared" si="140"/>
        <v>1632</v>
      </c>
      <c r="BB53" s="534">
        <f t="shared" si="141"/>
        <v>1668</v>
      </c>
      <c r="BC53" s="534">
        <f t="shared" si="142"/>
        <v>1650</v>
      </c>
      <c r="BD53" s="534">
        <f t="shared" si="143"/>
        <v>1780</v>
      </c>
      <c r="BE53" s="534">
        <f t="shared" si="144"/>
        <v>1854</v>
      </c>
      <c r="BF53" s="534">
        <f t="shared" si="145"/>
        <v>1771</v>
      </c>
      <c r="BG53" s="534">
        <f t="shared" si="146"/>
        <v>1789</v>
      </c>
      <c r="BH53" s="534">
        <f t="shared" si="147"/>
        <v>1909</v>
      </c>
      <c r="BI53" s="534">
        <f t="shared" si="148"/>
        <v>2023</v>
      </c>
      <c r="BJ53" s="534">
        <f t="shared" si="149"/>
        <v>1860</v>
      </c>
      <c r="BK53" s="534">
        <f t="shared" si="150"/>
        <v>2104.4982872428222</v>
      </c>
      <c r="BL53" s="534">
        <f t="shared" si="151"/>
        <v>2243.6911533317038</v>
      </c>
      <c r="BM53" s="534">
        <f t="shared" si="152"/>
        <v>2325.0461395687157</v>
      </c>
      <c r="BN53" s="186">
        <f t="shared" si="153"/>
        <v>2379.8852354895776</v>
      </c>
      <c r="BO53" s="186">
        <f t="shared" si="154"/>
        <v>2427.9680681808813</v>
      </c>
      <c r="BP53" s="186">
        <f t="shared" si="155"/>
        <v>2719.7128000688349</v>
      </c>
      <c r="BQ53" s="186">
        <f t="shared" si="156"/>
        <v>2799.683724629384</v>
      </c>
      <c r="BR53" s="186">
        <f t="shared" si="157"/>
        <v>2991.5724772301605</v>
      </c>
      <c r="BS53" s="186">
        <f t="shared" si="158"/>
        <v>2979.779529652677</v>
      </c>
      <c r="BT53" s="186">
        <f t="shared" si="159"/>
        <v>3162.9821415421393</v>
      </c>
      <c r="BU53" s="186">
        <f t="shared" si="160"/>
        <v>3318.9187814628062</v>
      </c>
      <c r="BV53" s="186">
        <f t="shared" si="161"/>
        <v>3397.4128491857723</v>
      </c>
      <c r="BW53" s="186">
        <f t="shared" si="162"/>
        <v>3494.9567785370818</v>
      </c>
      <c r="BX53" s="186">
        <f t="shared" si="163"/>
        <v>3424.7132106725903</v>
      </c>
      <c r="BY53" s="186">
        <f t="shared" si="164"/>
        <v>3607.1280982604972</v>
      </c>
      <c r="BZ53" s="186">
        <f t="shared" si="165"/>
        <v>3735.0811872102845</v>
      </c>
      <c r="CA53" s="186">
        <f t="shared" si="166"/>
        <v>3575.0657827081482</v>
      </c>
      <c r="CB53" s="186">
        <f t="shared" si="167"/>
        <v>3684.3093653019391</v>
      </c>
      <c r="CC53" s="186">
        <f t="shared" si="168"/>
        <v>3586.6155108292651</v>
      </c>
      <c r="CD53" s="186">
        <f t="shared" si="169"/>
        <v>3950.2784383289109</v>
      </c>
      <c r="CE53" s="186">
        <f t="shared" si="170"/>
        <v>3958.5314251925024</v>
      </c>
      <c r="CF53" s="186">
        <f t="shared" si="171"/>
        <v>4279.4883857595687</v>
      </c>
      <c r="CG53" s="100">
        <v>80</v>
      </c>
      <c r="CH53" s="100">
        <v>112</v>
      </c>
      <c r="CI53" s="99">
        <v>104.50287026406431</v>
      </c>
      <c r="CJ53" s="99">
        <v>99</v>
      </c>
      <c r="CK53" s="99">
        <v>110</v>
      </c>
      <c r="CL53" s="99">
        <v>120</v>
      </c>
      <c r="CM53" s="100">
        <v>116</v>
      </c>
      <c r="CN53" s="99">
        <v>112</v>
      </c>
      <c r="CO53" s="99">
        <v>102</v>
      </c>
      <c r="CP53" s="99">
        <v>123</v>
      </c>
      <c r="CQ53" s="99">
        <v>100</v>
      </c>
      <c r="CR53" s="99">
        <v>117</v>
      </c>
      <c r="CS53" s="99">
        <v>132</v>
      </c>
      <c r="CT53" s="99">
        <v>128</v>
      </c>
      <c r="CU53" s="99">
        <v>130</v>
      </c>
      <c r="CV53" s="99">
        <v>137</v>
      </c>
      <c r="CW53" s="99">
        <v>160</v>
      </c>
      <c r="CX53" s="99">
        <v>188</v>
      </c>
      <c r="CY53" s="99">
        <v>165</v>
      </c>
      <c r="CZ53" s="99">
        <v>184.71493505912468</v>
      </c>
      <c r="DA53" s="99">
        <v>179.16619410139506</v>
      </c>
      <c r="DB53" s="99">
        <v>159.55627109566336</v>
      </c>
      <c r="DC53" s="180">
        <v>169.29623247236253</v>
      </c>
      <c r="DD53" s="180">
        <v>165.57382817862683</v>
      </c>
      <c r="DE53" s="180">
        <v>163.629446371152</v>
      </c>
      <c r="DF53" s="180">
        <v>179.85782488702861</v>
      </c>
      <c r="DG53" s="180">
        <v>156.95885729001307</v>
      </c>
      <c r="DH53" s="181">
        <v>165.57526464854615</v>
      </c>
      <c r="DI53" s="180">
        <v>130.20466028662139</v>
      </c>
      <c r="DJ53" s="180">
        <v>139.30059604753481</v>
      </c>
      <c r="DK53" s="180">
        <v>115.93210527084446</v>
      </c>
      <c r="DL53" s="180">
        <v>116.27345299811667</v>
      </c>
      <c r="DM53" s="180">
        <v>103.50022277128568</v>
      </c>
      <c r="DN53" s="181">
        <v>124.17565570760412</v>
      </c>
      <c r="DO53" s="180">
        <v>105.04789781318701</v>
      </c>
      <c r="DP53" s="180">
        <v>115.73994668361641</v>
      </c>
      <c r="DQ53" s="180">
        <v>106.11043135944388</v>
      </c>
      <c r="DR53" s="180">
        <v>100.55440572298755</v>
      </c>
      <c r="DS53" s="180">
        <v>111.60249372027562</v>
      </c>
      <c r="DT53" s="180">
        <v>109.52787723732911</v>
      </c>
      <c r="DU53" s="180">
        <v>113.19757126352388</v>
      </c>
      <c r="DV53" s="100">
        <v>1039</v>
      </c>
      <c r="DW53" s="100">
        <v>1301</v>
      </c>
      <c r="DX53" s="99">
        <v>1153.7289732446047</v>
      </c>
      <c r="DY53" s="99">
        <v>1112</v>
      </c>
      <c r="DZ53" s="99">
        <v>1223</v>
      </c>
      <c r="EA53" s="99">
        <v>1269</v>
      </c>
      <c r="EB53" s="100">
        <v>1343</v>
      </c>
      <c r="EC53" s="99">
        <v>1390</v>
      </c>
      <c r="ED53" s="99">
        <v>1444</v>
      </c>
      <c r="EE53" s="99">
        <v>1509</v>
      </c>
      <c r="EF53" s="99">
        <v>1568</v>
      </c>
      <c r="EG53" s="99">
        <v>1533</v>
      </c>
      <c r="EH53" s="99">
        <v>1648</v>
      </c>
      <c r="EI53" s="99">
        <v>1726</v>
      </c>
      <c r="EJ53" s="99">
        <v>1641</v>
      </c>
      <c r="EK53" s="99">
        <v>1652</v>
      </c>
      <c r="EL53" s="99">
        <v>1749</v>
      </c>
      <c r="EM53" s="99">
        <v>1835</v>
      </c>
      <c r="EN53" s="99">
        <v>1695</v>
      </c>
      <c r="EO53" s="99">
        <v>1919.7833521836976</v>
      </c>
      <c r="EP53" s="99">
        <v>2064.5249592303089</v>
      </c>
      <c r="EQ53" s="99">
        <v>2165.4898684730524</v>
      </c>
      <c r="ER53" s="180">
        <v>2210.589003017215</v>
      </c>
      <c r="ES53" s="180">
        <v>2262.3942400022547</v>
      </c>
      <c r="ET53" s="180">
        <v>2556.0833536976829</v>
      </c>
      <c r="EU53" s="180">
        <v>2619.8258997423554</v>
      </c>
      <c r="EV53" s="180">
        <v>2834.6136199401476</v>
      </c>
      <c r="EW53" s="181">
        <v>2814.2042650041308</v>
      </c>
      <c r="EX53" s="180">
        <v>3032.7774812555181</v>
      </c>
      <c r="EY53" s="180">
        <v>3179.6181854152715</v>
      </c>
      <c r="EZ53" s="180">
        <v>3281.4807439149276</v>
      </c>
      <c r="FA53" s="180">
        <v>3378.6833255389652</v>
      </c>
      <c r="FB53" s="180">
        <v>3321.2129879013046</v>
      </c>
      <c r="FC53" s="181">
        <v>3482.952442552893</v>
      </c>
      <c r="FD53" s="180">
        <v>3630.0332893970976</v>
      </c>
      <c r="FE53" s="180">
        <v>3459.3258360245318</v>
      </c>
      <c r="FF53" s="180">
        <v>3578.1989339424954</v>
      </c>
      <c r="FG53" s="180">
        <v>3486.0611051062774</v>
      </c>
      <c r="FH53" s="180">
        <v>3838.6759446086353</v>
      </c>
      <c r="FI53" s="180">
        <v>3849.0035479551734</v>
      </c>
      <c r="FJ53" s="180">
        <v>4166.2908144960447</v>
      </c>
      <c r="FK53" s="100">
        <v>8270</v>
      </c>
      <c r="FL53" s="100">
        <v>10216.789506406398</v>
      </c>
      <c r="FM53" s="99">
        <v>9594.8769286834122</v>
      </c>
      <c r="FN53" s="99">
        <v>9679.5731941320682</v>
      </c>
      <c r="FO53" s="99">
        <v>9555</v>
      </c>
      <c r="FP53" s="99">
        <v>10945</v>
      </c>
      <c r="FQ53" s="100">
        <v>10952</v>
      </c>
      <c r="FR53" s="99">
        <v>10696</v>
      </c>
      <c r="FS53" s="99">
        <v>11253</v>
      </c>
      <c r="FT53" s="99">
        <v>11645</v>
      </c>
      <c r="FU53" s="99">
        <v>11945</v>
      </c>
      <c r="FV53" s="99">
        <v>12902</v>
      </c>
      <c r="FW53" s="99">
        <v>14084</v>
      </c>
      <c r="FX53" s="99">
        <v>14308</v>
      </c>
      <c r="FY53" s="99">
        <v>14919</v>
      </c>
      <c r="FZ53" s="99">
        <v>14058</v>
      </c>
      <c r="GA53" s="99">
        <v>14956</v>
      </c>
      <c r="GB53" s="99">
        <v>15630</v>
      </c>
      <c r="GC53" s="99">
        <v>16574</v>
      </c>
      <c r="GD53" s="99">
        <v>17635.94335244067</v>
      </c>
      <c r="GE53" s="99">
        <v>17586.200087121433</v>
      </c>
      <c r="GF53" s="99">
        <v>16781.650182544894</v>
      </c>
      <c r="GG53" s="180">
        <v>15954.781997881959</v>
      </c>
      <c r="GH53" s="180">
        <v>15933.107653346202</v>
      </c>
      <c r="GI53" s="180">
        <v>16298.888064158775</v>
      </c>
      <c r="GJ53" s="180">
        <v>15514.481409931543</v>
      </c>
      <c r="GK53" s="180">
        <v>16270.002082000517</v>
      </c>
      <c r="GL53" s="181">
        <v>16192.499225600663</v>
      </c>
      <c r="GM53" s="180">
        <v>15733.833410302792</v>
      </c>
      <c r="GN53" s="180">
        <v>15755.315403022567</v>
      </c>
      <c r="GO53" s="180">
        <v>15723.459504022769</v>
      </c>
      <c r="GP53" s="180">
        <v>16103.492614422628</v>
      </c>
      <c r="GQ53" s="180">
        <v>16803.017648641759</v>
      </c>
      <c r="GR53" s="181">
        <v>17388.557536055057</v>
      </c>
      <c r="GS53" s="180">
        <v>17344.358741111126</v>
      </c>
      <c r="GT53" s="180">
        <v>16903.106239649012</v>
      </c>
      <c r="GU53" s="180">
        <v>16349.677018316608</v>
      </c>
      <c r="GV53" s="180">
        <v>15959.187766572149</v>
      </c>
      <c r="GW53" s="180">
        <v>16280.876301724174</v>
      </c>
      <c r="GX53" s="180">
        <v>16624.253364018397</v>
      </c>
      <c r="GY53" s="180">
        <v>16543.794090666295</v>
      </c>
      <c r="GZ53" s="100">
        <v>975</v>
      </c>
      <c r="HA53" s="100">
        <v>1384</v>
      </c>
      <c r="HB53" s="99">
        <v>1123.7499054917623</v>
      </c>
      <c r="HC53" s="99">
        <v>1043</v>
      </c>
      <c r="HD53" s="99">
        <v>1188</v>
      </c>
      <c r="HE53" s="99">
        <v>1272</v>
      </c>
      <c r="HF53" s="100">
        <v>1375</v>
      </c>
      <c r="HG53" s="99">
        <v>1328</v>
      </c>
      <c r="HH53" s="99">
        <v>1465</v>
      </c>
      <c r="HI53" s="99">
        <v>1378</v>
      </c>
      <c r="HJ53" s="99">
        <v>1441</v>
      </c>
      <c r="HK53" s="99">
        <v>1654</v>
      </c>
      <c r="HL53" s="99">
        <v>1696</v>
      </c>
      <c r="HM53" s="99">
        <v>1723</v>
      </c>
      <c r="HN53" s="99">
        <v>1922</v>
      </c>
      <c r="HO53" s="99">
        <v>1899</v>
      </c>
      <c r="HP53" s="99">
        <v>2046</v>
      </c>
      <c r="HQ53" s="99">
        <v>2113</v>
      </c>
      <c r="HR53" s="99">
        <v>2314</v>
      </c>
      <c r="HS53" s="99">
        <v>2790</v>
      </c>
      <c r="HT53" s="99">
        <v>3032</v>
      </c>
      <c r="HU53" s="99">
        <v>3286</v>
      </c>
      <c r="HV53" s="180">
        <v>3370.9233172124159</v>
      </c>
      <c r="HW53" s="180">
        <v>3719.6136982446124</v>
      </c>
      <c r="HX53" s="180">
        <v>4220.9352719082535</v>
      </c>
      <c r="HY53" s="180">
        <v>4264.3104520059687</v>
      </c>
      <c r="HZ53" s="180">
        <v>4812.340738351445</v>
      </c>
      <c r="IA53" s="181">
        <v>5262.8948949166834</v>
      </c>
      <c r="IB53" s="180">
        <v>5825.7628935863922</v>
      </c>
      <c r="IC53" s="180">
        <v>6341.6945419284602</v>
      </c>
      <c r="ID53" s="180">
        <v>6756.4825250173317</v>
      </c>
      <c r="IE53" s="180">
        <v>8058.8865954858056</v>
      </c>
      <c r="IF53" s="180">
        <v>8885.6055152770568</v>
      </c>
      <c r="IG53" s="181">
        <v>9551.0064623150865</v>
      </c>
      <c r="IH53" s="180">
        <v>9209.7082318954381</v>
      </c>
      <c r="II53" s="180">
        <v>9122.7051305273271</v>
      </c>
      <c r="IJ53" s="180">
        <v>8487.0517715839978</v>
      </c>
      <c r="IK53" s="180">
        <v>8549.2164309533637</v>
      </c>
      <c r="IL53" s="180">
        <v>8842.2098083333931</v>
      </c>
      <c r="IM53" s="180">
        <v>8742.29989130588</v>
      </c>
      <c r="IN53" s="180">
        <v>9246.029198664357</v>
      </c>
      <c r="IO53" s="100">
        <v>94158</v>
      </c>
      <c r="IP53" s="100">
        <v>94926</v>
      </c>
      <c r="IQ53" s="99">
        <v>87237</v>
      </c>
      <c r="IR53" s="99">
        <v>87263</v>
      </c>
      <c r="IS53" s="99">
        <v>88950</v>
      </c>
      <c r="IT53" s="99">
        <v>93816</v>
      </c>
      <c r="IU53" s="100">
        <v>97425</v>
      </c>
      <c r="IV53" s="99">
        <v>98209</v>
      </c>
      <c r="IW53" s="99">
        <v>98213</v>
      </c>
      <c r="IX53" s="99">
        <v>96206</v>
      </c>
      <c r="IY53" s="99">
        <v>95036</v>
      </c>
      <c r="IZ53" s="99">
        <v>98909</v>
      </c>
      <c r="JA53" s="99">
        <v>100613</v>
      </c>
      <c r="JB53" s="99">
        <v>97704</v>
      </c>
      <c r="JC53" s="99">
        <v>98744</v>
      </c>
      <c r="JD53" s="99">
        <v>98390</v>
      </c>
      <c r="JE53" s="99">
        <v>99936</v>
      </c>
      <c r="JF53" s="99">
        <v>100117</v>
      </c>
      <c r="JG53" s="99">
        <v>99925</v>
      </c>
      <c r="JH53" s="99">
        <v>101698.55836031651</v>
      </c>
      <c r="JI53" s="99">
        <v>100273.10875954687</v>
      </c>
      <c r="JJ53" s="99">
        <v>100098.30367788639</v>
      </c>
      <c r="JK53" s="180">
        <v>91053.880108077035</v>
      </c>
      <c r="JL53" s="180">
        <v>88938.595402295468</v>
      </c>
      <c r="JM53" s="180">
        <v>92906.968273239443</v>
      </c>
      <c r="JN53" s="180">
        <v>92289.411986108345</v>
      </c>
      <c r="JO53" s="180">
        <v>93083.281789204615</v>
      </c>
      <c r="JP53" s="181">
        <v>91726.440843458971</v>
      </c>
      <c r="JQ53" s="180">
        <v>89937.676901543338</v>
      </c>
      <c r="JR53" s="180">
        <v>89690.650241660973</v>
      </c>
      <c r="JS53" s="180">
        <v>89279.383717107339</v>
      </c>
      <c r="JT53" s="180">
        <v>87729.311230039748</v>
      </c>
      <c r="JU53" s="180">
        <v>87831.884733921106</v>
      </c>
      <c r="JV53" s="181">
        <v>88361.413337345453</v>
      </c>
      <c r="JW53" s="180">
        <v>86190.999513315081</v>
      </c>
      <c r="JX53" s="180">
        <v>83700.042247918173</v>
      </c>
      <c r="JY53" s="180">
        <v>80285.399350425156</v>
      </c>
      <c r="JZ53" s="180">
        <v>79383.074967999622</v>
      </c>
      <c r="KA53" s="180">
        <v>79157.039061333999</v>
      </c>
      <c r="KB53" s="180">
        <v>79090.838409046628</v>
      </c>
      <c r="KC53" s="180">
        <v>79112.342485715853</v>
      </c>
    </row>
    <row r="54" spans="1:289">
      <c r="A54" s="175" t="s">
        <v>75</v>
      </c>
      <c r="B54" s="100">
        <v>7300</v>
      </c>
      <c r="C54" s="100">
        <v>7952</v>
      </c>
      <c r="D54" s="99">
        <v>8442</v>
      </c>
      <c r="E54" s="99">
        <v>8355</v>
      </c>
      <c r="F54" s="99">
        <v>8532</v>
      </c>
      <c r="G54" s="99">
        <v>9006</v>
      </c>
      <c r="H54" s="100">
        <v>9140</v>
      </c>
      <c r="I54" s="99">
        <v>8757</v>
      </c>
      <c r="J54" s="99">
        <v>9278</v>
      </c>
      <c r="K54" s="99">
        <v>8881</v>
      </c>
      <c r="L54" s="99">
        <v>8796</v>
      </c>
      <c r="M54" s="99">
        <v>8999</v>
      </c>
      <c r="N54" s="99">
        <v>9001</v>
      </c>
      <c r="O54" s="99">
        <v>8585</v>
      </c>
      <c r="P54" s="99">
        <v>8589</v>
      </c>
      <c r="Q54" s="99">
        <v>8346</v>
      </c>
      <c r="R54" s="99">
        <v>8582</v>
      </c>
      <c r="S54" s="99">
        <v>8123</v>
      </c>
      <c r="T54" s="99">
        <v>8162</v>
      </c>
      <c r="U54" s="99">
        <v>8248</v>
      </c>
      <c r="V54" s="99">
        <v>8196</v>
      </c>
      <c r="W54" s="99">
        <v>8239</v>
      </c>
      <c r="X54" s="546">
        <v>8350</v>
      </c>
      <c r="Y54" s="180">
        <v>7893.5949367937137</v>
      </c>
      <c r="Z54" s="180">
        <v>7825.8141134944162</v>
      </c>
      <c r="AA54" s="180">
        <v>7706.775860463832</v>
      </c>
      <c r="AB54" s="180">
        <v>7787.5448413339818</v>
      </c>
      <c r="AC54" s="180">
        <v>8034.7173546329805</v>
      </c>
      <c r="AD54" s="181">
        <v>7889.5574687990184</v>
      </c>
      <c r="AE54" s="180">
        <v>7999.7590998577389</v>
      </c>
      <c r="AF54" s="180">
        <v>8177.9378759159426</v>
      </c>
      <c r="AG54" s="180">
        <v>8397.5233653101732</v>
      </c>
      <c r="AH54" s="180">
        <v>8854.9121710648851</v>
      </c>
      <c r="AI54" s="180">
        <v>8973.2338893239121</v>
      </c>
      <c r="AJ54" s="181">
        <v>9247.5083425606244</v>
      </c>
      <c r="AK54" s="180">
        <v>9087.7129829757996</v>
      </c>
      <c r="AL54" s="180">
        <v>9000.2871474765434</v>
      </c>
      <c r="AM54" s="180">
        <v>8935.3903181218739</v>
      </c>
      <c r="AN54" s="180">
        <v>8940.5103206383301</v>
      </c>
      <c r="AO54" s="180">
        <v>9118.8433104898686</v>
      </c>
      <c r="AP54" s="180">
        <v>9241.9334260351825</v>
      </c>
      <c r="AQ54" s="180">
        <v>9253.4025724459516</v>
      </c>
      <c r="AR54" s="533">
        <f t="shared" si="131"/>
        <v>356</v>
      </c>
      <c r="AS54" s="534">
        <f t="shared" si="132"/>
        <v>599</v>
      </c>
      <c r="AT54" s="534">
        <f t="shared" si="133"/>
        <v>695</v>
      </c>
      <c r="AU54" s="534">
        <f t="shared" si="134"/>
        <v>632</v>
      </c>
      <c r="AV54" s="534">
        <f t="shared" si="135"/>
        <v>657</v>
      </c>
      <c r="AW54" s="534">
        <f t="shared" si="136"/>
        <v>444</v>
      </c>
      <c r="AX54" s="534">
        <f t="shared" si="137"/>
        <v>452</v>
      </c>
      <c r="AY54" s="534">
        <f t="shared" si="138"/>
        <v>392</v>
      </c>
      <c r="AZ54" s="534">
        <f t="shared" si="139"/>
        <v>402</v>
      </c>
      <c r="BA54" s="534">
        <f t="shared" si="140"/>
        <v>417</v>
      </c>
      <c r="BB54" s="534">
        <f t="shared" si="141"/>
        <v>453</v>
      </c>
      <c r="BC54" s="534">
        <f t="shared" si="142"/>
        <v>517</v>
      </c>
      <c r="BD54" s="534">
        <f t="shared" si="143"/>
        <v>533</v>
      </c>
      <c r="BE54" s="534">
        <f t="shared" si="144"/>
        <v>524</v>
      </c>
      <c r="BF54" s="534">
        <f t="shared" si="145"/>
        <v>664</v>
      </c>
      <c r="BG54" s="534">
        <f t="shared" si="146"/>
        <v>602</v>
      </c>
      <c r="BH54" s="534">
        <f t="shared" si="147"/>
        <v>626</v>
      </c>
      <c r="BI54" s="534">
        <f t="shared" si="148"/>
        <v>653</v>
      </c>
      <c r="BJ54" s="534">
        <f t="shared" si="149"/>
        <v>569</v>
      </c>
      <c r="BK54" s="534">
        <f t="shared" si="150"/>
        <v>581.89766241285349</v>
      </c>
      <c r="BL54" s="534">
        <f t="shared" si="151"/>
        <v>631.66397709157718</v>
      </c>
      <c r="BM54" s="534">
        <f t="shared" si="152"/>
        <v>698.59477987719697</v>
      </c>
      <c r="BN54" s="186">
        <f t="shared" si="153"/>
        <v>728.62291326303546</v>
      </c>
      <c r="BO54" s="186">
        <f t="shared" si="154"/>
        <v>653.56095968154818</v>
      </c>
      <c r="BP54" s="186">
        <f t="shared" si="155"/>
        <v>710.95296833294879</v>
      </c>
      <c r="BQ54" s="186">
        <f t="shared" si="156"/>
        <v>669.7150968659912</v>
      </c>
      <c r="BR54" s="186">
        <f t="shared" si="157"/>
        <v>720.12766488903651</v>
      </c>
      <c r="BS54" s="186">
        <f t="shared" si="158"/>
        <v>739.68234102772749</v>
      </c>
      <c r="BT54" s="186">
        <f t="shared" si="159"/>
        <v>771.42325923052272</v>
      </c>
      <c r="BU54" s="186">
        <f t="shared" si="160"/>
        <v>796.75942374741965</v>
      </c>
      <c r="BV54" s="186">
        <f t="shared" si="161"/>
        <v>830.81913083142899</v>
      </c>
      <c r="BW54" s="186">
        <f t="shared" si="162"/>
        <v>846.71822669248604</v>
      </c>
      <c r="BX54" s="186">
        <f t="shared" si="163"/>
        <v>858.41839143360505</v>
      </c>
      <c r="BY54" s="186">
        <f t="shared" si="164"/>
        <v>893.97599016723757</v>
      </c>
      <c r="BZ54" s="186">
        <f t="shared" si="165"/>
        <v>944.84680667205907</v>
      </c>
      <c r="CA54" s="186">
        <f t="shared" si="166"/>
        <v>910.73615096835692</v>
      </c>
      <c r="CB54" s="186">
        <f t="shared" si="167"/>
        <v>888.63931279440067</v>
      </c>
      <c r="CC54" s="186">
        <f t="shared" si="168"/>
        <v>1070.2049748844634</v>
      </c>
      <c r="CD54" s="186">
        <f t="shared" si="169"/>
        <v>1056.6077914310367</v>
      </c>
      <c r="CE54" s="186">
        <f t="shared" si="170"/>
        <v>1186.4295816919484</v>
      </c>
      <c r="CF54" s="186">
        <f t="shared" si="171"/>
        <v>1155.8027965505203</v>
      </c>
      <c r="CG54" s="100">
        <v>302</v>
      </c>
      <c r="CH54" s="100">
        <v>531</v>
      </c>
      <c r="CI54" s="99">
        <v>633</v>
      </c>
      <c r="CJ54" s="99">
        <v>563</v>
      </c>
      <c r="CK54" s="99">
        <v>600</v>
      </c>
      <c r="CL54" s="99">
        <v>379</v>
      </c>
      <c r="CM54" s="100">
        <v>387</v>
      </c>
      <c r="CN54" s="99">
        <v>327</v>
      </c>
      <c r="CO54" s="99">
        <v>326</v>
      </c>
      <c r="CP54" s="99">
        <v>334</v>
      </c>
      <c r="CQ54" s="99">
        <v>354</v>
      </c>
      <c r="CR54" s="99">
        <v>426</v>
      </c>
      <c r="CS54" s="99">
        <v>415</v>
      </c>
      <c r="CT54" s="99">
        <v>417</v>
      </c>
      <c r="CU54" s="99">
        <v>561</v>
      </c>
      <c r="CV54" s="99">
        <v>491</v>
      </c>
      <c r="CW54" s="99">
        <v>515</v>
      </c>
      <c r="CX54" s="99">
        <v>554</v>
      </c>
      <c r="CY54" s="99">
        <v>477</v>
      </c>
      <c r="CZ54" s="99">
        <v>479.26328050821832</v>
      </c>
      <c r="DA54" s="99">
        <v>479.75620836363629</v>
      </c>
      <c r="DB54" s="99">
        <v>548.19649743968807</v>
      </c>
      <c r="DC54" s="180">
        <v>570.25184765063625</v>
      </c>
      <c r="DD54" s="180">
        <v>485.33975939395941</v>
      </c>
      <c r="DE54" s="180">
        <v>505.37293343701288</v>
      </c>
      <c r="DF54" s="180">
        <v>495.83592123835859</v>
      </c>
      <c r="DG54" s="180">
        <v>500.7411503001419</v>
      </c>
      <c r="DH54" s="181">
        <v>528.83639255791354</v>
      </c>
      <c r="DI54" s="180">
        <v>530.57888813856505</v>
      </c>
      <c r="DJ54" s="180">
        <v>525.6868671003914</v>
      </c>
      <c r="DK54" s="180">
        <v>539.45960934613299</v>
      </c>
      <c r="DL54" s="180">
        <v>575.94754987103863</v>
      </c>
      <c r="DM54" s="180">
        <v>560.25432080381518</v>
      </c>
      <c r="DN54" s="181">
        <v>564.17896914704158</v>
      </c>
      <c r="DO54" s="180">
        <v>581.07585975411541</v>
      </c>
      <c r="DP54" s="180">
        <v>557.10856182654641</v>
      </c>
      <c r="DQ54" s="180">
        <v>537.80622319349527</v>
      </c>
      <c r="DR54" s="180">
        <v>562.08370630191064</v>
      </c>
      <c r="DS54" s="180">
        <v>556.20948447761111</v>
      </c>
      <c r="DT54" s="180">
        <v>570.7903768289699</v>
      </c>
      <c r="DU54" s="180">
        <v>551.3295798199847</v>
      </c>
      <c r="DV54" s="100">
        <v>54</v>
      </c>
      <c r="DW54" s="100">
        <v>68</v>
      </c>
      <c r="DX54" s="99">
        <v>62</v>
      </c>
      <c r="DY54" s="99">
        <v>69</v>
      </c>
      <c r="DZ54" s="99">
        <v>57</v>
      </c>
      <c r="EA54" s="99">
        <v>65</v>
      </c>
      <c r="EB54" s="100">
        <v>65</v>
      </c>
      <c r="EC54" s="99">
        <v>65</v>
      </c>
      <c r="ED54" s="99">
        <v>76</v>
      </c>
      <c r="EE54" s="99">
        <v>83</v>
      </c>
      <c r="EF54" s="99">
        <v>99</v>
      </c>
      <c r="EG54" s="99">
        <v>91</v>
      </c>
      <c r="EH54" s="99">
        <v>118</v>
      </c>
      <c r="EI54" s="99">
        <v>107</v>
      </c>
      <c r="EJ54" s="99">
        <v>103</v>
      </c>
      <c r="EK54" s="99">
        <v>111</v>
      </c>
      <c r="EL54" s="99">
        <v>111</v>
      </c>
      <c r="EM54" s="99">
        <v>99</v>
      </c>
      <c r="EN54" s="99">
        <v>92</v>
      </c>
      <c r="EO54" s="99">
        <v>102.63438190463518</v>
      </c>
      <c r="EP54" s="99">
        <v>151.90776872794092</v>
      </c>
      <c r="EQ54" s="99">
        <v>150.39828243750887</v>
      </c>
      <c r="ER54" s="180">
        <v>158.37106561239924</v>
      </c>
      <c r="ES54" s="180">
        <v>168.22120028758877</v>
      </c>
      <c r="ET54" s="180">
        <v>205.58003489593591</v>
      </c>
      <c r="EU54" s="180">
        <v>173.87917562763255</v>
      </c>
      <c r="EV54" s="180">
        <v>219.38651458889458</v>
      </c>
      <c r="EW54" s="181">
        <v>210.84594846981392</v>
      </c>
      <c r="EX54" s="180">
        <v>240.84437109195773</v>
      </c>
      <c r="EY54" s="180">
        <v>271.07255664702825</v>
      </c>
      <c r="EZ54" s="180">
        <v>291.359521485296</v>
      </c>
      <c r="FA54" s="180">
        <v>270.77067682144747</v>
      </c>
      <c r="FB54" s="180">
        <v>298.16407062978988</v>
      </c>
      <c r="FC54" s="181">
        <v>329.79702102019598</v>
      </c>
      <c r="FD54" s="180">
        <v>363.7709469179436</v>
      </c>
      <c r="FE54" s="180">
        <v>353.62758914181057</v>
      </c>
      <c r="FF54" s="180">
        <v>350.8330896009054</v>
      </c>
      <c r="FG54" s="180">
        <v>508.12126858255283</v>
      </c>
      <c r="FH54" s="180">
        <v>500.39830695342556</v>
      </c>
      <c r="FI54" s="180">
        <v>615.63920486297866</v>
      </c>
      <c r="FJ54" s="180">
        <v>604.47321673053568</v>
      </c>
      <c r="FK54" s="100">
        <v>31</v>
      </c>
      <c r="FL54" s="100">
        <v>35</v>
      </c>
      <c r="FM54" s="99">
        <v>39</v>
      </c>
      <c r="FN54" s="99">
        <v>34</v>
      </c>
      <c r="FO54" s="99">
        <v>36</v>
      </c>
      <c r="FP54" s="99">
        <v>48</v>
      </c>
      <c r="FQ54" s="100">
        <v>55</v>
      </c>
      <c r="FR54" s="99">
        <v>63</v>
      </c>
      <c r="FS54" s="99">
        <v>60</v>
      </c>
      <c r="FT54" s="99">
        <v>41</v>
      </c>
      <c r="FU54" s="99">
        <v>49</v>
      </c>
      <c r="FV54" s="99">
        <v>85</v>
      </c>
      <c r="FW54" s="99">
        <v>108</v>
      </c>
      <c r="FX54" s="99">
        <v>91</v>
      </c>
      <c r="FY54" s="99">
        <v>103</v>
      </c>
      <c r="FZ54" s="99">
        <v>93</v>
      </c>
      <c r="GA54" s="99">
        <v>125</v>
      </c>
      <c r="GB54" s="99">
        <v>141</v>
      </c>
      <c r="GC54" s="99">
        <v>145</v>
      </c>
      <c r="GD54" s="99">
        <v>156.95692508377337</v>
      </c>
      <c r="GE54" s="99">
        <v>188.28334901373532</v>
      </c>
      <c r="GF54" s="99">
        <v>210.91946901692296</v>
      </c>
      <c r="GG54" s="180">
        <v>171.61652487688676</v>
      </c>
      <c r="GH54" s="180">
        <v>167.36671865490635</v>
      </c>
      <c r="GI54" s="180">
        <v>191.29714299912723</v>
      </c>
      <c r="GJ54" s="180">
        <v>171.43959526506589</v>
      </c>
      <c r="GK54" s="180">
        <v>201.82269840667783</v>
      </c>
      <c r="GL54" s="181">
        <v>220.90527802537443</v>
      </c>
      <c r="GM54" s="180">
        <v>185.14357979941974</v>
      </c>
      <c r="GN54" s="180">
        <v>200.11941234531247</v>
      </c>
      <c r="GO54" s="180">
        <v>223.50261799992182</v>
      </c>
      <c r="GP54" s="180">
        <v>230.51196894073888</v>
      </c>
      <c r="GQ54" s="180">
        <v>252.66053748228248</v>
      </c>
      <c r="GR54" s="181">
        <v>240.97710311166932</v>
      </c>
      <c r="GS54" s="180">
        <v>296.33328316409319</v>
      </c>
      <c r="GT54" s="180">
        <v>340.08318469256085</v>
      </c>
      <c r="GU54" s="180">
        <v>348.07130303752064</v>
      </c>
      <c r="GV54" s="180">
        <v>344.89411165242541</v>
      </c>
      <c r="GW54" s="180">
        <v>401.61589633628205</v>
      </c>
      <c r="GX54" s="180">
        <v>420.58829872178302</v>
      </c>
      <c r="GY54" s="180">
        <v>452.38538352316704</v>
      </c>
      <c r="GZ54" s="100">
        <v>39</v>
      </c>
      <c r="HA54" s="100">
        <v>38</v>
      </c>
      <c r="HB54" s="99">
        <v>52</v>
      </c>
      <c r="HC54" s="99">
        <v>43</v>
      </c>
      <c r="HD54" s="99">
        <v>44</v>
      </c>
      <c r="HE54" s="99">
        <v>60</v>
      </c>
      <c r="HF54" s="100">
        <v>58</v>
      </c>
      <c r="HG54" s="99">
        <v>65</v>
      </c>
      <c r="HH54" s="99">
        <v>69</v>
      </c>
      <c r="HI54" s="99">
        <v>65</v>
      </c>
      <c r="HJ54" s="99">
        <v>62</v>
      </c>
      <c r="HK54" s="99">
        <v>78</v>
      </c>
      <c r="HL54" s="99">
        <v>98</v>
      </c>
      <c r="HM54" s="99">
        <v>91</v>
      </c>
      <c r="HN54" s="99">
        <v>109</v>
      </c>
      <c r="HO54" s="99">
        <v>116</v>
      </c>
      <c r="HP54" s="99">
        <v>129</v>
      </c>
      <c r="HQ54" s="99">
        <v>137</v>
      </c>
      <c r="HR54" s="99">
        <v>152</v>
      </c>
      <c r="HS54" s="99">
        <v>175</v>
      </c>
      <c r="HT54" s="99">
        <v>196</v>
      </c>
      <c r="HU54" s="99">
        <v>229</v>
      </c>
      <c r="HV54" s="180">
        <v>209.71789930667785</v>
      </c>
      <c r="HW54" s="180">
        <v>249.43734834574559</v>
      </c>
      <c r="HX54" s="180">
        <v>272.1214561647223</v>
      </c>
      <c r="HY54" s="180">
        <v>281.67299214651626</v>
      </c>
      <c r="HZ54" s="180">
        <v>331.17362661824598</v>
      </c>
      <c r="IA54" s="181">
        <v>319.62193046270875</v>
      </c>
      <c r="IB54" s="180">
        <v>382.88095797347916</v>
      </c>
      <c r="IC54" s="180">
        <v>440.04427190347616</v>
      </c>
      <c r="ID54" s="180">
        <v>463.31587003218726</v>
      </c>
      <c r="IE54" s="180">
        <v>621.83086631499066</v>
      </c>
      <c r="IF54" s="180">
        <v>626.69651323064181</v>
      </c>
      <c r="IG54" s="181">
        <v>769.62359769121667</v>
      </c>
      <c r="IH54" s="180">
        <v>697.1415684438532</v>
      </c>
      <c r="II54" s="180">
        <v>711.57837885377398</v>
      </c>
      <c r="IJ54" s="180">
        <v>785.10028346616991</v>
      </c>
      <c r="IK54" s="180">
        <v>781.55596767908833</v>
      </c>
      <c r="IL54" s="180">
        <v>845.74016487885638</v>
      </c>
      <c r="IM54" s="180">
        <v>798.549088791023</v>
      </c>
      <c r="IN54" s="180">
        <v>924.24614254751543</v>
      </c>
      <c r="IO54" s="100">
        <v>6874</v>
      </c>
      <c r="IP54" s="100">
        <v>7280</v>
      </c>
      <c r="IQ54" s="99">
        <v>7656</v>
      </c>
      <c r="IR54" s="99">
        <v>7646</v>
      </c>
      <c r="IS54" s="99">
        <v>7795</v>
      </c>
      <c r="IT54" s="99">
        <v>8454</v>
      </c>
      <c r="IU54" s="100">
        <v>8575</v>
      </c>
      <c r="IV54" s="99">
        <v>8237</v>
      </c>
      <c r="IW54" s="99">
        <v>8747</v>
      </c>
      <c r="IX54" s="99">
        <v>8358</v>
      </c>
      <c r="IY54" s="99">
        <v>8232</v>
      </c>
      <c r="IZ54" s="99">
        <v>8319</v>
      </c>
      <c r="JA54" s="99">
        <v>8262</v>
      </c>
      <c r="JB54" s="99">
        <v>7879</v>
      </c>
      <c r="JC54" s="99">
        <v>7713</v>
      </c>
      <c r="JD54" s="99">
        <v>7535</v>
      </c>
      <c r="JE54" s="99">
        <v>7707</v>
      </c>
      <c r="JF54" s="99">
        <v>7192</v>
      </c>
      <c r="JG54" s="99">
        <v>7296</v>
      </c>
      <c r="JH54" s="99">
        <v>7334.1454125033733</v>
      </c>
      <c r="JI54" s="99">
        <v>7180.0526738946874</v>
      </c>
      <c r="JJ54" s="99">
        <v>7099.4857511058799</v>
      </c>
      <c r="JK54" s="180">
        <v>6774.6327755498614</v>
      </c>
      <c r="JL54" s="180">
        <v>6747.0820606439856</v>
      </c>
      <c r="JM54" s="180">
        <v>6503.9056817555811</v>
      </c>
      <c r="JN54" s="180">
        <v>6662.7244793453629</v>
      </c>
      <c r="JO54" s="180">
        <v>6808.8952987680668</v>
      </c>
      <c r="JP54" s="181">
        <v>6600.5943357773485</v>
      </c>
      <c r="JQ54" s="180">
        <v>6667.0082286898469</v>
      </c>
      <c r="JR54" s="180">
        <v>6782.495797604518</v>
      </c>
      <c r="JS54" s="180">
        <v>6933.9291971458724</v>
      </c>
      <c r="JT54" s="180">
        <v>7222.9184908749112</v>
      </c>
      <c r="JU54" s="180">
        <v>7340.8353324385807</v>
      </c>
      <c r="JV54" s="181">
        <v>7520.9566223765805</v>
      </c>
      <c r="JW54" s="180">
        <v>7339.4927000096968</v>
      </c>
      <c r="JX54" s="180">
        <v>7282.367163528429</v>
      </c>
      <c r="JY54" s="180">
        <v>7220.6653641331213</v>
      </c>
      <c r="JZ54" s="180">
        <v>7091.2967577178861</v>
      </c>
      <c r="KA54" s="180">
        <v>7242.2752875722417</v>
      </c>
      <c r="KB54" s="180">
        <v>7300.1315433718546</v>
      </c>
      <c r="KC54" s="180">
        <v>7297.1414527523748</v>
      </c>
    </row>
    <row r="55" spans="1:289">
      <c r="A55" s="176" t="s">
        <v>76</v>
      </c>
      <c r="B55" s="102">
        <v>48563</v>
      </c>
      <c r="C55" s="102">
        <v>50027</v>
      </c>
      <c r="D55" s="101">
        <v>48371</v>
      </c>
      <c r="E55" s="101">
        <v>51735</v>
      </c>
      <c r="F55" s="101">
        <v>52620</v>
      </c>
      <c r="G55" s="101">
        <v>55189</v>
      </c>
      <c r="H55" s="102">
        <v>57607</v>
      </c>
      <c r="I55" s="101">
        <v>58312</v>
      </c>
      <c r="J55" s="101">
        <v>58545</v>
      </c>
      <c r="K55" s="101">
        <v>59341</v>
      </c>
      <c r="L55" s="101">
        <v>60575</v>
      </c>
      <c r="M55" s="101">
        <v>63272</v>
      </c>
      <c r="N55" s="102">
        <v>63250.5</v>
      </c>
      <c r="O55" s="101">
        <v>63229</v>
      </c>
      <c r="P55" s="102">
        <v>63003</v>
      </c>
      <c r="Q55" s="101">
        <v>63968</v>
      </c>
      <c r="R55" s="101">
        <v>65183</v>
      </c>
      <c r="S55" s="101">
        <v>65410</v>
      </c>
      <c r="T55" s="101">
        <v>64687</v>
      </c>
      <c r="U55" s="101">
        <v>64135</v>
      </c>
      <c r="V55" s="101">
        <v>62705</v>
      </c>
      <c r="W55" s="101">
        <v>61425</v>
      </c>
      <c r="X55" s="544">
        <v>59640</v>
      </c>
      <c r="Y55" s="182">
        <v>60646.585241357861</v>
      </c>
      <c r="Z55" s="182">
        <v>59742.512015110035</v>
      </c>
      <c r="AA55" s="182">
        <v>60036.62125818686</v>
      </c>
      <c r="AB55" s="182">
        <v>60137.857721017557</v>
      </c>
      <c r="AC55" s="182">
        <v>61266.011748465629</v>
      </c>
      <c r="AD55" s="179">
        <v>60710.579879184319</v>
      </c>
      <c r="AE55" s="182">
        <v>59859.88729183055</v>
      </c>
      <c r="AF55" s="182">
        <v>60478.549412568245</v>
      </c>
      <c r="AG55" s="182">
        <v>61209.770790843351</v>
      </c>
      <c r="AH55" s="182">
        <v>60755.15360972684</v>
      </c>
      <c r="AI55" s="182">
        <v>61218.893187264519</v>
      </c>
      <c r="AJ55" s="179">
        <v>62628.894721308163</v>
      </c>
      <c r="AK55" s="182">
        <v>62140.074348961425</v>
      </c>
      <c r="AL55" s="182">
        <v>60873.452385838515</v>
      </c>
      <c r="AM55" s="182">
        <v>58700.055113846254</v>
      </c>
      <c r="AN55" s="182">
        <v>58095.086303348886</v>
      </c>
      <c r="AO55" s="182">
        <v>57753.331907664659</v>
      </c>
      <c r="AP55" s="182">
        <v>57200.909676056413</v>
      </c>
      <c r="AQ55" s="182">
        <v>57623.72086907761</v>
      </c>
      <c r="AR55" s="539">
        <f t="shared" si="131"/>
        <v>1267</v>
      </c>
      <c r="AS55" s="540">
        <f t="shared" si="132"/>
        <v>1376</v>
      </c>
      <c r="AT55" s="540">
        <f t="shared" si="133"/>
        <v>1405</v>
      </c>
      <c r="AU55" s="540">
        <f t="shared" si="134"/>
        <v>1409</v>
      </c>
      <c r="AV55" s="540">
        <f t="shared" si="135"/>
        <v>1458</v>
      </c>
      <c r="AW55" s="540">
        <f t="shared" si="136"/>
        <v>1552</v>
      </c>
      <c r="AX55" s="540">
        <f t="shared" si="137"/>
        <v>1719</v>
      </c>
      <c r="AY55" s="540">
        <f t="shared" si="138"/>
        <v>1911</v>
      </c>
      <c r="AZ55" s="540">
        <f t="shared" si="139"/>
        <v>2052</v>
      </c>
      <c r="BA55" s="540">
        <f t="shared" si="140"/>
        <v>2114</v>
      </c>
      <c r="BB55" s="540">
        <f t="shared" si="141"/>
        <v>2380</v>
      </c>
      <c r="BC55" s="540">
        <f t="shared" si="142"/>
        <v>2527</v>
      </c>
      <c r="BD55" s="540">
        <f t="shared" si="143"/>
        <v>2619</v>
      </c>
      <c r="BE55" s="540">
        <f t="shared" si="144"/>
        <v>2711</v>
      </c>
      <c r="BF55" s="540">
        <f t="shared" si="145"/>
        <v>2926</v>
      </c>
      <c r="BG55" s="540">
        <f t="shared" si="146"/>
        <v>2978</v>
      </c>
      <c r="BH55" s="540">
        <f t="shared" si="147"/>
        <v>3228</v>
      </c>
      <c r="BI55" s="540">
        <f t="shared" si="148"/>
        <v>3381</v>
      </c>
      <c r="BJ55" s="540">
        <f t="shared" si="149"/>
        <v>3154</v>
      </c>
      <c r="BK55" s="540">
        <f t="shared" si="150"/>
        <v>3254.6162887247247</v>
      </c>
      <c r="BL55" s="540">
        <f t="shared" si="151"/>
        <v>3094.3958604570098</v>
      </c>
      <c r="BM55" s="540">
        <f t="shared" si="152"/>
        <v>3024.7979903485043</v>
      </c>
      <c r="BN55" s="259">
        <f t="shared" si="153"/>
        <v>2976.4743310609656</v>
      </c>
      <c r="BO55" s="259">
        <f t="shared" si="154"/>
        <v>2820.5697436711689</v>
      </c>
      <c r="BP55" s="259">
        <f t="shared" si="155"/>
        <v>2804.7002948083573</v>
      </c>
      <c r="BQ55" s="259">
        <f t="shared" si="156"/>
        <v>2853.9332723705747</v>
      </c>
      <c r="BR55" s="259">
        <f t="shared" si="157"/>
        <v>2955.854447195577</v>
      </c>
      <c r="BS55" s="259">
        <f t="shared" si="158"/>
        <v>2950.7569437208708</v>
      </c>
      <c r="BT55" s="259">
        <f t="shared" si="159"/>
        <v>2906.5482705485992</v>
      </c>
      <c r="BU55" s="259">
        <f t="shared" si="160"/>
        <v>2978.2344560521478</v>
      </c>
      <c r="BV55" s="259">
        <f t="shared" si="161"/>
        <v>3034.6436513409449</v>
      </c>
      <c r="BW55" s="259">
        <f t="shared" si="162"/>
        <v>3077.970600739005</v>
      </c>
      <c r="BX55" s="259">
        <f t="shared" si="163"/>
        <v>3140.6348324829964</v>
      </c>
      <c r="BY55" s="259">
        <f t="shared" si="164"/>
        <v>3193.7019310999635</v>
      </c>
      <c r="BZ55" s="259">
        <f t="shared" si="165"/>
        <v>3483.4299529363825</v>
      </c>
      <c r="CA55" s="259">
        <f t="shared" si="166"/>
        <v>3443.3349900738172</v>
      </c>
      <c r="CB55" s="259">
        <f t="shared" si="167"/>
        <v>3320.939896012128</v>
      </c>
      <c r="CC55" s="259">
        <f t="shared" si="168"/>
        <v>3353.7054371660706</v>
      </c>
      <c r="CD55" s="259">
        <f t="shared" si="169"/>
        <v>3545.8025929172973</v>
      </c>
      <c r="CE55" s="259">
        <f t="shared" si="170"/>
        <v>3425.8043392081195</v>
      </c>
      <c r="CF55" s="259">
        <f t="shared" si="171"/>
        <v>3536.9922623408829</v>
      </c>
      <c r="CG55" s="102">
        <v>382</v>
      </c>
      <c r="CH55" s="102">
        <v>472</v>
      </c>
      <c r="CI55" s="101">
        <v>463</v>
      </c>
      <c r="CJ55" s="101">
        <v>442</v>
      </c>
      <c r="CK55" s="101">
        <v>490</v>
      </c>
      <c r="CL55" s="101">
        <v>480</v>
      </c>
      <c r="CM55" s="102">
        <v>529</v>
      </c>
      <c r="CN55" s="101">
        <v>538</v>
      </c>
      <c r="CO55" s="101">
        <v>532</v>
      </c>
      <c r="CP55" s="101">
        <v>547</v>
      </c>
      <c r="CQ55" s="101">
        <v>623</v>
      </c>
      <c r="CR55" s="101">
        <v>668</v>
      </c>
      <c r="CS55" s="102">
        <v>684</v>
      </c>
      <c r="CT55" s="101">
        <v>700</v>
      </c>
      <c r="CU55" s="102">
        <v>776</v>
      </c>
      <c r="CV55" s="101">
        <v>776</v>
      </c>
      <c r="CW55" s="101">
        <v>800</v>
      </c>
      <c r="CX55" s="101">
        <v>848</v>
      </c>
      <c r="CY55" s="101">
        <v>893</v>
      </c>
      <c r="CZ55" s="101">
        <v>797.4548844621188</v>
      </c>
      <c r="DA55" s="101">
        <v>778.70629643034067</v>
      </c>
      <c r="DB55" s="101">
        <v>693.0740472578251</v>
      </c>
      <c r="DC55" s="182">
        <v>676.73339696997823</v>
      </c>
      <c r="DD55" s="182">
        <v>607.87051520370028</v>
      </c>
      <c r="DE55" s="182">
        <v>643.00463311745023</v>
      </c>
      <c r="DF55" s="182">
        <v>620.79127406363864</v>
      </c>
      <c r="DG55" s="182">
        <v>621.86114568975245</v>
      </c>
      <c r="DH55" s="179">
        <v>595.81258802794889</v>
      </c>
      <c r="DI55" s="182">
        <v>595.46955280836096</v>
      </c>
      <c r="DJ55" s="182">
        <v>580.81930073811054</v>
      </c>
      <c r="DK55" s="182">
        <v>571.07020230936484</v>
      </c>
      <c r="DL55" s="182">
        <v>571.16717044826134</v>
      </c>
      <c r="DM55" s="182">
        <v>567.30053733931175</v>
      </c>
      <c r="DN55" s="179">
        <v>568.5452380409273</v>
      </c>
      <c r="DO55" s="182">
        <v>600.21810642234777</v>
      </c>
      <c r="DP55" s="182">
        <v>602.02867489179164</v>
      </c>
      <c r="DQ55" s="182">
        <v>580.08546050289021</v>
      </c>
      <c r="DR55" s="182">
        <v>442.54207736310855</v>
      </c>
      <c r="DS55" s="182">
        <v>448.92644838893972</v>
      </c>
      <c r="DT55" s="182">
        <v>450.81915772300209</v>
      </c>
      <c r="DU55" s="182">
        <v>437.67537076718259</v>
      </c>
      <c r="DV55" s="102">
        <v>885</v>
      </c>
      <c r="DW55" s="102">
        <v>904</v>
      </c>
      <c r="DX55" s="101">
        <v>942</v>
      </c>
      <c r="DY55" s="101">
        <v>967</v>
      </c>
      <c r="DZ55" s="101">
        <v>968</v>
      </c>
      <c r="EA55" s="101">
        <v>1072</v>
      </c>
      <c r="EB55" s="102">
        <v>1190</v>
      </c>
      <c r="EC55" s="101">
        <v>1373</v>
      </c>
      <c r="ED55" s="101">
        <v>1520</v>
      </c>
      <c r="EE55" s="101">
        <v>1567</v>
      </c>
      <c r="EF55" s="101">
        <v>1757</v>
      </c>
      <c r="EG55" s="101">
        <v>1859</v>
      </c>
      <c r="EH55" s="102">
        <v>1935</v>
      </c>
      <c r="EI55" s="101">
        <v>2011</v>
      </c>
      <c r="EJ55" s="102">
        <v>2150</v>
      </c>
      <c r="EK55" s="101">
        <v>2202</v>
      </c>
      <c r="EL55" s="101">
        <v>2428</v>
      </c>
      <c r="EM55" s="101">
        <v>2533</v>
      </c>
      <c r="EN55" s="101">
        <v>2261</v>
      </c>
      <c r="EO55" s="101">
        <v>2457.1614042626056</v>
      </c>
      <c r="EP55" s="101">
        <v>2315.6895640266689</v>
      </c>
      <c r="EQ55" s="101">
        <v>2331.7239430906793</v>
      </c>
      <c r="ER55" s="182">
        <v>2299.7409340909876</v>
      </c>
      <c r="ES55" s="182">
        <v>2212.6992284674684</v>
      </c>
      <c r="ET55" s="182">
        <v>2161.6956616909069</v>
      </c>
      <c r="EU55" s="182">
        <v>2233.1419983069363</v>
      </c>
      <c r="EV55" s="182">
        <v>2333.9933015058245</v>
      </c>
      <c r="EW55" s="179">
        <v>2354.9443556929218</v>
      </c>
      <c r="EX55" s="182">
        <v>2311.0787177402381</v>
      </c>
      <c r="EY55" s="182">
        <v>2397.4151553140373</v>
      </c>
      <c r="EZ55" s="182">
        <v>2463.5734490315799</v>
      </c>
      <c r="FA55" s="182">
        <v>2506.8034302907436</v>
      </c>
      <c r="FB55" s="182">
        <v>2573.3342951436848</v>
      </c>
      <c r="FC55" s="179">
        <v>2625.1566930590361</v>
      </c>
      <c r="FD55" s="182">
        <v>2883.2118465140347</v>
      </c>
      <c r="FE55" s="182">
        <v>2841.3063151820256</v>
      </c>
      <c r="FF55" s="182">
        <v>2740.8544355092376</v>
      </c>
      <c r="FG55" s="182">
        <v>2911.1633598029621</v>
      </c>
      <c r="FH55" s="182">
        <v>3096.8761445283576</v>
      </c>
      <c r="FI55" s="182">
        <v>2974.9851814851172</v>
      </c>
      <c r="FJ55" s="182">
        <v>3099.3168915737006</v>
      </c>
      <c r="FK55" s="102">
        <v>1950</v>
      </c>
      <c r="FL55" s="102">
        <v>2055</v>
      </c>
      <c r="FM55" s="101">
        <v>2077</v>
      </c>
      <c r="FN55" s="101">
        <v>2030</v>
      </c>
      <c r="FO55" s="101">
        <v>1993</v>
      </c>
      <c r="FP55" s="101">
        <v>2264</v>
      </c>
      <c r="FQ55" s="102">
        <v>2531</v>
      </c>
      <c r="FR55" s="101">
        <v>2581</v>
      </c>
      <c r="FS55" s="101">
        <v>2573</v>
      </c>
      <c r="FT55" s="101">
        <v>2835</v>
      </c>
      <c r="FU55" s="101">
        <v>3148</v>
      </c>
      <c r="FV55" s="101">
        <v>3196</v>
      </c>
      <c r="FW55" s="102">
        <v>3473.5</v>
      </c>
      <c r="FX55" s="101">
        <v>3751</v>
      </c>
      <c r="FY55" s="102">
        <v>4040</v>
      </c>
      <c r="FZ55" s="101">
        <v>4332</v>
      </c>
      <c r="GA55" s="101">
        <v>4827</v>
      </c>
      <c r="GB55" s="101">
        <v>4920</v>
      </c>
      <c r="GC55" s="101">
        <v>5050</v>
      </c>
      <c r="GD55" s="101">
        <v>5148.3963834580973</v>
      </c>
      <c r="GE55" s="101">
        <v>4811.0531855737836</v>
      </c>
      <c r="GF55" s="101">
        <v>4826.2495348840912</v>
      </c>
      <c r="GG55" s="182">
        <v>4618.4780412928321</v>
      </c>
      <c r="GH55" s="182">
        <v>4620.7439987763137</v>
      </c>
      <c r="GI55" s="182">
        <v>4634.014380551248</v>
      </c>
      <c r="GJ55" s="182">
        <v>4623.7302281972343</v>
      </c>
      <c r="GK55" s="182">
        <v>4565.4596144367351</v>
      </c>
      <c r="GL55" s="179">
        <v>4367.1464248308066</v>
      </c>
      <c r="GM55" s="182">
        <v>4338.6428362455572</v>
      </c>
      <c r="GN55" s="182">
        <v>4309.1087946403331</v>
      </c>
      <c r="GO55" s="182">
        <v>4309.2284691771429</v>
      </c>
      <c r="GP55" s="182">
        <v>4226.64679422672</v>
      </c>
      <c r="GQ55" s="182">
        <v>4404.1730667561505</v>
      </c>
      <c r="GR55" s="179">
        <v>4444.0499434767808</v>
      </c>
      <c r="GS55" s="182">
        <v>4594.3670877499053</v>
      </c>
      <c r="GT55" s="182">
        <v>4622.3233306854418</v>
      </c>
      <c r="GU55" s="182">
        <v>4318.0951224208047</v>
      </c>
      <c r="GV55" s="182">
        <v>4140.1958684426609</v>
      </c>
      <c r="GW55" s="182">
        <v>4204.5991684040346</v>
      </c>
      <c r="GX55" s="182">
        <v>4225.9286930751696</v>
      </c>
      <c r="GY55" s="182">
        <v>4448.4828827668171</v>
      </c>
      <c r="GZ55" s="102">
        <v>822</v>
      </c>
      <c r="HA55" s="102">
        <v>898</v>
      </c>
      <c r="HB55" s="101">
        <v>930</v>
      </c>
      <c r="HC55" s="101">
        <v>942</v>
      </c>
      <c r="HD55" s="101">
        <v>1007</v>
      </c>
      <c r="HE55" s="101">
        <v>1186</v>
      </c>
      <c r="HF55" s="102">
        <v>1284</v>
      </c>
      <c r="HG55" s="101">
        <v>1405</v>
      </c>
      <c r="HH55" s="101">
        <v>1446</v>
      </c>
      <c r="HI55" s="101">
        <v>1557</v>
      </c>
      <c r="HJ55" s="101">
        <v>1792</v>
      </c>
      <c r="HK55" s="101">
        <v>1870</v>
      </c>
      <c r="HL55" s="102">
        <v>2035.5</v>
      </c>
      <c r="HM55" s="101">
        <v>2201</v>
      </c>
      <c r="HN55" s="102">
        <v>2430</v>
      </c>
      <c r="HO55" s="101">
        <v>2580</v>
      </c>
      <c r="HP55" s="101">
        <v>2840</v>
      </c>
      <c r="HQ55" s="101">
        <v>3122</v>
      </c>
      <c r="HR55" s="101">
        <v>3364</v>
      </c>
      <c r="HS55" s="101">
        <v>3756</v>
      </c>
      <c r="HT55" s="101">
        <v>3952</v>
      </c>
      <c r="HU55" s="101">
        <v>4155</v>
      </c>
      <c r="HV55" s="182">
        <v>4401.9619645255907</v>
      </c>
      <c r="HW55" s="182">
        <v>4499.2740786695485</v>
      </c>
      <c r="HX55" s="182">
        <v>4931.6336989958954</v>
      </c>
      <c r="HY55" s="182">
        <v>5143.1618516128619</v>
      </c>
      <c r="HZ55" s="182">
        <v>5453.7067427784204</v>
      </c>
      <c r="IA55" s="179">
        <v>5940.0042165707118</v>
      </c>
      <c r="IB55" s="182">
        <v>5951.2964280862589</v>
      </c>
      <c r="IC55" s="182">
        <v>6267.2822335837609</v>
      </c>
      <c r="ID55" s="182">
        <v>6525.9514589292958</v>
      </c>
      <c r="IE55" s="182">
        <v>6712.7354939970173</v>
      </c>
      <c r="IF55" s="182">
        <v>7220.5188422828051</v>
      </c>
      <c r="IG55" s="179">
        <v>7354.9339416564726</v>
      </c>
      <c r="IH55" s="182">
        <v>7619.7927279127152</v>
      </c>
      <c r="II55" s="182">
        <v>7460.7908179937522</v>
      </c>
      <c r="IJ55" s="182">
        <v>7004.1804546499397</v>
      </c>
      <c r="IK55" s="182">
        <v>6969.6610585662911</v>
      </c>
      <c r="IL55" s="182">
        <v>7036.6334752187058</v>
      </c>
      <c r="IM55" s="182">
        <v>6859.437091084601</v>
      </c>
      <c r="IN55" s="182">
        <v>6830.9688848948199</v>
      </c>
      <c r="IO55" s="102">
        <v>44524</v>
      </c>
      <c r="IP55" s="102">
        <v>45698</v>
      </c>
      <c r="IQ55" s="101">
        <v>43959</v>
      </c>
      <c r="IR55" s="101">
        <v>47354</v>
      </c>
      <c r="IS55" s="101">
        <v>48162</v>
      </c>
      <c r="IT55" s="101">
        <v>50187</v>
      </c>
      <c r="IU55" s="102">
        <v>52073</v>
      </c>
      <c r="IV55" s="101">
        <v>52415</v>
      </c>
      <c r="IW55" s="101">
        <v>52474</v>
      </c>
      <c r="IX55" s="101">
        <v>52835</v>
      </c>
      <c r="IY55" s="101">
        <v>53255</v>
      </c>
      <c r="IZ55" s="101">
        <v>55679</v>
      </c>
      <c r="JA55" s="102">
        <v>55122.5</v>
      </c>
      <c r="JB55" s="101">
        <v>54566</v>
      </c>
      <c r="JC55" s="102">
        <v>53607</v>
      </c>
      <c r="JD55" s="101">
        <v>54078</v>
      </c>
      <c r="JE55" s="101">
        <v>54288</v>
      </c>
      <c r="JF55" s="101">
        <v>53987</v>
      </c>
      <c r="JG55" s="101">
        <v>53119</v>
      </c>
      <c r="JH55" s="101">
        <v>51975.98732781718</v>
      </c>
      <c r="JI55" s="101">
        <v>50847.550953969207</v>
      </c>
      <c r="JJ55" s="101">
        <v>49418.952474767408</v>
      </c>
      <c r="JK55" s="182">
        <v>48617.653073411027</v>
      </c>
      <c r="JL55" s="182">
        <v>47734.133281319584</v>
      </c>
      <c r="JM55" s="182">
        <v>47581.804343906093</v>
      </c>
      <c r="JN55" s="182">
        <v>47362.812874373827</v>
      </c>
      <c r="JO55" s="182">
        <v>48196.991461461948</v>
      </c>
      <c r="JP55" s="179">
        <v>47377.117174777348</v>
      </c>
      <c r="JQ55" s="182">
        <v>46573.217947828853</v>
      </c>
      <c r="JR55" s="182">
        <v>46855.43333980356</v>
      </c>
      <c r="JS55" s="182">
        <v>47280.139453414682</v>
      </c>
      <c r="JT55" s="182">
        <v>46690.528204760507</v>
      </c>
      <c r="JU55" s="182">
        <v>46301.498125322592</v>
      </c>
      <c r="JV55" s="179">
        <v>47527.737965802778</v>
      </c>
      <c r="JW55" s="182">
        <v>46462.370044328578</v>
      </c>
      <c r="JX55" s="182">
        <v>45293.576139654942</v>
      </c>
      <c r="JY55" s="182">
        <v>43991.808528144742</v>
      </c>
      <c r="JZ55" s="182">
        <v>43496.134551020936</v>
      </c>
      <c r="KA55" s="182">
        <v>42929.806775172729</v>
      </c>
      <c r="KB55" s="182">
        <v>42574.553814029277</v>
      </c>
      <c r="KC55" s="182">
        <v>42632.808300910452</v>
      </c>
    </row>
    <row r="56" spans="1:289" ht="12.95">
      <c r="A56" s="285" t="s">
        <v>77</v>
      </c>
      <c r="B56" s="286">
        <f>SUM(B58:B66)</f>
        <v>419104.25137189031</v>
      </c>
      <c r="C56" s="286">
        <f t="shared" ref="C56:F56" si="172">SUM(C58:C66)</f>
        <v>414437</v>
      </c>
      <c r="D56" s="286">
        <f t="shared" si="172"/>
        <v>408921.00589028851</v>
      </c>
      <c r="E56" s="286">
        <f t="shared" si="172"/>
        <v>413413</v>
      </c>
      <c r="F56" s="286">
        <f t="shared" si="172"/>
        <v>417877.78632554197</v>
      </c>
      <c r="G56" s="288">
        <v>428631</v>
      </c>
      <c r="H56" s="288">
        <v>431481</v>
      </c>
      <c r="I56" s="288">
        <v>437259</v>
      </c>
      <c r="J56" s="288">
        <v>453895</v>
      </c>
      <c r="K56" s="288">
        <v>457638</v>
      </c>
      <c r="L56" s="288">
        <v>461479</v>
      </c>
      <c r="M56" s="288">
        <v>477241</v>
      </c>
      <c r="N56" s="288">
        <v>491654.5</v>
      </c>
      <c r="O56" s="288">
        <v>503528</v>
      </c>
      <c r="P56" s="288">
        <v>519866</v>
      </c>
      <c r="Q56" s="288">
        <v>536697</v>
      </c>
      <c r="R56" s="288">
        <v>552289</v>
      </c>
      <c r="S56" s="288">
        <v>552973</v>
      </c>
      <c r="T56" s="288">
        <v>556400</v>
      </c>
      <c r="U56" s="288">
        <v>556611</v>
      </c>
      <c r="V56" s="288">
        <v>554705</v>
      </c>
      <c r="W56" s="288">
        <v>555202</v>
      </c>
      <c r="X56" s="547">
        <f>SUM(X58:X66)</f>
        <v>546690</v>
      </c>
      <c r="Y56" s="289">
        <v>548354.24064566975</v>
      </c>
      <c r="Z56" s="289">
        <v>541875.63545890711</v>
      </c>
      <c r="AA56" s="289">
        <v>536243.9075285882</v>
      </c>
      <c r="AB56" s="289">
        <v>530357.69158534985</v>
      </c>
      <c r="AC56" s="289">
        <v>539135.96947118582</v>
      </c>
      <c r="AD56" s="289">
        <v>536669.01129746763</v>
      </c>
      <c r="AE56" s="289">
        <v>530420.7640344142</v>
      </c>
      <c r="AF56" s="289">
        <v>535181.5195421119</v>
      </c>
      <c r="AG56" s="289">
        <v>535604.33337166812</v>
      </c>
      <c r="AH56" s="289">
        <v>532643.35892697098</v>
      </c>
      <c r="AI56" s="289">
        <v>539670.98248313821</v>
      </c>
      <c r="AJ56" s="289">
        <v>548100.92832216539</v>
      </c>
      <c r="AK56" s="289">
        <v>535025.77855899895</v>
      </c>
      <c r="AL56" s="289">
        <v>525733.42781507073</v>
      </c>
      <c r="AM56" s="289">
        <v>514459.99031483749</v>
      </c>
      <c r="AN56" s="289">
        <v>510609.11684384965</v>
      </c>
      <c r="AO56" s="289">
        <v>506973.27962995548</v>
      </c>
      <c r="AP56" s="289">
        <v>500075.83375174645</v>
      </c>
      <c r="AQ56" s="289">
        <v>503354.81684228522</v>
      </c>
      <c r="AR56" s="535">
        <f t="shared" si="131"/>
        <v>16922.185509266048</v>
      </c>
      <c r="AS56" s="536">
        <f t="shared" si="132"/>
        <v>17580.179472408116</v>
      </c>
      <c r="AT56" s="536">
        <f t="shared" si="133"/>
        <v>18032.481330087594</v>
      </c>
      <c r="AU56" s="536">
        <f t="shared" si="134"/>
        <v>18024.51653081784</v>
      </c>
      <c r="AV56" s="536">
        <f t="shared" si="135"/>
        <v>19487.582211882574</v>
      </c>
      <c r="AW56" s="536">
        <f t="shared" si="136"/>
        <v>19717</v>
      </c>
      <c r="AX56" s="536">
        <f t="shared" si="137"/>
        <v>20161</v>
      </c>
      <c r="AY56" s="536">
        <f t="shared" si="138"/>
        <v>20619</v>
      </c>
      <c r="AZ56" s="536">
        <f t="shared" si="139"/>
        <v>22381</v>
      </c>
      <c r="BA56" s="536">
        <f t="shared" si="140"/>
        <v>23339.066454810003</v>
      </c>
      <c r="BB56" s="536">
        <f t="shared" si="141"/>
        <v>23831.137683969999</v>
      </c>
      <c r="BC56" s="536">
        <f t="shared" si="142"/>
        <v>25051.642156860002</v>
      </c>
      <c r="BD56" s="536">
        <f t="shared" si="143"/>
        <v>25825.052786470002</v>
      </c>
      <c r="BE56" s="536">
        <f t="shared" si="144"/>
        <v>26971.299387089999</v>
      </c>
      <c r="BF56" s="536">
        <f t="shared" si="145"/>
        <v>29016</v>
      </c>
      <c r="BG56" s="536">
        <f t="shared" si="146"/>
        <v>29956</v>
      </c>
      <c r="BH56" s="536">
        <f t="shared" si="147"/>
        <v>31394</v>
      </c>
      <c r="BI56" s="536">
        <f t="shared" si="148"/>
        <v>32848.093340430896</v>
      </c>
      <c r="BJ56" s="536">
        <f t="shared" si="149"/>
        <v>33762.935423188319</v>
      </c>
      <c r="BK56" s="536">
        <f t="shared" si="150"/>
        <v>35072.306098516921</v>
      </c>
      <c r="BL56" s="536">
        <f t="shared" si="151"/>
        <v>36644.844111207058</v>
      </c>
      <c r="BM56" s="536">
        <f t="shared" si="152"/>
        <v>38300.280112377768</v>
      </c>
      <c r="BN56" s="287">
        <f t="shared" si="153"/>
        <v>39501.346800990941</v>
      </c>
      <c r="BO56" s="287">
        <f t="shared" si="154"/>
        <v>40234.909972946742</v>
      </c>
      <c r="BP56" s="287">
        <f t="shared" si="155"/>
        <v>39835.957314902036</v>
      </c>
      <c r="BQ56" s="287">
        <f t="shared" si="156"/>
        <v>39772.858351387033</v>
      </c>
      <c r="BR56" s="287">
        <f t="shared" si="157"/>
        <v>43529.775772758607</v>
      </c>
      <c r="BS56" s="287">
        <f t="shared" si="158"/>
        <v>43755.201067680646</v>
      </c>
      <c r="BT56" s="287">
        <f t="shared" si="159"/>
        <v>44848.697971190813</v>
      </c>
      <c r="BU56" s="287">
        <f t="shared" si="160"/>
        <v>46786.803313770244</v>
      </c>
      <c r="BV56" s="287">
        <f t="shared" si="161"/>
        <v>48247.281081292946</v>
      </c>
      <c r="BW56" s="287">
        <f t="shared" si="162"/>
        <v>48151.080507212449</v>
      </c>
      <c r="BX56" s="287">
        <f t="shared" si="163"/>
        <v>49718.62981825124</v>
      </c>
      <c r="BY56" s="287">
        <f t="shared" si="164"/>
        <v>52024.85665436105</v>
      </c>
      <c r="BZ56" s="287">
        <f t="shared" si="165"/>
        <v>51992.377912522046</v>
      </c>
      <c r="CA56" s="287">
        <f t="shared" si="166"/>
        <v>51887.511554206103</v>
      </c>
      <c r="CB56" s="287">
        <f t="shared" si="167"/>
        <v>51741.334326193093</v>
      </c>
      <c r="CC56" s="287">
        <f t="shared" si="168"/>
        <v>52954.23537672199</v>
      </c>
      <c r="CD56" s="287">
        <f t="shared" si="169"/>
        <v>56326.370115635873</v>
      </c>
      <c r="CE56" s="287">
        <f t="shared" si="170"/>
        <v>53599.013545057496</v>
      </c>
      <c r="CF56" s="287">
        <f t="shared" si="171"/>
        <v>55741.564453628715</v>
      </c>
      <c r="CG56" s="286">
        <f t="shared" ref="CG56:CK56" si="173">SUM(CG58:CG66)</f>
        <v>777.27771548807243</v>
      </c>
      <c r="CH56" s="286">
        <f t="shared" si="173"/>
        <v>998.13445569850194</v>
      </c>
      <c r="CI56" s="286">
        <f t="shared" si="173"/>
        <v>736.34445490738574</v>
      </c>
      <c r="CJ56" s="286">
        <f t="shared" si="173"/>
        <v>824.58228775528892</v>
      </c>
      <c r="CK56" s="286">
        <f t="shared" si="173"/>
        <v>861.70902423385155</v>
      </c>
      <c r="CL56" s="288">
        <v>936</v>
      </c>
      <c r="CM56" s="288">
        <v>906</v>
      </c>
      <c r="CN56" s="288">
        <v>926</v>
      </c>
      <c r="CO56" s="288">
        <v>1030</v>
      </c>
      <c r="CP56" s="288">
        <v>1099.6361774100001</v>
      </c>
      <c r="CQ56" s="288">
        <v>1078.2906804700001</v>
      </c>
      <c r="CR56" s="288">
        <v>1160.6281512599999</v>
      </c>
      <c r="CS56" s="288">
        <v>1279.98341987</v>
      </c>
      <c r="CT56" s="288">
        <v>1399.5450932900001</v>
      </c>
      <c r="CU56" s="288">
        <v>1349</v>
      </c>
      <c r="CV56" s="288">
        <v>1387</v>
      </c>
      <c r="CW56" s="288">
        <v>1451</v>
      </c>
      <c r="CX56" s="288">
        <v>1432.5406893844906</v>
      </c>
      <c r="CY56" s="288">
        <v>1608.3596445403339</v>
      </c>
      <c r="CZ56" s="288">
        <v>1778.8250510209054</v>
      </c>
      <c r="DA56" s="288">
        <v>1667.3190425821399</v>
      </c>
      <c r="DB56" s="288">
        <v>1548.1560954084257</v>
      </c>
      <c r="DC56" s="289">
        <v>1536.1976260743336</v>
      </c>
      <c r="DD56" s="289">
        <v>1727.3112363038895</v>
      </c>
      <c r="DE56" s="289">
        <v>1718.7174582944529</v>
      </c>
      <c r="DF56" s="289">
        <v>1642.3044246144862</v>
      </c>
      <c r="DG56" s="289">
        <v>1659.722257056336</v>
      </c>
      <c r="DH56" s="289">
        <v>1771.5832706250944</v>
      </c>
      <c r="DI56" s="289">
        <v>1815.880996027382</v>
      </c>
      <c r="DJ56" s="289">
        <v>1807.8388708927903</v>
      </c>
      <c r="DK56" s="289">
        <v>1809.4159480771098</v>
      </c>
      <c r="DL56" s="289">
        <v>1953.2018667420248</v>
      </c>
      <c r="DM56" s="289">
        <v>2007.348436826024</v>
      </c>
      <c r="DN56" s="289">
        <v>2104.2162591121032</v>
      </c>
      <c r="DO56" s="289">
        <v>1969.5158805827771</v>
      </c>
      <c r="DP56" s="289">
        <v>1972.6353557607754</v>
      </c>
      <c r="DQ56" s="289">
        <v>1934.8583021044487</v>
      </c>
      <c r="DR56" s="289">
        <v>1804.7305979734242</v>
      </c>
      <c r="DS56" s="289">
        <v>1787.6594021427704</v>
      </c>
      <c r="DT56" s="289">
        <v>1865.748541368574</v>
      </c>
      <c r="DU56" s="289">
        <v>1824.9655096328786</v>
      </c>
      <c r="DV56" s="286">
        <f t="shared" ref="DV56:DZ56" si="174">SUM(DV58:DV66)</f>
        <v>16144.907793777977</v>
      </c>
      <c r="DW56" s="286">
        <f t="shared" si="174"/>
        <v>16582.045016709613</v>
      </c>
      <c r="DX56" s="286">
        <f t="shared" si="174"/>
        <v>17296.136875180207</v>
      </c>
      <c r="DY56" s="286">
        <f t="shared" si="174"/>
        <v>17199.934243062551</v>
      </c>
      <c r="DZ56" s="286">
        <f t="shared" si="174"/>
        <v>18625.873187648722</v>
      </c>
      <c r="EA56" s="288">
        <v>18781</v>
      </c>
      <c r="EB56" s="288">
        <v>19255</v>
      </c>
      <c r="EC56" s="288">
        <v>19693</v>
      </c>
      <c r="ED56" s="288">
        <v>21351</v>
      </c>
      <c r="EE56" s="288">
        <v>22239.430277400003</v>
      </c>
      <c r="EF56" s="288">
        <v>22752.847003499999</v>
      </c>
      <c r="EG56" s="288">
        <v>23891.014005600002</v>
      </c>
      <c r="EH56" s="288">
        <v>24545.069366600001</v>
      </c>
      <c r="EI56" s="288">
        <v>25571.754293800001</v>
      </c>
      <c r="EJ56" s="288">
        <v>27667</v>
      </c>
      <c r="EK56" s="288">
        <v>28569</v>
      </c>
      <c r="EL56" s="288">
        <v>29943</v>
      </c>
      <c r="EM56" s="288">
        <v>31415.552651046408</v>
      </c>
      <c r="EN56" s="288">
        <v>32154.575778647988</v>
      </c>
      <c r="EO56" s="288">
        <v>33293.481047496018</v>
      </c>
      <c r="EP56" s="288">
        <v>34977.52506862492</v>
      </c>
      <c r="EQ56" s="288">
        <v>36752.124016969341</v>
      </c>
      <c r="ER56" s="289">
        <v>37965.149174916609</v>
      </c>
      <c r="ES56" s="289">
        <v>38507.598736642853</v>
      </c>
      <c r="ET56" s="289">
        <v>38117.239856607586</v>
      </c>
      <c r="EU56" s="289">
        <v>38130.553926772547</v>
      </c>
      <c r="EV56" s="289">
        <v>41870.053515702268</v>
      </c>
      <c r="EW56" s="289">
        <v>41983.617797055551</v>
      </c>
      <c r="EX56" s="289">
        <v>43032.816975163434</v>
      </c>
      <c r="EY56" s="289">
        <v>44978.964442877455</v>
      </c>
      <c r="EZ56" s="289">
        <v>46437.865133215833</v>
      </c>
      <c r="FA56" s="289">
        <v>46197.878640470422</v>
      </c>
      <c r="FB56" s="289">
        <v>47711.281381425215</v>
      </c>
      <c r="FC56" s="289">
        <v>49920.640395248949</v>
      </c>
      <c r="FD56" s="289">
        <v>50022.862031939272</v>
      </c>
      <c r="FE56" s="289">
        <v>49914.87619844533</v>
      </c>
      <c r="FF56" s="289">
        <v>49806.476024088646</v>
      </c>
      <c r="FG56" s="289">
        <v>51149.504778748567</v>
      </c>
      <c r="FH56" s="289">
        <v>54538.710713493099</v>
      </c>
      <c r="FI56" s="289">
        <v>51733.265003688924</v>
      </c>
      <c r="FJ56" s="289">
        <v>53916.598943995836</v>
      </c>
      <c r="FK56" s="286">
        <f t="shared" ref="FK56:FO56" si="175">SUM(FK58:FK66)</f>
        <v>44219.039856686737</v>
      </c>
      <c r="FL56" s="286">
        <f t="shared" si="175"/>
        <v>44642.499835263305</v>
      </c>
      <c r="FM56" s="286">
        <f t="shared" si="175"/>
        <v>44968.687073030858</v>
      </c>
      <c r="FN56" s="286">
        <f t="shared" si="175"/>
        <v>45269.336752449861</v>
      </c>
      <c r="FO56" s="286">
        <f t="shared" si="175"/>
        <v>46520.402194654896</v>
      </c>
      <c r="FP56" s="288">
        <v>48596</v>
      </c>
      <c r="FQ56" s="288">
        <v>47896</v>
      </c>
      <c r="FR56" s="288">
        <v>47216</v>
      </c>
      <c r="FS56" s="288">
        <v>51838</v>
      </c>
      <c r="FT56" s="288">
        <v>52402.810974389999</v>
      </c>
      <c r="FU56" s="288">
        <v>51743.323649529993</v>
      </c>
      <c r="FV56" s="288">
        <v>54875.558823500003</v>
      </c>
      <c r="FW56" s="288">
        <v>58128.388958099997</v>
      </c>
      <c r="FX56" s="288">
        <v>61268.498013099997</v>
      </c>
      <c r="FY56" s="288">
        <v>64608</v>
      </c>
      <c r="FZ56" s="288">
        <v>67627</v>
      </c>
      <c r="GA56" s="288">
        <v>71225</v>
      </c>
      <c r="GB56" s="288">
        <v>73289.87284833625</v>
      </c>
      <c r="GC56" s="288">
        <v>75380.3640289342</v>
      </c>
      <c r="GD56" s="288">
        <v>76019.440329169418</v>
      </c>
      <c r="GE56" s="288">
        <v>75702.197854157464</v>
      </c>
      <c r="GF56" s="288">
        <v>75648.35768644145</v>
      </c>
      <c r="GG56" s="289">
        <v>74224.193008004426</v>
      </c>
      <c r="GH56" s="289">
        <v>74415.59942911331</v>
      </c>
      <c r="GI56" s="289">
        <v>72425.420951159569</v>
      </c>
      <c r="GJ56" s="289">
        <v>71483.37008232376</v>
      </c>
      <c r="GK56" s="289">
        <v>72904.445095021772</v>
      </c>
      <c r="GL56" s="289">
        <v>72522.532606721434</v>
      </c>
      <c r="GM56" s="289">
        <v>71416.136609659399</v>
      </c>
      <c r="GN56" s="289">
        <v>70656.636153890897</v>
      </c>
      <c r="GO56" s="289">
        <v>70031.819972570142</v>
      </c>
      <c r="GP56" s="289">
        <v>70705.198804111104</v>
      </c>
      <c r="GQ56" s="289">
        <v>72042.607210489863</v>
      </c>
      <c r="GR56" s="289">
        <v>73872.590298547642</v>
      </c>
      <c r="GS56" s="289">
        <v>73323.855502166582</v>
      </c>
      <c r="GT56" s="289">
        <v>72183.260116712467</v>
      </c>
      <c r="GU56" s="289">
        <v>69845.720132866787</v>
      </c>
      <c r="GV56" s="289">
        <v>68057.715519085177</v>
      </c>
      <c r="GW56" s="289">
        <v>67574.234153768557</v>
      </c>
      <c r="GX56" s="289">
        <v>66094.419416429562</v>
      </c>
      <c r="GY56" s="289">
        <v>65200.231709372798</v>
      </c>
      <c r="GZ56" s="286">
        <f t="shared" ref="GZ56:HD56" si="176">SUM(GZ58:GZ66)</f>
        <v>23834.549140840118</v>
      </c>
      <c r="HA56" s="286">
        <f t="shared" si="176"/>
        <v>25283.354254788428</v>
      </c>
      <c r="HB56" s="286">
        <f t="shared" si="176"/>
        <v>26383.130576027623</v>
      </c>
      <c r="HC56" s="286">
        <f t="shared" si="176"/>
        <v>26813.351955307262</v>
      </c>
      <c r="HD56" s="286">
        <f t="shared" si="176"/>
        <v>28123.657139463128</v>
      </c>
      <c r="HE56" s="288">
        <v>30571</v>
      </c>
      <c r="HF56" s="288">
        <v>31701</v>
      </c>
      <c r="HG56" s="288">
        <v>34764</v>
      </c>
      <c r="HH56" s="288">
        <v>34455</v>
      </c>
      <c r="HI56" s="288">
        <v>36147.793582229999</v>
      </c>
      <c r="HJ56" s="288">
        <v>35855.478466029999</v>
      </c>
      <c r="HK56" s="288">
        <v>38425.766106399999</v>
      </c>
      <c r="HL56" s="288">
        <v>41611.260574600004</v>
      </c>
      <c r="HM56" s="288">
        <v>45417.9997306</v>
      </c>
      <c r="HN56" s="288">
        <v>50361</v>
      </c>
      <c r="HO56" s="288">
        <v>55230</v>
      </c>
      <c r="HP56" s="288">
        <v>60104</v>
      </c>
      <c r="HQ56" s="288">
        <v>63567</v>
      </c>
      <c r="HR56" s="288">
        <v>66644</v>
      </c>
      <c r="HS56" s="288">
        <v>70506</v>
      </c>
      <c r="HT56" s="288">
        <v>72551</v>
      </c>
      <c r="HU56" s="288">
        <v>76199</v>
      </c>
      <c r="HV56" s="289">
        <v>78254.272698114102</v>
      </c>
      <c r="HW56" s="289">
        <v>80821.591386995671</v>
      </c>
      <c r="HX56" s="289">
        <v>81160.528133031286</v>
      </c>
      <c r="HY56" s="289">
        <v>82216.520036492861</v>
      </c>
      <c r="HZ56" s="289">
        <v>87371.522600182769</v>
      </c>
      <c r="IA56" s="289">
        <v>91089.432874073216</v>
      </c>
      <c r="IB56" s="289">
        <v>93836.785508306013</v>
      </c>
      <c r="IC56" s="289">
        <v>97315.229771725222</v>
      </c>
      <c r="ID56" s="289">
        <v>101753.23480902643</v>
      </c>
      <c r="IE56" s="289">
        <v>107351.0012376657</v>
      </c>
      <c r="IF56" s="289">
        <v>114368.09590131555</v>
      </c>
      <c r="IG56" s="289">
        <v>120918.39211143438</v>
      </c>
      <c r="IH56" s="289">
        <v>115492.83936346363</v>
      </c>
      <c r="II56" s="289">
        <v>114829.0611773695</v>
      </c>
      <c r="IJ56" s="289">
        <v>112343.54062513608</v>
      </c>
      <c r="IK56" s="289">
        <v>113424.28373662433</v>
      </c>
      <c r="IL56" s="289">
        <v>111849.35186766746</v>
      </c>
      <c r="IM56" s="289">
        <v>110304.63069420283</v>
      </c>
      <c r="IN56" s="289">
        <v>111532.20719193174</v>
      </c>
      <c r="IO56" s="286">
        <f t="shared" ref="IO56:IS56" si="177">SUM(IO58:IO66)</f>
        <v>334128.47686509736</v>
      </c>
      <c r="IP56" s="286">
        <f t="shared" si="177"/>
        <v>326930.96643754013</v>
      </c>
      <c r="IQ56" s="286">
        <f t="shared" si="177"/>
        <v>319536.70691114245</v>
      </c>
      <c r="IR56" s="286">
        <f t="shared" si="177"/>
        <v>323305.79476142506</v>
      </c>
      <c r="IS56" s="286">
        <f t="shared" si="177"/>
        <v>323746.14477954136</v>
      </c>
      <c r="IT56" s="288">
        <v>329747</v>
      </c>
      <c r="IU56" s="288">
        <v>331723</v>
      </c>
      <c r="IV56" s="288">
        <v>334660</v>
      </c>
      <c r="IW56" s="288">
        <v>345221</v>
      </c>
      <c r="IX56" s="288">
        <v>345748.32899200002</v>
      </c>
      <c r="IY56" s="288">
        <v>350049.06020100001</v>
      </c>
      <c r="IZ56" s="288">
        <v>358888.03291000001</v>
      </c>
      <c r="JA56" s="288">
        <v>366075.79768000002</v>
      </c>
      <c r="JB56" s="288">
        <v>369293.20286999998</v>
      </c>
      <c r="JC56" s="288">
        <v>376006</v>
      </c>
      <c r="JD56" s="288">
        <v>382782</v>
      </c>
      <c r="JE56" s="288">
        <v>387309</v>
      </c>
      <c r="JF56" s="288">
        <v>382865.03381123283</v>
      </c>
      <c r="JG56" s="288">
        <v>379614.70054787747</v>
      </c>
      <c r="JH56" s="288">
        <v>375013.25357231364</v>
      </c>
      <c r="JI56" s="288">
        <v>369805.95803463546</v>
      </c>
      <c r="JJ56" s="288">
        <v>365054.36220118077</v>
      </c>
      <c r="JK56" s="289">
        <v>356278.68449135526</v>
      </c>
      <c r="JL56" s="289">
        <v>345860.86426317284</v>
      </c>
      <c r="JM56" s="289">
        <v>343243.96034044091</v>
      </c>
      <c r="JN56" s="289">
        <v>335878.45221387129</v>
      </c>
      <c r="JO56" s="289">
        <v>335259.13568498084</v>
      </c>
      <c r="JP56" s="289">
        <v>329507.07580904389</v>
      </c>
      <c r="JQ56" s="289">
        <v>320987.60082723206</v>
      </c>
      <c r="JR56" s="289">
        <v>321735.72633711441</v>
      </c>
      <c r="JS56" s="289">
        <v>317392.0228057499</v>
      </c>
      <c r="JT56" s="289">
        <v>308635.80164106312</v>
      </c>
      <c r="JU56" s="289">
        <v>306437.29150607303</v>
      </c>
      <c r="JV56" s="289">
        <v>305179.16320081922</v>
      </c>
      <c r="JW56" s="289">
        <v>298552.72875831317</v>
      </c>
      <c r="JX56" s="289">
        <v>291519.81048890227</v>
      </c>
      <c r="JY56" s="289">
        <v>285243.70330762141</v>
      </c>
      <c r="JZ56" s="289">
        <v>276949.59359238733</v>
      </c>
      <c r="KA56" s="289">
        <v>272559.76501939289</v>
      </c>
      <c r="KB56" s="289">
        <v>270833.55394120124</v>
      </c>
      <c r="KC56" s="289">
        <v>271475.10345675162</v>
      </c>
    </row>
    <row r="57" spans="1:289">
      <c r="A57" s="113" t="s">
        <v>129</v>
      </c>
      <c r="B57" s="100"/>
      <c r="C57" s="100"/>
      <c r="D57" s="99"/>
      <c r="E57" s="99"/>
      <c r="F57" s="99"/>
      <c r="G57" s="99"/>
      <c r="H57" s="100"/>
      <c r="I57" s="99"/>
      <c r="J57" s="99"/>
      <c r="K57" s="99"/>
      <c r="L57" s="99"/>
      <c r="M57" s="99"/>
      <c r="N57" s="99"/>
      <c r="O57" s="99"/>
      <c r="P57" s="99"/>
      <c r="Q57" s="99"/>
      <c r="R57" s="99"/>
      <c r="S57" s="99"/>
      <c r="T57" s="99"/>
      <c r="U57" s="99"/>
      <c r="V57" s="99"/>
      <c r="W57" s="99"/>
      <c r="X57" s="546"/>
      <c r="Y57" s="181"/>
      <c r="Z57" s="181"/>
      <c r="AA57" s="181"/>
      <c r="AB57" s="181"/>
      <c r="AC57" s="181"/>
      <c r="AD57" s="181"/>
      <c r="AE57" s="181"/>
      <c r="AF57" s="181"/>
      <c r="AG57" s="181"/>
      <c r="AH57" s="181"/>
      <c r="AI57" s="181"/>
      <c r="AJ57" s="181"/>
      <c r="AK57" s="181"/>
      <c r="AL57" s="181"/>
      <c r="AM57" s="181"/>
      <c r="AN57" s="181"/>
      <c r="AO57" s="181"/>
      <c r="AP57" s="181"/>
      <c r="AQ57" s="181"/>
      <c r="AR57" s="537"/>
      <c r="AS57" s="538"/>
      <c r="AT57" s="538"/>
      <c r="AU57" s="538"/>
      <c r="AV57" s="538"/>
      <c r="AW57" s="538"/>
      <c r="AX57" s="538"/>
      <c r="AY57" s="538"/>
      <c r="AZ57" s="538"/>
      <c r="BA57" s="538"/>
      <c r="BB57" s="538"/>
      <c r="BC57" s="538"/>
      <c r="BD57" s="538"/>
      <c r="BE57" s="538"/>
      <c r="BF57" s="538"/>
      <c r="BG57" s="538"/>
      <c r="BH57" s="538"/>
      <c r="BI57" s="538"/>
      <c r="BJ57" s="538"/>
      <c r="BK57" s="538"/>
      <c r="BL57" s="538"/>
      <c r="BM57" s="538"/>
      <c r="BN57" s="260"/>
      <c r="BO57" s="260"/>
      <c r="BP57" s="260"/>
      <c r="BQ57" s="260"/>
      <c r="BR57" s="260"/>
      <c r="BS57" s="260"/>
      <c r="BT57" s="260"/>
      <c r="BU57" s="260"/>
      <c r="BV57" s="260"/>
      <c r="BW57" s="260"/>
      <c r="BX57" s="260"/>
      <c r="BY57" s="260"/>
      <c r="BZ57" s="260"/>
      <c r="CA57" s="260"/>
      <c r="CB57" s="260"/>
      <c r="CC57" s="181"/>
      <c r="CD57" s="181"/>
      <c r="CE57" s="181"/>
      <c r="CF57" s="181"/>
      <c r="CG57" s="100"/>
      <c r="CH57" s="100"/>
      <c r="CI57" s="99"/>
      <c r="CJ57" s="99"/>
      <c r="CK57" s="99"/>
      <c r="CL57" s="99"/>
      <c r="CM57" s="100"/>
      <c r="CN57" s="99"/>
      <c r="CO57" s="99"/>
      <c r="CP57" s="99"/>
      <c r="CQ57" s="99"/>
      <c r="CR57" s="99"/>
      <c r="CS57" s="99"/>
      <c r="CT57" s="99"/>
      <c r="CU57" s="99"/>
      <c r="CV57" s="99"/>
      <c r="CW57" s="99"/>
      <c r="CX57" s="99"/>
      <c r="CY57" s="99"/>
      <c r="CZ57" s="99"/>
      <c r="DA57" s="99"/>
      <c r="DB57" s="99"/>
      <c r="DC57" s="181"/>
      <c r="DD57" s="181"/>
      <c r="DE57" s="181"/>
      <c r="DF57" s="181"/>
      <c r="DG57" s="181"/>
      <c r="DH57" s="181"/>
      <c r="DI57" s="181"/>
      <c r="DJ57" s="181"/>
      <c r="DK57" s="181"/>
      <c r="DL57" s="181"/>
      <c r="DM57" s="181"/>
      <c r="DN57" s="181"/>
      <c r="DO57" s="181"/>
      <c r="DP57" s="181"/>
      <c r="DQ57" s="181"/>
      <c r="DR57" s="181"/>
      <c r="DS57" s="181"/>
      <c r="DT57" s="181"/>
      <c r="DU57" s="181"/>
      <c r="DV57" s="100"/>
      <c r="DW57" s="100"/>
      <c r="DX57" s="99"/>
      <c r="DY57" s="99"/>
      <c r="DZ57" s="99"/>
      <c r="EA57" s="99"/>
      <c r="EB57" s="100"/>
      <c r="EC57" s="99"/>
      <c r="ED57" s="99"/>
      <c r="EE57" s="99"/>
      <c r="EF57" s="99"/>
      <c r="EG57" s="99"/>
      <c r="EH57" s="99"/>
      <c r="EI57" s="99"/>
      <c r="EJ57" s="99"/>
      <c r="EK57" s="99"/>
      <c r="EL57" s="99"/>
      <c r="EM57" s="99"/>
      <c r="EN57" s="99"/>
      <c r="EO57" s="99"/>
      <c r="EP57" s="99"/>
      <c r="EQ57" s="99"/>
      <c r="ER57" s="181"/>
      <c r="ES57" s="181"/>
      <c r="ET57" s="181"/>
      <c r="EU57" s="181"/>
      <c r="EV57" s="181"/>
      <c r="EW57" s="181"/>
      <c r="EX57" s="181"/>
      <c r="EY57" s="181"/>
      <c r="EZ57" s="181"/>
      <c r="FA57" s="181"/>
      <c r="FB57" s="181"/>
      <c r="FC57" s="181"/>
      <c r="FD57" s="181"/>
      <c r="FE57" s="181"/>
      <c r="FF57" s="181"/>
      <c r="FG57" s="181"/>
      <c r="FH57" s="181"/>
      <c r="FI57" s="181"/>
      <c r="FJ57" s="181"/>
      <c r="FK57" s="100"/>
      <c r="FL57" s="100"/>
      <c r="FM57" s="99"/>
      <c r="FN57" s="99"/>
      <c r="FO57" s="99"/>
      <c r="FP57" s="99"/>
      <c r="FQ57" s="100"/>
      <c r="FR57" s="99"/>
      <c r="FS57" s="99"/>
      <c r="FT57" s="99"/>
      <c r="FU57" s="99"/>
      <c r="FV57" s="99"/>
      <c r="FW57" s="99"/>
      <c r="FX57" s="99"/>
      <c r="FY57" s="99"/>
      <c r="FZ57" s="99"/>
      <c r="GA57" s="99"/>
      <c r="GB57" s="99"/>
      <c r="GC57" s="99"/>
      <c r="GD57" s="99"/>
      <c r="GE57" s="99"/>
      <c r="GF57" s="99"/>
      <c r="GG57" s="181"/>
      <c r="GH57" s="181"/>
      <c r="GI57" s="181"/>
      <c r="GJ57" s="181"/>
      <c r="GK57" s="181"/>
      <c r="GL57" s="181"/>
      <c r="GM57" s="181"/>
      <c r="GN57" s="181"/>
      <c r="GO57" s="181"/>
      <c r="GP57" s="181"/>
      <c r="GQ57" s="181"/>
      <c r="GR57" s="181"/>
      <c r="GS57" s="181"/>
      <c r="GT57" s="181"/>
      <c r="GU57" s="181"/>
      <c r="GV57" s="181"/>
      <c r="GW57" s="181"/>
      <c r="GX57" s="181"/>
      <c r="GY57" s="181"/>
      <c r="GZ57" s="100"/>
      <c r="HA57" s="100"/>
      <c r="HB57" s="99"/>
      <c r="HC57" s="99"/>
      <c r="HD57" s="99"/>
      <c r="HE57" s="99"/>
      <c r="HF57" s="100"/>
      <c r="HG57" s="99"/>
      <c r="HH57" s="99"/>
      <c r="HI57" s="99"/>
      <c r="HJ57" s="99"/>
      <c r="HK57" s="99"/>
      <c r="HL57" s="99"/>
      <c r="HM57" s="99"/>
      <c r="HN57" s="99"/>
      <c r="HO57" s="99"/>
      <c r="HP57" s="99"/>
      <c r="HQ57" s="99"/>
      <c r="HR57" s="99"/>
      <c r="HS57" s="99"/>
      <c r="HT57" s="99"/>
      <c r="HU57" s="99"/>
      <c r="HV57" s="181"/>
      <c r="HW57" s="181"/>
      <c r="HX57" s="181"/>
      <c r="HY57" s="181"/>
      <c r="HZ57" s="181"/>
      <c r="IA57" s="181"/>
      <c r="IB57" s="181"/>
      <c r="IC57" s="181"/>
      <c r="ID57" s="181"/>
      <c r="IE57" s="181"/>
      <c r="IF57" s="181"/>
      <c r="IG57" s="181"/>
      <c r="IH57" s="181"/>
      <c r="II57" s="181"/>
      <c r="IJ57" s="181"/>
      <c r="IK57" s="181"/>
      <c r="IL57" s="181"/>
      <c r="IM57" s="181"/>
      <c r="IN57" s="181"/>
      <c r="IO57" s="100"/>
      <c r="IP57" s="100"/>
      <c r="IQ57" s="99"/>
      <c r="IR57" s="99"/>
      <c r="IS57" s="99"/>
      <c r="IT57" s="99"/>
      <c r="IU57" s="100"/>
      <c r="IV57" s="99"/>
      <c r="IW57" s="99"/>
      <c r="IX57" s="99"/>
      <c r="IY57" s="99"/>
      <c r="IZ57" s="99"/>
      <c r="JA57" s="99"/>
      <c r="JB57" s="99"/>
      <c r="JC57" s="99"/>
      <c r="JD57" s="99"/>
      <c r="JE57" s="99"/>
      <c r="JF57" s="99"/>
      <c r="JG57" s="99"/>
      <c r="JH57" s="99"/>
      <c r="JI57" s="99"/>
      <c r="JJ57" s="99"/>
      <c r="JK57" s="181"/>
      <c r="JL57" s="181"/>
      <c r="JM57" s="181"/>
      <c r="JN57" s="181"/>
      <c r="JO57" s="181"/>
      <c r="JP57" s="181"/>
      <c r="JQ57" s="181"/>
      <c r="JR57" s="181"/>
      <c r="JS57" s="181"/>
      <c r="JT57" s="181"/>
      <c r="JU57" s="181"/>
      <c r="JV57" s="181"/>
      <c r="JW57" s="181"/>
      <c r="JX57" s="181"/>
      <c r="JY57" s="181"/>
      <c r="JZ57" s="181"/>
      <c r="KA57" s="181"/>
      <c r="KB57" s="181"/>
      <c r="KC57" s="181"/>
    </row>
    <row r="58" spans="1:289">
      <c r="A58" s="175" t="s">
        <v>78</v>
      </c>
      <c r="B58" s="100">
        <v>27081</v>
      </c>
      <c r="C58" s="100">
        <v>26799</v>
      </c>
      <c r="D58" s="99">
        <v>26330</v>
      </c>
      <c r="E58" s="99">
        <v>26445</v>
      </c>
      <c r="F58" s="99">
        <v>26319</v>
      </c>
      <c r="G58" s="99">
        <v>27029</v>
      </c>
      <c r="H58" s="100">
        <v>27885</v>
      </c>
      <c r="I58" s="99">
        <v>28284</v>
      </c>
      <c r="J58" s="99">
        <v>31562</v>
      </c>
      <c r="K58" s="99">
        <v>30388</v>
      </c>
      <c r="L58" s="99">
        <v>32327</v>
      </c>
      <c r="M58" s="99">
        <v>33667</v>
      </c>
      <c r="N58" s="99">
        <v>34573</v>
      </c>
      <c r="O58" s="99">
        <v>35515</v>
      </c>
      <c r="P58" s="99">
        <v>36222</v>
      </c>
      <c r="Q58" s="99">
        <v>37541</v>
      </c>
      <c r="R58" s="99">
        <v>38419</v>
      </c>
      <c r="S58" s="99">
        <v>34968</v>
      </c>
      <c r="T58" s="99">
        <v>34495</v>
      </c>
      <c r="U58" s="99">
        <v>38854</v>
      </c>
      <c r="V58" s="99">
        <v>38681</v>
      </c>
      <c r="W58" s="99">
        <v>38722</v>
      </c>
      <c r="X58" s="546">
        <v>37440</v>
      </c>
      <c r="Y58" s="180">
        <v>37451.381897783132</v>
      </c>
      <c r="Z58" s="180">
        <v>36423.019374054376</v>
      </c>
      <c r="AA58" s="180">
        <v>36835.368817063383</v>
      </c>
      <c r="AB58" s="180">
        <v>36844.954686011813</v>
      </c>
      <c r="AC58" s="180">
        <v>36292.364669654969</v>
      </c>
      <c r="AD58" s="181">
        <v>35800.908121759749</v>
      </c>
      <c r="AE58" s="180">
        <v>34942.885579650363</v>
      </c>
      <c r="AF58" s="180">
        <v>35638.723742193855</v>
      </c>
      <c r="AG58" s="180">
        <v>34755.9876657883</v>
      </c>
      <c r="AH58" s="180">
        <v>34487.645381079637</v>
      </c>
      <c r="AI58" s="180">
        <v>33803.026200216707</v>
      </c>
      <c r="AJ58" s="181">
        <v>34103.293855526237</v>
      </c>
      <c r="AK58" s="180">
        <v>33177.255892759509</v>
      </c>
      <c r="AL58" s="180">
        <v>31909.865901892692</v>
      </c>
      <c r="AM58" s="180">
        <v>30897.321470368275</v>
      </c>
      <c r="AN58" s="180">
        <v>30497.256301497018</v>
      </c>
      <c r="AO58" s="180">
        <v>29931.240900381006</v>
      </c>
      <c r="AP58" s="180">
        <v>29572.424103744383</v>
      </c>
      <c r="AQ58" s="180">
        <v>29730.259385658748</v>
      </c>
      <c r="AR58" s="533">
        <f t="shared" ref="AR58:AR67" si="178">+CG58+DV58</f>
        <v>770</v>
      </c>
      <c r="AS58" s="534">
        <f t="shared" ref="AS58:AS67" si="179">+CH58+DW58</f>
        <v>732</v>
      </c>
      <c r="AT58" s="534">
        <f t="shared" ref="AT58:AT67" si="180">+CI58+DX58</f>
        <v>810</v>
      </c>
      <c r="AU58" s="534">
        <f t="shared" ref="AU58:AU67" si="181">+CJ58+DY58</f>
        <v>766</v>
      </c>
      <c r="AV58" s="534">
        <f t="shared" ref="AV58:AV67" si="182">+CK58+DZ58</f>
        <v>784</v>
      </c>
      <c r="AW58" s="534">
        <f t="shared" ref="AW58:AW67" si="183">+CL58+EA58</f>
        <v>873</v>
      </c>
      <c r="AX58" s="534">
        <f t="shared" ref="AX58:AX67" si="184">+CM58+EB58</f>
        <v>858</v>
      </c>
      <c r="AY58" s="534">
        <f t="shared" ref="AY58:AY67" si="185">+CN58+EC58</f>
        <v>857</v>
      </c>
      <c r="AZ58" s="534">
        <f t="shared" ref="AZ58:AZ67" si="186">+CO58+ED58</f>
        <v>1004</v>
      </c>
      <c r="BA58" s="534">
        <f t="shared" ref="BA58:BA67" si="187">+CP58+EE58</f>
        <v>1027</v>
      </c>
      <c r="BB58" s="534">
        <f t="shared" ref="BB58:BB67" si="188">+CQ58+EF58</f>
        <v>1103</v>
      </c>
      <c r="BC58" s="534">
        <f t="shared" ref="BC58:BC67" si="189">+CR58+EG58</f>
        <v>1157</v>
      </c>
      <c r="BD58" s="534">
        <f t="shared" ref="BD58:BD67" si="190">+CS58+EH58</f>
        <v>1228</v>
      </c>
      <c r="BE58" s="534">
        <f t="shared" ref="BE58:BE67" si="191">+CT58+EI58</f>
        <v>1265</v>
      </c>
      <c r="BF58" s="534">
        <f t="shared" ref="BF58:BF67" si="192">+CU58+EJ58</f>
        <v>1368</v>
      </c>
      <c r="BG58" s="534">
        <f t="shared" ref="BG58:BG67" si="193">+CV58+EK58</f>
        <v>1329</v>
      </c>
      <c r="BH58" s="534">
        <f t="shared" ref="BH58:BH67" si="194">+CW58+EL58</f>
        <v>1411</v>
      </c>
      <c r="BI58" s="534">
        <f t="shared" ref="BI58:BI67" si="195">+CX58+EM58</f>
        <v>1325</v>
      </c>
      <c r="BJ58" s="534">
        <f t="shared" ref="BJ58:BJ67" si="196">+CY58+EN58</f>
        <v>1419</v>
      </c>
      <c r="BK58" s="534">
        <f t="shared" ref="BK58:BK67" si="197">+CZ58+EO58</f>
        <v>1592.3025630917641</v>
      </c>
      <c r="BL58" s="534">
        <f t="shared" ref="BL58:BL67" si="198">+DA58+EP58</f>
        <v>1748.3349098831752</v>
      </c>
      <c r="BM58" s="534">
        <f t="shared" ref="BM58:BM67" si="199">+DB58+EQ58</f>
        <v>1872.5313698446071</v>
      </c>
      <c r="BN58" s="186">
        <f t="shared" ref="BN58:BN66" si="200">+DC58+ER58</f>
        <v>1764.5447164834991</v>
      </c>
      <c r="BO58" s="186">
        <f t="shared" ref="BO58:BO66" si="201">+DD58+ES58</f>
        <v>1774.4025958456909</v>
      </c>
      <c r="BP58" s="186">
        <f t="shared" ref="BP58:BP66" si="202">+DE58+ET58</f>
        <v>1920.4370141343879</v>
      </c>
      <c r="BQ58" s="186">
        <f t="shared" ref="BQ58:BQ66" si="203">+DF58+EU58</f>
        <v>1900.418478168189</v>
      </c>
      <c r="BR58" s="186">
        <f t="shared" ref="BR58:BR66" si="204">+DG58+EV58</f>
        <v>2069.5103730133087</v>
      </c>
      <c r="BS58" s="186">
        <f t="shared" ref="BS58:BS66" si="205">+DH58+EW58</f>
        <v>1951.0454238709362</v>
      </c>
      <c r="BT58" s="186">
        <f t="shared" ref="BT58:BT66" si="206">+DI58+EX58</f>
        <v>2092.3504052526141</v>
      </c>
      <c r="BU58" s="186">
        <f t="shared" ref="BU58:BU66" si="207">+DJ58+EY58</f>
        <v>2167.4625995880965</v>
      </c>
      <c r="BV58" s="186">
        <f t="shared" ref="BV58:BV66" si="208">+DK58+EZ58</f>
        <v>2143.810183305874</v>
      </c>
      <c r="BW58" s="186">
        <f t="shared" ref="BW58:BW66" si="209">+DL58+FA58</f>
        <v>2154.0184018292512</v>
      </c>
      <c r="BX58" s="186">
        <f t="shared" ref="BX58:BX66" si="210">+DM58+FB58</f>
        <v>2056.8872816315097</v>
      </c>
      <c r="BY58" s="186">
        <f t="shared" ref="BY58:BY66" si="211">+DN58+FC58</f>
        <v>2224.7401990520975</v>
      </c>
      <c r="BZ58" s="186">
        <f t="shared" ref="BZ58:BZ66" si="212">+DO58+FD58</f>
        <v>2245.3076910728669</v>
      </c>
      <c r="CA58" s="186">
        <f t="shared" ref="CA58:CA66" si="213">+DP58+FE58</f>
        <v>2155.6331226484731</v>
      </c>
      <c r="CB58" s="186">
        <f t="shared" ref="CB58:CB66" si="214">+DQ58+FF58</f>
        <v>2270.5789877370739</v>
      </c>
      <c r="CC58" s="186">
        <f t="shared" ref="CC58:CC66" si="215">+DR58+FG58</f>
        <v>2163.0892538171188</v>
      </c>
      <c r="CD58" s="186">
        <f t="shared" ref="CD58:CD66" si="216">+DS58+FH58</f>
        <v>2212.7167707674753</v>
      </c>
      <c r="CE58" s="186">
        <f t="shared" ref="CE58:CE66" si="217">+DT58+FI58</f>
        <v>2131.7621206450972</v>
      </c>
      <c r="CF58" s="186">
        <f t="shared" ref="CF58:CF66" si="218">+DU58+FJ58</f>
        <v>2175.606489019322</v>
      </c>
      <c r="CG58" s="100">
        <v>51</v>
      </c>
      <c r="CH58" s="100">
        <v>45</v>
      </c>
      <c r="CI58" s="99">
        <v>56</v>
      </c>
      <c r="CJ58" s="99">
        <v>59</v>
      </c>
      <c r="CK58" s="99">
        <v>59</v>
      </c>
      <c r="CL58" s="99">
        <v>66</v>
      </c>
      <c r="CM58" s="100">
        <v>63</v>
      </c>
      <c r="CN58" s="99">
        <v>67</v>
      </c>
      <c r="CO58" s="99">
        <v>84</v>
      </c>
      <c r="CP58" s="99">
        <v>66</v>
      </c>
      <c r="CQ58" s="99">
        <v>74</v>
      </c>
      <c r="CR58" s="99">
        <v>87</v>
      </c>
      <c r="CS58" s="99">
        <v>102</v>
      </c>
      <c r="CT58" s="99">
        <v>93</v>
      </c>
      <c r="CU58" s="99">
        <v>117</v>
      </c>
      <c r="CV58" s="99">
        <v>102</v>
      </c>
      <c r="CW58" s="99">
        <v>104</v>
      </c>
      <c r="CX58" s="99">
        <v>77</v>
      </c>
      <c r="CY58" s="99">
        <v>95</v>
      </c>
      <c r="CZ58" s="99">
        <v>168.95801966920408</v>
      </c>
      <c r="DA58" s="99">
        <v>214.93120749266402</v>
      </c>
      <c r="DB58" s="99">
        <v>144.38324282490615</v>
      </c>
      <c r="DC58" s="180">
        <v>106.85666170081008</v>
      </c>
      <c r="DD58" s="180">
        <v>108.06975731187559</v>
      </c>
      <c r="DE58" s="180">
        <v>121.58587155726369</v>
      </c>
      <c r="DF58" s="180">
        <v>109.48782424927322</v>
      </c>
      <c r="DG58" s="180">
        <v>104.36051371942881</v>
      </c>
      <c r="DH58" s="181">
        <v>106.28326234757321</v>
      </c>
      <c r="DI58" s="180">
        <v>75.862651194726055</v>
      </c>
      <c r="DJ58" s="180">
        <v>88.020511473970444</v>
      </c>
      <c r="DK58" s="180">
        <v>79.81291052064816</v>
      </c>
      <c r="DL58" s="180">
        <v>74.163605207951122</v>
      </c>
      <c r="DM58" s="180">
        <v>67.480346893085695</v>
      </c>
      <c r="DN58" s="181">
        <v>62.152104771287306</v>
      </c>
      <c r="DO58" s="180">
        <v>65.510669501356389</v>
      </c>
      <c r="DP58" s="180">
        <v>85.843682232189352</v>
      </c>
      <c r="DQ58" s="180">
        <v>84.539126733116547</v>
      </c>
      <c r="DR58" s="180">
        <v>71.314439929737432</v>
      </c>
      <c r="DS58" s="180">
        <v>70.907326768140976</v>
      </c>
      <c r="DT58" s="180">
        <v>88.477043674466913</v>
      </c>
      <c r="DU58" s="180">
        <v>88.689674614559181</v>
      </c>
      <c r="DV58" s="100">
        <v>719</v>
      </c>
      <c r="DW58" s="100">
        <v>687</v>
      </c>
      <c r="DX58" s="99">
        <v>754</v>
      </c>
      <c r="DY58" s="99">
        <v>707</v>
      </c>
      <c r="DZ58" s="99">
        <v>725</v>
      </c>
      <c r="EA58" s="99">
        <v>807</v>
      </c>
      <c r="EB58" s="100">
        <v>795</v>
      </c>
      <c r="EC58" s="99">
        <v>790</v>
      </c>
      <c r="ED58" s="99">
        <v>920</v>
      </c>
      <c r="EE58" s="99">
        <v>961</v>
      </c>
      <c r="EF58" s="99">
        <v>1029</v>
      </c>
      <c r="EG58" s="99">
        <v>1070</v>
      </c>
      <c r="EH58" s="99">
        <v>1126</v>
      </c>
      <c r="EI58" s="99">
        <v>1172</v>
      </c>
      <c r="EJ58" s="99">
        <v>1251</v>
      </c>
      <c r="EK58" s="99">
        <v>1227</v>
      </c>
      <c r="EL58" s="99">
        <v>1307</v>
      </c>
      <c r="EM58" s="99">
        <v>1248</v>
      </c>
      <c r="EN58" s="99">
        <v>1324</v>
      </c>
      <c r="EO58" s="99">
        <v>1423.34454342256</v>
      </c>
      <c r="EP58" s="99">
        <v>1533.4037023905112</v>
      </c>
      <c r="EQ58" s="99">
        <v>1728.148127019701</v>
      </c>
      <c r="ER58" s="180">
        <v>1657.6880547826891</v>
      </c>
      <c r="ES58" s="180">
        <v>1666.3328385338154</v>
      </c>
      <c r="ET58" s="180">
        <v>1798.8511425771242</v>
      </c>
      <c r="EU58" s="180">
        <v>1790.9306539189158</v>
      </c>
      <c r="EV58" s="180">
        <v>1965.1498592938801</v>
      </c>
      <c r="EW58" s="181">
        <v>1844.7621615233631</v>
      </c>
      <c r="EX58" s="180">
        <v>2016.4877540578882</v>
      </c>
      <c r="EY58" s="180">
        <v>2079.4420881141259</v>
      </c>
      <c r="EZ58" s="180">
        <v>2063.997272785226</v>
      </c>
      <c r="FA58" s="180">
        <v>2079.8547966213</v>
      </c>
      <c r="FB58" s="180">
        <v>1989.4069347384241</v>
      </c>
      <c r="FC58" s="181">
        <v>2162.5880942808103</v>
      </c>
      <c r="FD58" s="180">
        <v>2179.7970215715104</v>
      </c>
      <c r="FE58" s="180">
        <v>2069.7894404162839</v>
      </c>
      <c r="FF58" s="180">
        <v>2186.0398610039574</v>
      </c>
      <c r="FG58" s="180">
        <v>2091.7748138873812</v>
      </c>
      <c r="FH58" s="180">
        <v>2141.8094439993342</v>
      </c>
      <c r="FI58" s="180">
        <v>2043.2850769706304</v>
      </c>
      <c r="FJ58" s="180">
        <v>2086.9168144047626</v>
      </c>
      <c r="FK58" s="100">
        <v>2727</v>
      </c>
      <c r="FL58" s="100">
        <v>2860</v>
      </c>
      <c r="FM58" s="99">
        <v>2941</v>
      </c>
      <c r="FN58" s="99">
        <v>2774</v>
      </c>
      <c r="FO58" s="99">
        <v>2854</v>
      </c>
      <c r="FP58" s="99">
        <v>3092</v>
      </c>
      <c r="FQ58" s="100">
        <v>3154</v>
      </c>
      <c r="FR58" s="99">
        <v>2920</v>
      </c>
      <c r="FS58" s="99">
        <v>3511</v>
      </c>
      <c r="FT58" s="99">
        <v>3369</v>
      </c>
      <c r="FU58" s="99">
        <v>3617</v>
      </c>
      <c r="FV58" s="99">
        <v>3952</v>
      </c>
      <c r="FW58" s="99">
        <v>3896</v>
      </c>
      <c r="FX58" s="99">
        <v>4051</v>
      </c>
      <c r="FY58" s="99">
        <v>4184</v>
      </c>
      <c r="FZ58" s="99">
        <v>4689</v>
      </c>
      <c r="GA58" s="99">
        <v>4775</v>
      </c>
      <c r="GB58" s="99">
        <v>4221</v>
      </c>
      <c r="GC58" s="99">
        <v>4226</v>
      </c>
      <c r="GD58" s="99">
        <v>4921.9171343485023</v>
      </c>
      <c r="GE58" s="99">
        <v>4769.5363027657868</v>
      </c>
      <c r="GF58" s="99">
        <v>4823.4366682043219</v>
      </c>
      <c r="GG58" s="180">
        <v>4588.3504037359153</v>
      </c>
      <c r="GH58" s="180">
        <v>4537.6649041429628</v>
      </c>
      <c r="GI58" s="180">
        <v>4558.6438679663352</v>
      </c>
      <c r="GJ58" s="180">
        <v>4542.0128461812474</v>
      </c>
      <c r="GK58" s="180">
        <v>4430.7399123195164</v>
      </c>
      <c r="GL58" s="181">
        <v>4270.5828654573852</v>
      </c>
      <c r="GM58" s="180">
        <v>4189.0438417293999</v>
      </c>
      <c r="GN58" s="180">
        <v>4100.7149500491741</v>
      </c>
      <c r="GO58" s="180">
        <v>4071.8753909032603</v>
      </c>
      <c r="GP58" s="180">
        <v>3966.0297675119505</v>
      </c>
      <c r="GQ58" s="180">
        <v>3975.4575610601187</v>
      </c>
      <c r="GR58" s="181">
        <v>3927.6647140795153</v>
      </c>
      <c r="GS58" s="180">
        <v>4077.9308144645743</v>
      </c>
      <c r="GT58" s="180">
        <v>3937.4864196212693</v>
      </c>
      <c r="GU58" s="180">
        <v>3733.9877540741136</v>
      </c>
      <c r="GV58" s="180">
        <v>3726.3591037469719</v>
      </c>
      <c r="GW58" s="180">
        <v>3682.6452234006715</v>
      </c>
      <c r="GX58" s="180">
        <v>3613.6980395786768</v>
      </c>
      <c r="GY58" s="180">
        <v>3620.371701687568</v>
      </c>
      <c r="GZ58" s="100">
        <v>1758</v>
      </c>
      <c r="HA58" s="100">
        <v>1755</v>
      </c>
      <c r="HB58" s="99">
        <v>1913</v>
      </c>
      <c r="HC58" s="99">
        <v>1940</v>
      </c>
      <c r="HD58" s="99">
        <v>1936</v>
      </c>
      <c r="HE58" s="99">
        <v>2132</v>
      </c>
      <c r="HF58" s="100">
        <v>2266</v>
      </c>
      <c r="HG58" s="99">
        <v>2262</v>
      </c>
      <c r="HH58" s="99">
        <v>2739</v>
      </c>
      <c r="HI58" s="99">
        <v>2563</v>
      </c>
      <c r="HJ58" s="99">
        <v>2886</v>
      </c>
      <c r="HK58" s="99">
        <v>3250</v>
      </c>
      <c r="HL58" s="99">
        <v>3319</v>
      </c>
      <c r="HM58" s="99">
        <v>3717</v>
      </c>
      <c r="HN58" s="99">
        <v>3623</v>
      </c>
      <c r="HO58" s="99">
        <v>4139</v>
      </c>
      <c r="HP58" s="99">
        <v>4451</v>
      </c>
      <c r="HQ58" s="99">
        <v>3861</v>
      </c>
      <c r="HR58" s="99">
        <v>4063</v>
      </c>
      <c r="HS58" s="99">
        <v>5301</v>
      </c>
      <c r="HT58" s="99">
        <v>5507</v>
      </c>
      <c r="HU58" s="99">
        <v>5838</v>
      </c>
      <c r="HV58" s="180">
        <v>5640.9386145651297</v>
      </c>
      <c r="HW58" s="180">
        <v>5845.2591034511543</v>
      </c>
      <c r="HX58" s="180">
        <v>6191.0516601502759</v>
      </c>
      <c r="HY58" s="180">
        <v>6403.1892204556216</v>
      </c>
      <c r="HZ58" s="180">
        <v>6515.8861647552958</v>
      </c>
      <c r="IA58" s="181">
        <v>6695.6386414189383</v>
      </c>
      <c r="IB58" s="180">
        <v>6841.1779193183129</v>
      </c>
      <c r="IC58" s="180">
        <v>7158.4500092207254</v>
      </c>
      <c r="ID58" s="180">
        <v>7347.3505914104471</v>
      </c>
      <c r="IE58" s="180">
        <v>7774.2493590666254</v>
      </c>
      <c r="IF58" s="180">
        <v>8082.3067828681851</v>
      </c>
      <c r="IG58" s="181">
        <v>8522.8738077720063</v>
      </c>
      <c r="IH58" s="180">
        <v>8344.1853354366485</v>
      </c>
      <c r="II58" s="180">
        <v>8271.684763020181</v>
      </c>
      <c r="IJ58" s="180">
        <v>7929.6789600818347</v>
      </c>
      <c r="IK58" s="180">
        <v>8070.7371764570917</v>
      </c>
      <c r="IL58" s="180">
        <v>7649.0999970688663</v>
      </c>
      <c r="IM58" s="180">
        <v>7900.2425701502216</v>
      </c>
      <c r="IN58" s="180">
        <v>7824.5831230601043</v>
      </c>
      <c r="IO58" s="100">
        <v>21826</v>
      </c>
      <c r="IP58" s="100">
        <v>21452</v>
      </c>
      <c r="IQ58" s="99">
        <v>20666</v>
      </c>
      <c r="IR58" s="99">
        <v>20965</v>
      </c>
      <c r="IS58" s="99">
        <v>20745</v>
      </c>
      <c r="IT58" s="99">
        <v>20932</v>
      </c>
      <c r="IU58" s="100">
        <v>21607</v>
      </c>
      <c r="IV58" s="99">
        <v>22245</v>
      </c>
      <c r="IW58" s="99">
        <v>24308</v>
      </c>
      <c r="IX58" s="99">
        <v>23429</v>
      </c>
      <c r="IY58" s="99">
        <v>24721</v>
      </c>
      <c r="IZ58" s="99">
        <v>25308</v>
      </c>
      <c r="JA58" s="99">
        <v>26130</v>
      </c>
      <c r="JB58" s="99">
        <v>26482</v>
      </c>
      <c r="JC58" s="99">
        <v>27047</v>
      </c>
      <c r="JD58" s="99">
        <v>27384</v>
      </c>
      <c r="JE58" s="99">
        <v>27782</v>
      </c>
      <c r="JF58" s="99">
        <v>25561</v>
      </c>
      <c r="JG58" s="99">
        <v>24787</v>
      </c>
      <c r="JH58" s="99">
        <v>27038.780302559735</v>
      </c>
      <c r="JI58" s="99">
        <v>26656.128787351037</v>
      </c>
      <c r="JJ58" s="99">
        <v>26188.03196195107</v>
      </c>
      <c r="JK58" s="180">
        <v>25397.480519046701</v>
      </c>
      <c r="JL58" s="180">
        <v>24123.404216338906</v>
      </c>
      <c r="JM58" s="180">
        <v>23999.914051961612</v>
      </c>
      <c r="JN58" s="180">
        <v>23731.29681611979</v>
      </c>
      <c r="JO58" s="180">
        <v>23094.836878737799</v>
      </c>
      <c r="JP58" s="181">
        <v>22679.141411059969</v>
      </c>
      <c r="JQ58" s="180">
        <v>21622.944466322802</v>
      </c>
      <c r="JR58" s="180">
        <v>22032.55278951296</v>
      </c>
      <c r="JS58" s="180">
        <v>21016.21738745549</v>
      </c>
      <c r="JT58" s="180">
        <v>20434.187131879258</v>
      </c>
      <c r="JU58" s="180">
        <v>19524.95184940684</v>
      </c>
      <c r="JV58" s="181">
        <v>19292.432668635902</v>
      </c>
      <c r="JW58" s="180">
        <v>18543.744069115921</v>
      </c>
      <c r="JX58" s="180">
        <v>17590.048938982334</v>
      </c>
      <c r="JY58" s="180">
        <v>16995.919405902663</v>
      </c>
      <c r="JZ58" s="180">
        <v>16544.02139733384</v>
      </c>
      <c r="KA58" s="180">
        <v>16356.4426402298</v>
      </c>
      <c r="KB58" s="180">
        <v>15929.16023814149</v>
      </c>
      <c r="KC58" s="180">
        <v>16100.605424098114</v>
      </c>
    </row>
    <row r="59" spans="1:289">
      <c r="A59" s="175" t="s">
        <v>79</v>
      </c>
      <c r="B59" s="100">
        <v>13177</v>
      </c>
      <c r="C59" s="100">
        <v>12103</v>
      </c>
      <c r="D59" s="99">
        <v>11384</v>
      </c>
      <c r="E59" s="99">
        <v>11501</v>
      </c>
      <c r="F59" s="99">
        <v>11795</v>
      </c>
      <c r="G59" s="99">
        <v>12019</v>
      </c>
      <c r="H59" s="100">
        <v>12171</v>
      </c>
      <c r="I59" s="99">
        <v>11988</v>
      </c>
      <c r="J59" s="99">
        <v>12292</v>
      </c>
      <c r="K59" s="99">
        <v>12654</v>
      </c>
      <c r="L59" s="99">
        <v>12593</v>
      </c>
      <c r="M59" s="99">
        <v>12947</v>
      </c>
      <c r="N59" s="99">
        <v>13278</v>
      </c>
      <c r="O59" s="99">
        <v>13077</v>
      </c>
      <c r="P59" s="99">
        <v>12950</v>
      </c>
      <c r="Q59" s="99">
        <v>13151</v>
      </c>
      <c r="R59" s="99">
        <v>14350</v>
      </c>
      <c r="S59" s="99">
        <v>14093</v>
      </c>
      <c r="T59" s="99">
        <v>14069</v>
      </c>
      <c r="U59" s="99">
        <v>13653</v>
      </c>
      <c r="V59" s="99">
        <v>13473</v>
      </c>
      <c r="W59" s="99">
        <v>13170</v>
      </c>
      <c r="X59" s="546">
        <v>11850</v>
      </c>
      <c r="Y59" s="180">
        <v>12696.406289270582</v>
      </c>
      <c r="Z59" s="180">
        <v>12573.613552514164</v>
      </c>
      <c r="AA59" s="180">
        <v>12664.386727159783</v>
      </c>
      <c r="AB59" s="180">
        <v>12320.52596581234</v>
      </c>
      <c r="AC59" s="180">
        <v>12229.526373574696</v>
      </c>
      <c r="AD59" s="181">
        <v>12090.28293677597</v>
      </c>
      <c r="AE59" s="180">
        <v>11834.296341583464</v>
      </c>
      <c r="AF59" s="180">
        <v>11800.932704171382</v>
      </c>
      <c r="AG59" s="180">
        <v>11972.94458074871</v>
      </c>
      <c r="AH59" s="180">
        <v>11886.376203563688</v>
      </c>
      <c r="AI59" s="180">
        <v>11715.904444639238</v>
      </c>
      <c r="AJ59" s="181">
        <v>11819.033813933622</v>
      </c>
      <c r="AK59" s="180">
        <v>11457.740513441639</v>
      </c>
      <c r="AL59" s="180">
        <v>11337.309816929919</v>
      </c>
      <c r="AM59" s="180">
        <v>10882.725755763851</v>
      </c>
      <c r="AN59" s="180">
        <v>10644.857795906084</v>
      </c>
      <c r="AO59" s="180">
        <v>10699.644876513121</v>
      </c>
      <c r="AP59" s="180">
        <v>10705.787242960112</v>
      </c>
      <c r="AQ59" s="180">
        <v>10655.704582043541</v>
      </c>
      <c r="AR59" s="533">
        <f t="shared" si="178"/>
        <v>192.28321001352595</v>
      </c>
      <c r="AS59" s="534">
        <f t="shared" si="179"/>
        <v>176.61104126839982</v>
      </c>
      <c r="AT59" s="534">
        <f t="shared" si="180"/>
        <v>146</v>
      </c>
      <c r="AU59" s="534">
        <f t="shared" si="181"/>
        <v>142</v>
      </c>
      <c r="AV59" s="534">
        <f t="shared" si="182"/>
        <v>198</v>
      </c>
      <c r="AW59" s="534">
        <f t="shared" si="183"/>
        <v>176</v>
      </c>
      <c r="AX59" s="534">
        <f t="shared" si="184"/>
        <v>147</v>
      </c>
      <c r="AY59" s="534">
        <f t="shared" si="185"/>
        <v>174</v>
      </c>
      <c r="AZ59" s="534">
        <f t="shared" si="186"/>
        <v>188</v>
      </c>
      <c r="BA59" s="534">
        <f t="shared" si="187"/>
        <v>196</v>
      </c>
      <c r="BB59" s="534">
        <f t="shared" si="188"/>
        <v>221</v>
      </c>
      <c r="BC59" s="534">
        <f t="shared" si="189"/>
        <v>226</v>
      </c>
      <c r="BD59" s="534">
        <f t="shared" si="190"/>
        <v>208</v>
      </c>
      <c r="BE59" s="534">
        <f t="shared" si="191"/>
        <v>260</v>
      </c>
      <c r="BF59" s="534">
        <f t="shared" si="192"/>
        <v>265</v>
      </c>
      <c r="BG59" s="534">
        <f t="shared" si="193"/>
        <v>260</v>
      </c>
      <c r="BH59" s="534">
        <f t="shared" si="194"/>
        <v>307</v>
      </c>
      <c r="BI59" s="534">
        <f t="shared" si="195"/>
        <v>306</v>
      </c>
      <c r="BJ59" s="534">
        <f t="shared" si="196"/>
        <v>317</v>
      </c>
      <c r="BK59" s="534">
        <f t="shared" si="197"/>
        <v>299.82941756394638</v>
      </c>
      <c r="BL59" s="534">
        <f t="shared" si="198"/>
        <v>340.24707096544944</v>
      </c>
      <c r="BM59" s="534">
        <f t="shared" si="199"/>
        <v>388.56706290765237</v>
      </c>
      <c r="BN59" s="186">
        <f t="shared" si="200"/>
        <v>384.19260619635611</v>
      </c>
      <c r="BO59" s="186">
        <f t="shared" si="201"/>
        <v>320.23448738395905</v>
      </c>
      <c r="BP59" s="186">
        <f t="shared" si="202"/>
        <v>408.09263082848486</v>
      </c>
      <c r="BQ59" s="186">
        <f t="shared" si="203"/>
        <v>369.90040959271209</v>
      </c>
      <c r="BR59" s="186">
        <f t="shared" si="204"/>
        <v>395.69439250224735</v>
      </c>
      <c r="BS59" s="186">
        <f t="shared" si="205"/>
        <v>450.22661160652376</v>
      </c>
      <c r="BT59" s="186">
        <f t="shared" si="206"/>
        <v>391.43777691994239</v>
      </c>
      <c r="BU59" s="186">
        <f t="shared" si="207"/>
        <v>415.87491942750796</v>
      </c>
      <c r="BV59" s="186">
        <f t="shared" si="208"/>
        <v>484.5926601876572</v>
      </c>
      <c r="BW59" s="186">
        <f t="shared" si="209"/>
        <v>433.30341753766686</v>
      </c>
      <c r="BX59" s="186">
        <f t="shared" si="210"/>
        <v>454.85578335627838</v>
      </c>
      <c r="BY59" s="186">
        <f t="shared" si="211"/>
        <v>408.62367913213859</v>
      </c>
      <c r="BZ59" s="186">
        <f t="shared" si="212"/>
        <v>468.45387928902744</v>
      </c>
      <c r="CA59" s="186">
        <f t="shared" si="213"/>
        <v>477.21020512690831</v>
      </c>
      <c r="CB59" s="186">
        <f t="shared" si="214"/>
        <v>441.56906665482808</v>
      </c>
      <c r="CC59" s="186">
        <f t="shared" si="215"/>
        <v>409.57128479521219</v>
      </c>
      <c r="CD59" s="186">
        <f t="shared" si="216"/>
        <v>471.54579801946534</v>
      </c>
      <c r="CE59" s="186">
        <f t="shared" si="217"/>
        <v>480.03758923036708</v>
      </c>
      <c r="CF59" s="186">
        <f t="shared" si="218"/>
        <v>515.18815653599347</v>
      </c>
      <c r="CG59" s="100">
        <v>59.322415206862104</v>
      </c>
      <c r="CH59" s="100">
        <v>54.487302970983684</v>
      </c>
      <c r="CI59" s="99">
        <v>48</v>
      </c>
      <c r="CJ59" s="99">
        <v>49</v>
      </c>
      <c r="CK59" s="99">
        <v>59</v>
      </c>
      <c r="CL59" s="99">
        <v>51</v>
      </c>
      <c r="CM59" s="100">
        <v>43</v>
      </c>
      <c r="CN59" s="99">
        <v>50</v>
      </c>
      <c r="CO59" s="99">
        <v>58</v>
      </c>
      <c r="CP59" s="99">
        <v>75</v>
      </c>
      <c r="CQ59" s="99">
        <v>77</v>
      </c>
      <c r="CR59" s="99">
        <v>78</v>
      </c>
      <c r="CS59" s="99">
        <v>71</v>
      </c>
      <c r="CT59" s="99">
        <v>88</v>
      </c>
      <c r="CU59" s="99">
        <v>69</v>
      </c>
      <c r="CV59" s="99">
        <v>76</v>
      </c>
      <c r="CW59" s="99">
        <v>73</v>
      </c>
      <c r="CX59" s="99">
        <v>90</v>
      </c>
      <c r="CY59" s="99">
        <v>100</v>
      </c>
      <c r="CZ59" s="99">
        <v>102.58066083819381</v>
      </c>
      <c r="DA59" s="99">
        <v>82.370740095021148</v>
      </c>
      <c r="DB59" s="99">
        <v>92.691210918752546</v>
      </c>
      <c r="DC59" s="180">
        <v>92.1780724647992</v>
      </c>
      <c r="DD59" s="180">
        <v>91.54683970675103</v>
      </c>
      <c r="DE59" s="180">
        <v>86.046070766583483</v>
      </c>
      <c r="DF59" s="180">
        <v>87.971313207998222</v>
      </c>
      <c r="DG59" s="180">
        <v>85.730680970568073</v>
      </c>
      <c r="DH59" s="181">
        <v>96.880614879578275</v>
      </c>
      <c r="DI59" s="180">
        <v>102.35441359530601</v>
      </c>
      <c r="DJ59" s="180">
        <v>98.324628097538067</v>
      </c>
      <c r="DK59" s="180">
        <v>103.9778032384877</v>
      </c>
      <c r="DL59" s="180">
        <v>118.3080828250163</v>
      </c>
      <c r="DM59" s="180">
        <v>93.848002406022232</v>
      </c>
      <c r="DN59" s="181">
        <v>103.07743936331009</v>
      </c>
      <c r="DO59" s="180">
        <v>117.59162624966824</v>
      </c>
      <c r="DP59" s="180">
        <v>118.8701022838561</v>
      </c>
      <c r="DQ59" s="180">
        <v>109.54853160702079</v>
      </c>
      <c r="DR59" s="180">
        <v>105.87827243608518</v>
      </c>
      <c r="DS59" s="180">
        <v>120.2153642637733</v>
      </c>
      <c r="DT59" s="180">
        <v>111.18495788118265</v>
      </c>
      <c r="DU59" s="180">
        <v>146.35294187760329</v>
      </c>
      <c r="DV59" s="100">
        <v>132.96079480666384</v>
      </c>
      <c r="DW59" s="100">
        <v>122.12373829741612</v>
      </c>
      <c r="DX59" s="99">
        <v>98</v>
      </c>
      <c r="DY59" s="99">
        <v>93</v>
      </c>
      <c r="DZ59" s="99">
        <v>139</v>
      </c>
      <c r="EA59" s="99">
        <v>125</v>
      </c>
      <c r="EB59" s="100">
        <v>104</v>
      </c>
      <c r="EC59" s="99">
        <v>124</v>
      </c>
      <c r="ED59" s="99">
        <v>130</v>
      </c>
      <c r="EE59" s="99">
        <v>121</v>
      </c>
      <c r="EF59" s="99">
        <v>144</v>
      </c>
      <c r="EG59" s="99">
        <v>148</v>
      </c>
      <c r="EH59" s="99">
        <v>137</v>
      </c>
      <c r="EI59" s="99">
        <v>172</v>
      </c>
      <c r="EJ59" s="99">
        <v>196</v>
      </c>
      <c r="EK59" s="99">
        <v>184</v>
      </c>
      <c r="EL59" s="99">
        <v>234</v>
      </c>
      <c r="EM59" s="99">
        <v>216</v>
      </c>
      <c r="EN59" s="99">
        <v>217</v>
      </c>
      <c r="EO59" s="99">
        <v>197.24875672575257</v>
      </c>
      <c r="EP59" s="99">
        <v>257.87633087042826</v>
      </c>
      <c r="EQ59" s="99">
        <v>295.8758519888998</v>
      </c>
      <c r="ER59" s="180">
        <v>292.01453373155692</v>
      </c>
      <c r="ES59" s="180">
        <v>228.68764767720799</v>
      </c>
      <c r="ET59" s="180">
        <v>322.0465600619014</v>
      </c>
      <c r="EU59" s="180">
        <v>281.92909638471389</v>
      </c>
      <c r="EV59" s="180">
        <v>309.96371153167928</v>
      </c>
      <c r="EW59" s="181">
        <v>353.34599672694549</v>
      </c>
      <c r="EX59" s="180">
        <v>289.08336332463637</v>
      </c>
      <c r="EY59" s="180">
        <v>317.55029132996992</v>
      </c>
      <c r="EZ59" s="180">
        <v>380.61485694916951</v>
      </c>
      <c r="FA59" s="180">
        <v>314.99533471265056</v>
      </c>
      <c r="FB59" s="180">
        <v>361.00778095025618</v>
      </c>
      <c r="FC59" s="181">
        <v>305.54623976882851</v>
      </c>
      <c r="FD59" s="180">
        <v>350.86225303935919</v>
      </c>
      <c r="FE59" s="180">
        <v>358.34010284305219</v>
      </c>
      <c r="FF59" s="180">
        <v>332.0205350478073</v>
      </c>
      <c r="FG59" s="180">
        <v>303.69301235912701</v>
      </c>
      <c r="FH59" s="180">
        <v>351.33043375569201</v>
      </c>
      <c r="FI59" s="180">
        <v>368.85263134918443</v>
      </c>
      <c r="FJ59" s="180">
        <v>368.83521465839021</v>
      </c>
      <c r="FK59" s="100">
        <v>95.168588518461334</v>
      </c>
      <c r="FL59" s="100">
        <v>87.411810490926428</v>
      </c>
      <c r="FM59" s="99">
        <v>57</v>
      </c>
      <c r="FN59" s="99">
        <v>65</v>
      </c>
      <c r="FO59" s="99">
        <v>131</v>
      </c>
      <c r="FP59" s="99">
        <v>59</v>
      </c>
      <c r="FQ59" s="100">
        <v>100</v>
      </c>
      <c r="FR59" s="99">
        <v>76</v>
      </c>
      <c r="FS59" s="99">
        <v>91</v>
      </c>
      <c r="FT59" s="99">
        <v>84</v>
      </c>
      <c r="FU59" s="99">
        <v>110</v>
      </c>
      <c r="FV59" s="99">
        <v>149</v>
      </c>
      <c r="FW59" s="99">
        <v>172</v>
      </c>
      <c r="FX59" s="99">
        <v>173</v>
      </c>
      <c r="FY59" s="99">
        <v>219</v>
      </c>
      <c r="FZ59" s="99">
        <v>227</v>
      </c>
      <c r="GA59" s="99">
        <v>285</v>
      </c>
      <c r="GB59" s="99">
        <v>274</v>
      </c>
      <c r="GC59" s="99">
        <v>290</v>
      </c>
      <c r="GD59" s="99">
        <v>280.67502439787904</v>
      </c>
      <c r="GE59" s="99">
        <v>316.15576866623081</v>
      </c>
      <c r="GF59" s="99">
        <v>321.28885044146909</v>
      </c>
      <c r="GG59" s="180">
        <v>385.85523887001597</v>
      </c>
      <c r="GH59" s="180">
        <v>416.24864921689272</v>
      </c>
      <c r="GI59" s="180">
        <v>398.96208074074252</v>
      </c>
      <c r="GJ59" s="180">
        <v>439.56224221200915</v>
      </c>
      <c r="GK59" s="180">
        <v>456.4691591181774</v>
      </c>
      <c r="GL59" s="181">
        <v>508.67936274418344</v>
      </c>
      <c r="GM59" s="180">
        <v>568.46381023378024</v>
      </c>
      <c r="GN59" s="180">
        <v>599.83767156117335</v>
      </c>
      <c r="GO59" s="180">
        <v>741.21612837163445</v>
      </c>
      <c r="GP59" s="180">
        <v>777.37061185862058</v>
      </c>
      <c r="GQ59" s="180">
        <v>742.4421627105412</v>
      </c>
      <c r="GR59" s="181">
        <v>902.84660780036177</v>
      </c>
      <c r="GS59" s="180">
        <v>1138.9948084028763</v>
      </c>
      <c r="GT59" s="180">
        <v>1206.1038930542334</v>
      </c>
      <c r="GU59" s="180">
        <v>1122.1004302133249</v>
      </c>
      <c r="GV59" s="180">
        <v>1148.106641872336</v>
      </c>
      <c r="GW59" s="180">
        <v>1178.1369653461486</v>
      </c>
      <c r="GX59" s="180">
        <v>1325.8177998053168</v>
      </c>
      <c r="GY59" s="180">
        <v>1316.9655000819632</v>
      </c>
      <c r="GZ59" s="100">
        <v>52.991982862250786</v>
      </c>
      <c r="HA59" s="100">
        <v>48.672836653397681</v>
      </c>
      <c r="HB59" s="99">
        <v>46</v>
      </c>
      <c r="HC59" s="99">
        <v>41</v>
      </c>
      <c r="HD59" s="99">
        <v>61</v>
      </c>
      <c r="HE59" s="99">
        <v>40</v>
      </c>
      <c r="HF59" s="100">
        <v>72</v>
      </c>
      <c r="HG59" s="99">
        <v>42</v>
      </c>
      <c r="HH59" s="99">
        <v>66</v>
      </c>
      <c r="HI59" s="99">
        <v>79</v>
      </c>
      <c r="HJ59" s="99">
        <v>61</v>
      </c>
      <c r="HK59" s="99">
        <v>74</v>
      </c>
      <c r="HL59" s="99">
        <v>76</v>
      </c>
      <c r="HM59" s="99">
        <v>92</v>
      </c>
      <c r="HN59" s="99">
        <v>107</v>
      </c>
      <c r="HO59" s="99">
        <v>103</v>
      </c>
      <c r="HP59" s="99">
        <v>129</v>
      </c>
      <c r="HQ59" s="99">
        <v>116</v>
      </c>
      <c r="HR59" s="99">
        <v>146</v>
      </c>
      <c r="HS59" s="99">
        <v>189</v>
      </c>
      <c r="HT59" s="99">
        <v>153</v>
      </c>
      <c r="HU59" s="99">
        <v>191</v>
      </c>
      <c r="HV59" s="180">
        <v>162.03289722372398</v>
      </c>
      <c r="HW59" s="180">
        <v>184.01296056134669</v>
      </c>
      <c r="HX59" s="180">
        <v>236.24600090759006</v>
      </c>
      <c r="HY59" s="180">
        <v>209.99433046273481</v>
      </c>
      <c r="HZ59" s="180">
        <v>227.73925501716957</v>
      </c>
      <c r="IA59" s="181">
        <v>277.67947488742738</v>
      </c>
      <c r="IB59" s="180">
        <v>282.57292500714084</v>
      </c>
      <c r="IC59" s="180">
        <v>301.54670361846831</v>
      </c>
      <c r="ID59" s="180">
        <v>338.48805565028999</v>
      </c>
      <c r="IE59" s="180">
        <v>342.82263467874816</v>
      </c>
      <c r="IF59" s="180">
        <v>431.49713313132986</v>
      </c>
      <c r="IG59" s="181">
        <v>434.58866378240066</v>
      </c>
      <c r="IH59" s="180">
        <v>436.37600059371107</v>
      </c>
      <c r="II59" s="180">
        <v>389.22989943038823</v>
      </c>
      <c r="IJ59" s="180">
        <v>414.85386168998355</v>
      </c>
      <c r="IK59" s="180">
        <v>413.95618769800865</v>
      </c>
      <c r="IL59" s="180">
        <v>415.02928443710863</v>
      </c>
      <c r="IM59" s="180">
        <v>341.26761109948802</v>
      </c>
      <c r="IN59" s="180">
        <v>396.53552969471934</v>
      </c>
      <c r="IO59" s="100">
        <v>12836.556218605763</v>
      </c>
      <c r="IP59" s="100">
        <v>11790.304311587277</v>
      </c>
      <c r="IQ59" s="99">
        <v>11135</v>
      </c>
      <c r="IR59" s="99">
        <v>11253</v>
      </c>
      <c r="IS59" s="99">
        <v>11405</v>
      </c>
      <c r="IT59" s="99">
        <v>11744</v>
      </c>
      <c r="IU59" s="100">
        <v>11852</v>
      </c>
      <c r="IV59" s="99">
        <v>11696</v>
      </c>
      <c r="IW59" s="99">
        <v>11947</v>
      </c>
      <c r="IX59" s="99">
        <v>12295</v>
      </c>
      <c r="IY59" s="99">
        <v>12201</v>
      </c>
      <c r="IZ59" s="99">
        <v>12498</v>
      </c>
      <c r="JA59" s="99">
        <v>12822</v>
      </c>
      <c r="JB59" s="99">
        <v>12552</v>
      </c>
      <c r="JC59" s="99">
        <v>12359</v>
      </c>
      <c r="JD59" s="99">
        <v>12561</v>
      </c>
      <c r="JE59" s="99">
        <v>13629</v>
      </c>
      <c r="JF59" s="99">
        <v>13397</v>
      </c>
      <c r="JG59" s="99">
        <v>13316</v>
      </c>
      <c r="JH59" s="99">
        <v>12883.495558038174</v>
      </c>
      <c r="JI59" s="99">
        <v>12663.597160368319</v>
      </c>
      <c r="JJ59" s="99">
        <v>12269.144086650878</v>
      </c>
      <c r="JK59" s="180">
        <v>11770.63696592815</v>
      </c>
      <c r="JL59" s="180">
        <v>11669.506658274668</v>
      </c>
      <c r="JM59" s="180">
        <v>11680.943906160728</v>
      </c>
      <c r="JN59" s="180">
        <v>11366.688952016186</v>
      </c>
      <c r="JO59" s="180">
        <v>11247.984089774829</v>
      </c>
      <c r="JP59" s="181">
        <v>11018.921005030334</v>
      </c>
      <c r="JQ59" s="180">
        <v>10791.742322505566</v>
      </c>
      <c r="JR59" s="180">
        <v>10740.434990885449</v>
      </c>
      <c r="JS59" s="180">
        <v>10778.545948010509</v>
      </c>
      <c r="JT59" s="180">
        <v>10713.099703599242</v>
      </c>
      <c r="JU59" s="180">
        <v>10536.338010485888</v>
      </c>
      <c r="JV59" s="181">
        <v>10602.829151368322</v>
      </c>
      <c r="JW59" s="180">
        <v>10189.594711845129</v>
      </c>
      <c r="JX59" s="180">
        <v>10060.421408923914</v>
      </c>
      <c r="JY59" s="180">
        <v>9652.2469633708115</v>
      </c>
      <c r="JZ59" s="180">
        <v>9401.8392581228982</v>
      </c>
      <c r="KA59" s="180">
        <v>9444.1893835568517</v>
      </c>
      <c r="KB59" s="180">
        <v>9442.2609481701984</v>
      </c>
      <c r="KC59" s="180">
        <v>9343.6064739633312</v>
      </c>
    </row>
    <row r="60" spans="1:289">
      <c r="A60" s="175" t="s">
        <v>80</v>
      </c>
      <c r="B60" s="100">
        <v>50317</v>
      </c>
      <c r="C60" s="100">
        <v>48321</v>
      </c>
      <c r="D60" s="99">
        <v>47453</v>
      </c>
      <c r="E60" s="99">
        <v>47679</v>
      </c>
      <c r="F60" s="99">
        <v>47993</v>
      </c>
      <c r="G60" s="99">
        <v>49008</v>
      </c>
      <c r="H60" s="100">
        <v>50452</v>
      </c>
      <c r="I60" s="99">
        <v>51465</v>
      </c>
      <c r="J60" s="99">
        <v>52950</v>
      </c>
      <c r="K60" s="99">
        <v>54393</v>
      </c>
      <c r="L60" s="99">
        <v>55272</v>
      </c>
      <c r="M60" s="99">
        <v>55987</v>
      </c>
      <c r="N60" s="99">
        <v>58326</v>
      </c>
      <c r="O60" s="99">
        <v>59665</v>
      </c>
      <c r="P60" s="99">
        <v>61272</v>
      </c>
      <c r="Q60" s="99">
        <v>63903</v>
      </c>
      <c r="R60" s="99">
        <v>65197</v>
      </c>
      <c r="S60" s="99">
        <v>65258</v>
      </c>
      <c r="T60" s="99">
        <v>64462</v>
      </c>
      <c r="U60" s="99">
        <v>64724</v>
      </c>
      <c r="V60" s="99">
        <v>65157</v>
      </c>
      <c r="W60" s="99">
        <v>66360</v>
      </c>
      <c r="X60" s="546">
        <v>67240</v>
      </c>
      <c r="Y60" s="180">
        <v>65065.158819469762</v>
      </c>
      <c r="Z60" s="180">
        <v>64872.271350680465</v>
      </c>
      <c r="AA60" s="180">
        <v>65848.337792437407</v>
      </c>
      <c r="AB60" s="180">
        <v>64341.254439904136</v>
      </c>
      <c r="AC60" s="180">
        <v>64929.678401477249</v>
      </c>
      <c r="AD60" s="181">
        <v>65036.764769328816</v>
      </c>
      <c r="AE60" s="180">
        <v>64466.97512787304</v>
      </c>
      <c r="AF60" s="180">
        <v>64830.569710017888</v>
      </c>
      <c r="AG60" s="180">
        <v>64737.749412556266</v>
      </c>
      <c r="AH60" s="180">
        <v>63881.97362599543</v>
      </c>
      <c r="AI60" s="180">
        <v>64609.636641717669</v>
      </c>
      <c r="AJ60" s="181">
        <v>65731.458393113469</v>
      </c>
      <c r="AK60" s="180">
        <v>64056.360198874325</v>
      </c>
      <c r="AL60" s="180">
        <v>62434.53720960614</v>
      </c>
      <c r="AM60" s="180">
        <v>60736.935573044604</v>
      </c>
      <c r="AN60" s="180">
        <v>61038.1133975556</v>
      </c>
      <c r="AO60" s="180">
        <v>60470.741328512246</v>
      </c>
      <c r="AP60" s="180">
        <v>59847.776330210865</v>
      </c>
      <c r="AQ60" s="180">
        <v>59949.593571858371</v>
      </c>
      <c r="AR60" s="533">
        <f t="shared" si="178"/>
        <v>1951</v>
      </c>
      <c r="AS60" s="534">
        <f t="shared" si="179"/>
        <v>2172</v>
      </c>
      <c r="AT60" s="534">
        <f t="shared" si="180"/>
        <v>2023</v>
      </c>
      <c r="AU60" s="534">
        <f t="shared" si="181"/>
        <v>1858</v>
      </c>
      <c r="AV60" s="534">
        <f t="shared" si="182"/>
        <v>1914</v>
      </c>
      <c r="AW60" s="534">
        <f t="shared" si="183"/>
        <v>2004</v>
      </c>
      <c r="AX60" s="534">
        <f t="shared" si="184"/>
        <v>2163</v>
      </c>
      <c r="AY60" s="534">
        <f t="shared" si="185"/>
        <v>2325</v>
      </c>
      <c r="AZ60" s="534">
        <f t="shared" si="186"/>
        <v>2433</v>
      </c>
      <c r="BA60" s="534">
        <f t="shared" si="187"/>
        <v>2622</v>
      </c>
      <c r="BB60" s="534">
        <f t="shared" si="188"/>
        <v>2829</v>
      </c>
      <c r="BC60" s="534">
        <f t="shared" si="189"/>
        <v>2849</v>
      </c>
      <c r="BD60" s="534">
        <f t="shared" si="190"/>
        <v>3002</v>
      </c>
      <c r="BE60" s="534">
        <f t="shared" si="191"/>
        <v>3126</v>
      </c>
      <c r="BF60" s="534">
        <f t="shared" si="192"/>
        <v>3056</v>
      </c>
      <c r="BG60" s="534">
        <f t="shared" si="193"/>
        <v>3145</v>
      </c>
      <c r="BH60" s="534">
        <f t="shared" si="194"/>
        <v>3233</v>
      </c>
      <c r="BI60" s="534">
        <f t="shared" si="195"/>
        <v>3499.4712407586258</v>
      </c>
      <c r="BJ60" s="534">
        <f t="shared" si="196"/>
        <v>3569.8729962982884</v>
      </c>
      <c r="BK60" s="534">
        <f t="shared" si="197"/>
        <v>3533.045399034886</v>
      </c>
      <c r="BL60" s="534">
        <f t="shared" si="198"/>
        <v>3669.2270866402264</v>
      </c>
      <c r="BM60" s="534">
        <f t="shared" si="199"/>
        <v>3851.4108529606879</v>
      </c>
      <c r="BN60" s="186">
        <f t="shared" si="200"/>
        <v>3886.5713067340448</v>
      </c>
      <c r="BO60" s="186">
        <f t="shared" si="201"/>
        <v>3944.0294046594067</v>
      </c>
      <c r="BP60" s="186">
        <f t="shared" si="202"/>
        <v>4018.9027610345242</v>
      </c>
      <c r="BQ60" s="186">
        <f t="shared" si="203"/>
        <v>4013.4537826981577</v>
      </c>
      <c r="BR60" s="186">
        <f t="shared" si="204"/>
        <v>4404.6267209261823</v>
      </c>
      <c r="BS60" s="186">
        <f t="shared" si="205"/>
        <v>4590.3228867617263</v>
      </c>
      <c r="BT60" s="186">
        <f t="shared" si="206"/>
        <v>4698.9859004431328</v>
      </c>
      <c r="BU60" s="186">
        <f t="shared" si="207"/>
        <v>5007.9488313454294</v>
      </c>
      <c r="BV60" s="186">
        <f t="shared" si="208"/>
        <v>5010.667682878292</v>
      </c>
      <c r="BW60" s="186">
        <f t="shared" si="209"/>
        <v>4859.4549776278554</v>
      </c>
      <c r="BX60" s="186">
        <f t="shared" si="210"/>
        <v>5077.6822385195364</v>
      </c>
      <c r="BY60" s="186">
        <f t="shared" si="211"/>
        <v>5317.5779448455796</v>
      </c>
      <c r="BZ60" s="186">
        <f t="shared" si="212"/>
        <v>5418.5348795849577</v>
      </c>
      <c r="CA60" s="186">
        <f t="shared" si="213"/>
        <v>5417.1865361503651</v>
      </c>
      <c r="CB60" s="186">
        <f t="shared" si="214"/>
        <v>5315.6038916694069</v>
      </c>
      <c r="CC60" s="186">
        <f t="shared" si="215"/>
        <v>93.57322896453536</v>
      </c>
      <c r="CD60" s="186">
        <f t="shared" si="216"/>
        <v>85.566511569267917</v>
      </c>
      <c r="CE60" s="186">
        <f t="shared" si="217"/>
        <v>87.063775600345068</v>
      </c>
      <c r="CF60" s="186">
        <f t="shared" si="218"/>
        <v>85.1597851502965</v>
      </c>
      <c r="CG60" s="100">
        <v>142</v>
      </c>
      <c r="CH60" s="100">
        <v>324</v>
      </c>
      <c r="CI60" s="99">
        <v>59</v>
      </c>
      <c r="CJ60" s="99">
        <v>54</v>
      </c>
      <c r="CK60" s="99">
        <v>73</v>
      </c>
      <c r="CL60" s="99">
        <v>66</v>
      </c>
      <c r="CM60" s="100">
        <v>75</v>
      </c>
      <c r="CN60" s="99">
        <v>57</v>
      </c>
      <c r="CO60" s="99">
        <v>111</v>
      </c>
      <c r="CP60" s="99">
        <v>105</v>
      </c>
      <c r="CQ60" s="99">
        <v>136</v>
      </c>
      <c r="CR60" s="99">
        <v>137</v>
      </c>
      <c r="CS60" s="99">
        <v>129</v>
      </c>
      <c r="CT60" s="99">
        <v>173</v>
      </c>
      <c r="CU60" s="99">
        <v>151</v>
      </c>
      <c r="CV60" s="99">
        <v>141</v>
      </c>
      <c r="CW60" s="99">
        <v>161</v>
      </c>
      <c r="CX60" s="99">
        <v>173.47124075862556</v>
      </c>
      <c r="CY60" s="99">
        <v>181.8729962982886</v>
      </c>
      <c r="CZ60" s="99">
        <v>158.0453990348858</v>
      </c>
      <c r="DA60" s="99">
        <v>153.22708664022628</v>
      </c>
      <c r="DB60" s="99">
        <v>156.41085296068798</v>
      </c>
      <c r="DC60" s="180">
        <v>134.57130673404475</v>
      </c>
      <c r="DD60" s="180">
        <v>161.02940465940685</v>
      </c>
      <c r="DE60" s="180">
        <v>145.90276103452433</v>
      </c>
      <c r="DF60" s="180">
        <v>137.45378269815785</v>
      </c>
      <c r="DG60" s="180">
        <v>117.62672092618212</v>
      </c>
      <c r="DH60" s="181">
        <v>116.32288676172654</v>
      </c>
      <c r="DI60" s="180">
        <v>118.98590044313289</v>
      </c>
      <c r="DJ60" s="180">
        <v>132.94883134542914</v>
      </c>
      <c r="DK60" s="180">
        <v>119.66768287829234</v>
      </c>
      <c r="DL60" s="180">
        <v>102.454977627855</v>
      </c>
      <c r="DM60" s="180">
        <v>113.68223851953647</v>
      </c>
      <c r="DN60" s="181">
        <v>102.57794484557985</v>
      </c>
      <c r="DO60" s="180">
        <v>137.53487958495768</v>
      </c>
      <c r="DP60" s="180">
        <v>107.18653615036553</v>
      </c>
      <c r="DQ60" s="180">
        <v>86.603891669406792</v>
      </c>
      <c r="DR60" s="180">
        <v>93.57322896453536</v>
      </c>
      <c r="DS60" s="180">
        <v>85.566511569267917</v>
      </c>
      <c r="DT60" s="180">
        <v>87.063775600345068</v>
      </c>
      <c r="DU60" s="180">
        <v>85.1597851502965</v>
      </c>
      <c r="DV60" s="100">
        <v>1809</v>
      </c>
      <c r="DW60" s="100">
        <v>1848</v>
      </c>
      <c r="DX60" s="99">
        <v>1964</v>
      </c>
      <c r="DY60" s="99">
        <v>1804</v>
      </c>
      <c r="DZ60" s="99">
        <v>1841</v>
      </c>
      <c r="EA60" s="99">
        <v>1938</v>
      </c>
      <c r="EB60" s="100">
        <v>2088</v>
      </c>
      <c r="EC60" s="99">
        <v>2268</v>
      </c>
      <c r="ED60" s="99">
        <v>2322</v>
      </c>
      <c r="EE60" s="99">
        <v>2517</v>
      </c>
      <c r="EF60" s="99">
        <v>2693</v>
      </c>
      <c r="EG60" s="99">
        <v>2712</v>
      </c>
      <c r="EH60" s="99">
        <v>2873</v>
      </c>
      <c r="EI60" s="99">
        <v>2953</v>
      </c>
      <c r="EJ60" s="99">
        <v>2905</v>
      </c>
      <c r="EK60" s="99">
        <v>3004</v>
      </c>
      <c r="EL60" s="99">
        <v>3072</v>
      </c>
      <c r="EM60" s="99">
        <v>3326</v>
      </c>
      <c r="EN60" s="99">
        <v>3388</v>
      </c>
      <c r="EO60" s="99">
        <v>3375</v>
      </c>
      <c r="EP60" s="99">
        <v>3516</v>
      </c>
      <c r="EQ60" s="99">
        <v>3695</v>
      </c>
      <c r="ER60" s="180">
        <v>3752</v>
      </c>
      <c r="ES60" s="180">
        <v>3783</v>
      </c>
      <c r="ET60" s="180">
        <v>3873</v>
      </c>
      <c r="EU60" s="180">
        <v>3876</v>
      </c>
      <c r="EV60" s="180">
        <v>4287</v>
      </c>
      <c r="EW60" s="181">
        <v>4474</v>
      </c>
      <c r="EX60" s="180">
        <v>4580</v>
      </c>
      <c r="EY60" s="180">
        <v>4875</v>
      </c>
      <c r="EZ60" s="180">
        <v>4891</v>
      </c>
      <c r="FA60" s="180">
        <v>4757</v>
      </c>
      <c r="FB60" s="180">
        <v>4964</v>
      </c>
      <c r="FC60" s="181">
        <v>5215</v>
      </c>
      <c r="FD60" s="180">
        <v>5281</v>
      </c>
      <c r="FE60" s="180">
        <v>5310</v>
      </c>
      <c r="FF60" s="180">
        <v>5229</v>
      </c>
      <c r="FG60" s="180"/>
      <c r="FH60" s="180"/>
      <c r="FI60" s="180"/>
      <c r="FJ60" s="180"/>
      <c r="FK60" s="100">
        <v>3176</v>
      </c>
      <c r="FL60" s="100">
        <v>3274</v>
      </c>
      <c r="FM60" s="99">
        <v>3395</v>
      </c>
      <c r="FN60" s="99">
        <v>3278</v>
      </c>
      <c r="FO60" s="99">
        <v>3420</v>
      </c>
      <c r="FP60" s="99">
        <v>3517</v>
      </c>
      <c r="FQ60" s="100">
        <v>3824</v>
      </c>
      <c r="FR60" s="99">
        <v>3830</v>
      </c>
      <c r="FS60" s="99">
        <v>4030</v>
      </c>
      <c r="FT60" s="99">
        <v>4222</v>
      </c>
      <c r="FU60" s="99">
        <v>3944</v>
      </c>
      <c r="FV60" s="99">
        <v>4089</v>
      </c>
      <c r="FW60" s="99">
        <v>4584</v>
      </c>
      <c r="FX60" s="99">
        <v>4638</v>
      </c>
      <c r="FY60" s="99">
        <v>4765</v>
      </c>
      <c r="FZ60" s="99">
        <v>4791</v>
      </c>
      <c r="GA60" s="99">
        <v>5161</v>
      </c>
      <c r="GB60" s="99">
        <v>5319.3778008125109</v>
      </c>
      <c r="GC60" s="99">
        <v>5220.2952124634485</v>
      </c>
      <c r="GD60" s="99">
        <v>5384.4620335386453</v>
      </c>
      <c r="GE60" s="99">
        <v>5590.0548383311216</v>
      </c>
      <c r="GF60" s="99">
        <v>5993.9261632989528</v>
      </c>
      <c r="GG60" s="180">
        <v>5705.1043848089193</v>
      </c>
      <c r="GH60" s="180">
        <v>5727.4640724555056</v>
      </c>
      <c r="GI60" s="180">
        <v>5937.9680872252839</v>
      </c>
      <c r="GJ60" s="180">
        <v>5813.1620485283784</v>
      </c>
      <c r="GK60" s="180">
        <v>5985.8017752264996</v>
      </c>
      <c r="GL60" s="181">
        <v>6111.9937930971028</v>
      </c>
      <c r="GM60" s="180">
        <v>6124.0146981270846</v>
      </c>
      <c r="GN60" s="180">
        <v>6092.1390101236657</v>
      </c>
      <c r="GO60" s="180">
        <v>6228.6828885829173</v>
      </c>
      <c r="GP60" s="180">
        <v>6490.808086175115</v>
      </c>
      <c r="GQ60" s="180">
        <v>6752.2099148611351</v>
      </c>
      <c r="GR60" s="181">
        <v>7044.3309338981935</v>
      </c>
      <c r="GS60" s="180">
        <v>6860.8078989739824</v>
      </c>
      <c r="GT60" s="180">
        <v>6884.3614231802048</v>
      </c>
      <c r="GU60" s="180">
        <v>6755.3760642626194</v>
      </c>
      <c r="GV60" s="180">
        <v>6830.6524708425386</v>
      </c>
      <c r="GW60" s="180">
        <v>6688.556785709312</v>
      </c>
      <c r="GX60" s="180">
        <v>6767.4663427921332</v>
      </c>
      <c r="GY60" s="180">
        <v>6829.2925691619284</v>
      </c>
      <c r="GZ60" s="100">
        <v>2358</v>
      </c>
      <c r="HA60" s="100">
        <v>2559</v>
      </c>
      <c r="HB60" s="99">
        <v>2770</v>
      </c>
      <c r="HC60" s="99">
        <v>2699</v>
      </c>
      <c r="HD60" s="99">
        <v>2926</v>
      </c>
      <c r="HE60" s="99">
        <v>3053</v>
      </c>
      <c r="HF60" s="100">
        <v>3306</v>
      </c>
      <c r="HG60" s="99">
        <v>3326</v>
      </c>
      <c r="HH60" s="99">
        <v>3505</v>
      </c>
      <c r="HI60" s="99">
        <v>3845</v>
      </c>
      <c r="HJ60" s="99">
        <v>3526</v>
      </c>
      <c r="HK60" s="99">
        <v>3676</v>
      </c>
      <c r="HL60" s="99">
        <v>4205</v>
      </c>
      <c r="HM60" s="99">
        <v>4532</v>
      </c>
      <c r="HN60" s="99">
        <v>5358</v>
      </c>
      <c r="HO60" s="99">
        <v>5918</v>
      </c>
      <c r="HP60" s="99">
        <v>6377</v>
      </c>
      <c r="HQ60" s="99">
        <v>6972</v>
      </c>
      <c r="HR60" s="99">
        <v>6979</v>
      </c>
      <c r="HS60" s="99">
        <v>7184</v>
      </c>
      <c r="HT60" s="99">
        <v>7421</v>
      </c>
      <c r="HU60" s="99">
        <v>7941</v>
      </c>
      <c r="HV60" s="180">
        <v>7836.0109789054668</v>
      </c>
      <c r="HW60" s="180">
        <v>8126.253539478018</v>
      </c>
      <c r="HX60" s="180">
        <v>8517.3671293457501</v>
      </c>
      <c r="HY60" s="180">
        <v>8494.9780591525941</v>
      </c>
      <c r="HZ60" s="180">
        <v>8899.6377108159613</v>
      </c>
      <c r="IA60" s="181">
        <v>9085.8984707651471</v>
      </c>
      <c r="IB60" s="180">
        <v>9434.3540787521288</v>
      </c>
      <c r="IC60" s="180">
        <v>9730.5425303164466</v>
      </c>
      <c r="ID60" s="180">
        <v>10100.197803717158</v>
      </c>
      <c r="IE60" s="180">
        <v>10502.273186305922</v>
      </c>
      <c r="IF60" s="180">
        <v>11387.085390260994</v>
      </c>
      <c r="IG60" s="181">
        <v>11845.006983470719</v>
      </c>
      <c r="IH60" s="180">
        <v>11511.735892782041</v>
      </c>
      <c r="II60" s="180">
        <v>11585.13492112902</v>
      </c>
      <c r="IJ60" s="180">
        <v>11215.150636532029</v>
      </c>
      <c r="IK60" s="180">
        <v>13328.291397241714</v>
      </c>
      <c r="IL60" s="180">
        <v>13339.526037844811</v>
      </c>
      <c r="IM60" s="180">
        <v>13088.545090407399</v>
      </c>
      <c r="IN60" s="180">
        <v>13453.46236688412</v>
      </c>
      <c r="IO60" s="100">
        <v>42832</v>
      </c>
      <c r="IP60" s="100">
        <v>40316</v>
      </c>
      <c r="IQ60" s="99">
        <v>39265</v>
      </c>
      <c r="IR60" s="99">
        <v>39844</v>
      </c>
      <c r="IS60" s="99">
        <v>39733</v>
      </c>
      <c r="IT60" s="99">
        <v>40434</v>
      </c>
      <c r="IU60" s="100">
        <v>41159</v>
      </c>
      <c r="IV60" s="99">
        <v>41984</v>
      </c>
      <c r="IW60" s="99">
        <v>42982</v>
      </c>
      <c r="IX60" s="99">
        <v>43704</v>
      </c>
      <c r="IY60" s="99">
        <v>44973</v>
      </c>
      <c r="IZ60" s="99">
        <v>45373</v>
      </c>
      <c r="JA60" s="99">
        <v>46535</v>
      </c>
      <c r="JB60" s="99">
        <v>47369</v>
      </c>
      <c r="JC60" s="99">
        <v>48093</v>
      </c>
      <c r="JD60" s="99">
        <v>49287</v>
      </c>
      <c r="JE60" s="99">
        <v>49566</v>
      </c>
      <c r="JF60" s="99">
        <v>49465.008728253633</v>
      </c>
      <c r="JG60" s="99">
        <v>48712.22539712306</v>
      </c>
      <c r="JH60" s="99">
        <v>48641.557802920826</v>
      </c>
      <c r="JI60" s="99">
        <v>48386.053323811248</v>
      </c>
      <c r="JJ60" s="99">
        <v>48314.935279486846</v>
      </c>
      <c r="JK60" s="180">
        <v>47327.968257417422</v>
      </c>
      <c r="JL60" s="180">
        <v>46697.819627208577</v>
      </c>
      <c r="JM60" s="180">
        <v>46929.131105572895</v>
      </c>
      <c r="JN60" s="180">
        <v>45433.394398896373</v>
      </c>
      <c r="JO60" s="180">
        <v>45115.563652291356</v>
      </c>
      <c r="JP60" s="181">
        <v>44734.734568100335</v>
      </c>
      <c r="JQ60" s="180">
        <v>43661.246239831729</v>
      </c>
      <c r="JR60" s="180">
        <v>43483.539063491975</v>
      </c>
      <c r="JS60" s="180">
        <v>42848.596781309709</v>
      </c>
      <c r="JT60" s="180">
        <v>41377.218189111998</v>
      </c>
      <c r="JU60" s="180">
        <v>40749.146121971382</v>
      </c>
      <c r="JV60" s="181">
        <v>40895.127975630036</v>
      </c>
      <c r="JW60" s="180">
        <v>39905.752266604562</v>
      </c>
      <c r="JX60" s="180">
        <v>38402.511273140539</v>
      </c>
      <c r="JY60" s="180">
        <v>37259.632199935288</v>
      </c>
      <c r="JZ60" s="180">
        <v>35330.626405233481</v>
      </c>
      <c r="KA60" s="180">
        <v>34543.756327045463</v>
      </c>
      <c r="KB60" s="180">
        <v>34188.141204677238</v>
      </c>
      <c r="KC60" s="180">
        <v>33807.40507489696</v>
      </c>
    </row>
    <row r="61" spans="1:289">
      <c r="A61" s="175" t="s">
        <v>81</v>
      </c>
      <c r="B61" s="100">
        <v>10329</v>
      </c>
      <c r="C61" s="100">
        <v>10065</v>
      </c>
      <c r="D61" s="99">
        <v>9933</v>
      </c>
      <c r="E61" s="99">
        <v>10145</v>
      </c>
      <c r="F61" s="99">
        <v>10094</v>
      </c>
      <c r="G61" s="99">
        <v>10487</v>
      </c>
      <c r="H61" s="100">
        <v>10843</v>
      </c>
      <c r="I61" s="99">
        <v>11250</v>
      </c>
      <c r="J61" s="99">
        <v>11829</v>
      </c>
      <c r="K61" s="99">
        <v>12294</v>
      </c>
      <c r="L61" s="99">
        <v>12452</v>
      </c>
      <c r="M61" s="99">
        <v>13210</v>
      </c>
      <c r="N61" s="99">
        <v>13309</v>
      </c>
      <c r="O61" s="99">
        <v>13775</v>
      </c>
      <c r="P61" s="99">
        <v>13988</v>
      </c>
      <c r="Q61" s="99">
        <v>14452</v>
      </c>
      <c r="R61" s="99">
        <v>14982</v>
      </c>
      <c r="S61" s="99">
        <v>14757</v>
      </c>
      <c r="T61" s="99">
        <v>15034</v>
      </c>
      <c r="U61" s="99">
        <v>14495</v>
      </c>
      <c r="V61" s="99">
        <v>14426</v>
      </c>
      <c r="W61" s="99">
        <v>14262</v>
      </c>
      <c r="X61" s="546">
        <v>13040</v>
      </c>
      <c r="Y61" s="180">
        <v>13699.6277470227</v>
      </c>
      <c r="Z61" s="180">
        <v>13461.769414323462</v>
      </c>
      <c r="AA61" s="180">
        <v>13405.280950788891</v>
      </c>
      <c r="AB61" s="180">
        <v>12967.495098387086</v>
      </c>
      <c r="AC61" s="180">
        <v>12963.785755054558</v>
      </c>
      <c r="AD61" s="181">
        <v>12661.027358973577</v>
      </c>
      <c r="AE61" s="180">
        <v>12632.473759362627</v>
      </c>
      <c r="AF61" s="180">
        <v>12391.467602259836</v>
      </c>
      <c r="AG61" s="180">
        <v>12410.960736115454</v>
      </c>
      <c r="AH61" s="180">
        <v>12112.779995427871</v>
      </c>
      <c r="AI61" s="180">
        <v>12068.117876345505</v>
      </c>
      <c r="AJ61" s="181">
        <v>11896.055290849818</v>
      </c>
      <c r="AK61" s="180">
        <v>11558.655567987085</v>
      </c>
      <c r="AL61" s="180">
        <v>11284.484396595366</v>
      </c>
      <c r="AM61" s="180">
        <v>10839.831686208307</v>
      </c>
      <c r="AN61" s="180">
        <v>10819.187130176388</v>
      </c>
      <c r="AO61" s="180">
        <v>10403.488712825845</v>
      </c>
      <c r="AP61" s="180">
        <v>10446.508146755665</v>
      </c>
      <c r="AQ61" s="180">
        <v>10365.050381670699</v>
      </c>
      <c r="AR61" s="533">
        <f t="shared" si="178"/>
        <v>152.17007002187913</v>
      </c>
      <c r="AS61" s="534">
        <f t="shared" si="179"/>
        <v>150.712890625</v>
      </c>
      <c r="AT61" s="534">
        <f t="shared" si="180"/>
        <v>142.90070521861776</v>
      </c>
      <c r="AU61" s="534">
        <f t="shared" si="181"/>
        <v>150.51653081784045</v>
      </c>
      <c r="AV61" s="534">
        <f t="shared" si="182"/>
        <v>138.61349581666062</v>
      </c>
      <c r="AW61" s="534">
        <f t="shared" si="183"/>
        <v>158</v>
      </c>
      <c r="AX61" s="534">
        <f t="shared" si="184"/>
        <v>140</v>
      </c>
      <c r="AY61" s="534">
        <f t="shared" si="185"/>
        <v>192</v>
      </c>
      <c r="AZ61" s="534">
        <f t="shared" si="186"/>
        <v>176</v>
      </c>
      <c r="BA61" s="534">
        <f t="shared" si="187"/>
        <v>221.82816341</v>
      </c>
      <c r="BB61" s="534">
        <f t="shared" si="188"/>
        <v>193.67074915999999</v>
      </c>
      <c r="BC61" s="534">
        <f t="shared" si="189"/>
        <v>226.64215686</v>
      </c>
      <c r="BD61" s="534">
        <f t="shared" si="190"/>
        <v>239.55278647</v>
      </c>
      <c r="BE61" s="534">
        <f t="shared" si="191"/>
        <v>240.29938709000001</v>
      </c>
      <c r="BF61" s="534">
        <f t="shared" si="192"/>
        <v>254</v>
      </c>
      <c r="BG61" s="534">
        <f t="shared" si="193"/>
        <v>268</v>
      </c>
      <c r="BH61" s="534">
        <f t="shared" si="194"/>
        <v>287</v>
      </c>
      <c r="BI61" s="534">
        <f t="shared" si="195"/>
        <v>314</v>
      </c>
      <c r="BJ61" s="534">
        <f t="shared" si="196"/>
        <v>296.14240415855073</v>
      </c>
      <c r="BK61" s="534">
        <f t="shared" si="197"/>
        <v>358.54823133389004</v>
      </c>
      <c r="BL61" s="534">
        <f t="shared" si="198"/>
        <v>391.70793090114182</v>
      </c>
      <c r="BM61" s="534">
        <f t="shared" si="199"/>
        <v>393.614650819747</v>
      </c>
      <c r="BN61" s="186">
        <f t="shared" si="200"/>
        <v>435.94079671344775</v>
      </c>
      <c r="BO61" s="186">
        <f t="shared" si="201"/>
        <v>442.71877695735412</v>
      </c>
      <c r="BP61" s="186">
        <f t="shared" si="202"/>
        <v>447.75534154789352</v>
      </c>
      <c r="BQ61" s="186">
        <f t="shared" si="203"/>
        <v>441.61087374500983</v>
      </c>
      <c r="BR61" s="186">
        <f t="shared" si="204"/>
        <v>470.60721677376381</v>
      </c>
      <c r="BS61" s="186">
        <f t="shared" si="205"/>
        <v>505.95095562426889</v>
      </c>
      <c r="BT61" s="186">
        <f t="shared" si="206"/>
        <v>508.57221097284429</v>
      </c>
      <c r="BU61" s="186">
        <f t="shared" si="207"/>
        <v>543.11354372874189</v>
      </c>
      <c r="BV61" s="186">
        <f t="shared" si="208"/>
        <v>539.71735229660464</v>
      </c>
      <c r="BW61" s="186">
        <f t="shared" si="209"/>
        <v>549.77463932835701</v>
      </c>
      <c r="BX61" s="186">
        <f t="shared" si="210"/>
        <v>510.03902497559443</v>
      </c>
      <c r="BY61" s="186">
        <f t="shared" si="211"/>
        <v>512.1500752227081</v>
      </c>
      <c r="BZ61" s="186">
        <f t="shared" si="212"/>
        <v>545.65747848326998</v>
      </c>
      <c r="CA61" s="186">
        <f t="shared" si="213"/>
        <v>550.89169050680323</v>
      </c>
      <c r="CB61" s="186">
        <f t="shared" si="214"/>
        <v>497.22259151307617</v>
      </c>
      <c r="CC61" s="186">
        <f t="shared" si="215"/>
        <v>506.36763962561224</v>
      </c>
      <c r="CD61" s="186">
        <f t="shared" si="216"/>
        <v>464.74838329398773</v>
      </c>
      <c r="CE61" s="186">
        <f t="shared" si="217"/>
        <v>479.84586536575119</v>
      </c>
      <c r="CF61" s="186">
        <f t="shared" si="218"/>
        <v>489.00258608092071</v>
      </c>
      <c r="CG61" s="100">
        <v>18.225016919969679</v>
      </c>
      <c r="CH61" s="100">
        <v>15.913783482142858</v>
      </c>
      <c r="CI61" s="99">
        <v>18.679830747531735</v>
      </c>
      <c r="CJ61" s="99">
        <v>18.582287755288945</v>
      </c>
      <c r="CK61" s="99">
        <v>15.60549290651146</v>
      </c>
      <c r="CL61" s="99">
        <v>23</v>
      </c>
      <c r="CM61" s="100">
        <v>23</v>
      </c>
      <c r="CN61" s="99">
        <v>35</v>
      </c>
      <c r="CO61" s="99">
        <v>21</v>
      </c>
      <c r="CP61" s="99">
        <v>27.374539309999999</v>
      </c>
      <c r="CQ61" s="99">
        <v>19.647757160000001</v>
      </c>
      <c r="CR61" s="99">
        <v>41.628151260000003</v>
      </c>
      <c r="CS61" s="99">
        <v>29.483419869999999</v>
      </c>
      <c r="CT61" s="99">
        <v>31.545093290000001</v>
      </c>
      <c r="CU61" s="99">
        <v>31</v>
      </c>
      <c r="CV61" s="99">
        <v>31</v>
      </c>
      <c r="CW61" s="99">
        <v>30</v>
      </c>
      <c r="CX61" s="99">
        <v>38</v>
      </c>
      <c r="CY61" s="99">
        <v>35.131379509775272</v>
      </c>
      <c r="CZ61" s="99">
        <v>43.185925515949108</v>
      </c>
      <c r="DA61" s="99">
        <v>38.301377893221549</v>
      </c>
      <c r="DB61" s="99">
        <v>37.375139551983899</v>
      </c>
      <c r="DC61" s="180">
        <v>40.791420323988831</v>
      </c>
      <c r="DD61" s="180">
        <v>32.459928686373686</v>
      </c>
      <c r="DE61" s="180">
        <v>42.00445235091891</v>
      </c>
      <c r="DF61" s="180">
        <v>29.242834780413116</v>
      </c>
      <c r="DG61" s="180">
        <v>28.698874237014689</v>
      </c>
      <c r="DH61" s="181">
        <v>19.630470609349501</v>
      </c>
      <c r="DI61" s="180">
        <v>28.42299972472679</v>
      </c>
      <c r="DJ61" s="180">
        <v>26.510032135586677</v>
      </c>
      <c r="DK61" s="180">
        <v>29.912235586745606</v>
      </c>
      <c r="DL61" s="180">
        <v>31.956213798493565</v>
      </c>
      <c r="DM61" s="180">
        <v>26.898536527767504</v>
      </c>
      <c r="DN61" s="181">
        <v>28.033110681387772</v>
      </c>
      <c r="DO61" s="180">
        <v>25.813638942717958</v>
      </c>
      <c r="DP61" s="180">
        <v>27.619496192465231</v>
      </c>
      <c r="DQ61" s="180">
        <v>20.568899019781558</v>
      </c>
      <c r="DR61" s="180">
        <v>26.682946643526257</v>
      </c>
      <c r="DS61" s="180">
        <v>10.534656990177398</v>
      </c>
      <c r="DT61" s="180">
        <v>28.321889669126204</v>
      </c>
      <c r="DU61" s="180">
        <v>10.720560863130217</v>
      </c>
      <c r="DV61" s="100">
        <v>133.94505310190945</v>
      </c>
      <c r="DW61" s="100">
        <v>134.79910714285714</v>
      </c>
      <c r="DX61" s="99">
        <v>124.22087447108603</v>
      </c>
      <c r="DY61" s="99">
        <v>131.9342430625515</v>
      </c>
      <c r="DZ61" s="99">
        <v>123.00800291014914</v>
      </c>
      <c r="EA61" s="99">
        <v>135</v>
      </c>
      <c r="EB61" s="100">
        <v>117</v>
      </c>
      <c r="EC61" s="99">
        <v>157</v>
      </c>
      <c r="ED61" s="99">
        <v>155</v>
      </c>
      <c r="EE61" s="99">
        <v>194.45362410000001</v>
      </c>
      <c r="EF61" s="99">
        <v>174.02299199999999</v>
      </c>
      <c r="EG61" s="99">
        <v>185.01400559999999</v>
      </c>
      <c r="EH61" s="99">
        <v>210.0693666</v>
      </c>
      <c r="EI61" s="99">
        <v>208.7542938</v>
      </c>
      <c r="EJ61" s="99">
        <v>223</v>
      </c>
      <c r="EK61" s="99">
        <v>237</v>
      </c>
      <c r="EL61" s="99">
        <v>257</v>
      </c>
      <c r="EM61" s="99">
        <v>276</v>
      </c>
      <c r="EN61" s="99">
        <v>261.01102464877545</v>
      </c>
      <c r="EO61" s="99">
        <v>315.36230581794092</v>
      </c>
      <c r="EP61" s="99">
        <v>353.40655300792025</v>
      </c>
      <c r="EQ61" s="99">
        <v>356.23951126776308</v>
      </c>
      <c r="ER61" s="180">
        <v>395.14937638945895</v>
      </c>
      <c r="ES61" s="180">
        <v>410.25884827098042</v>
      </c>
      <c r="ET61" s="180">
        <v>405.75088919697458</v>
      </c>
      <c r="EU61" s="180">
        <v>412.36803896459674</v>
      </c>
      <c r="EV61" s="180">
        <v>441.9083425367491</v>
      </c>
      <c r="EW61" s="181">
        <v>486.32048501491937</v>
      </c>
      <c r="EX61" s="180">
        <v>480.14921124811752</v>
      </c>
      <c r="EY61" s="180">
        <v>516.60351159315519</v>
      </c>
      <c r="EZ61" s="180">
        <v>509.80511670985902</v>
      </c>
      <c r="FA61" s="180">
        <v>517.81842552986348</v>
      </c>
      <c r="FB61" s="180">
        <v>483.14048844782695</v>
      </c>
      <c r="FC61" s="181">
        <v>484.11696454132033</v>
      </c>
      <c r="FD61" s="180">
        <v>519.84383954055204</v>
      </c>
      <c r="FE61" s="180">
        <v>523.27219431433798</v>
      </c>
      <c r="FF61" s="180">
        <v>476.65369249329461</v>
      </c>
      <c r="FG61" s="180">
        <v>479.68469298208601</v>
      </c>
      <c r="FH61" s="180">
        <v>454.21372630381035</v>
      </c>
      <c r="FI61" s="180">
        <v>451.52397569662497</v>
      </c>
      <c r="FJ61" s="180">
        <v>478.28202521779048</v>
      </c>
      <c r="FK61" s="100">
        <v>85.661418544590077</v>
      </c>
      <c r="FL61" s="100">
        <v>82.377232142857153</v>
      </c>
      <c r="FM61" s="99">
        <v>80.323272214386449</v>
      </c>
      <c r="FN61" s="99">
        <v>87.336752449858039</v>
      </c>
      <c r="FO61" s="99">
        <v>75.273554019643498</v>
      </c>
      <c r="FP61" s="99">
        <v>88</v>
      </c>
      <c r="FQ61" s="100">
        <v>89</v>
      </c>
      <c r="FR61" s="99">
        <v>88</v>
      </c>
      <c r="FS61" s="99">
        <v>92</v>
      </c>
      <c r="FT61" s="99">
        <v>117.9937039</v>
      </c>
      <c r="FU61" s="99">
        <v>118.8221504</v>
      </c>
      <c r="FV61" s="99">
        <v>116.5588235</v>
      </c>
      <c r="FW61" s="99">
        <v>141.8889581</v>
      </c>
      <c r="FX61" s="99">
        <v>173.49801310000001</v>
      </c>
      <c r="FY61" s="99">
        <v>215</v>
      </c>
      <c r="FZ61" s="99">
        <v>257</v>
      </c>
      <c r="GA61" s="99">
        <v>320</v>
      </c>
      <c r="GB61" s="99">
        <v>359</v>
      </c>
      <c r="GC61" s="99">
        <v>206.12657284588636</v>
      </c>
      <c r="GD61" s="99">
        <v>245.29150663469463</v>
      </c>
      <c r="GE61" s="99">
        <v>236.7775255664254</v>
      </c>
      <c r="GF61" s="99">
        <v>263.35453293244649</v>
      </c>
      <c r="GG61" s="180">
        <v>288.28935733523184</v>
      </c>
      <c r="GH61" s="180">
        <v>268.31119919545245</v>
      </c>
      <c r="GI61" s="180">
        <v>290.4025414373038</v>
      </c>
      <c r="GJ61" s="180">
        <v>237.94674531976989</v>
      </c>
      <c r="GK61" s="180">
        <v>242.8492285990169</v>
      </c>
      <c r="GL61" s="181">
        <v>228.27872116637315</v>
      </c>
      <c r="GM61" s="180">
        <v>239.84847277881789</v>
      </c>
      <c r="GN61" s="180">
        <v>219.20756405459736</v>
      </c>
      <c r="GO61" s="180">
        <v>205.13237545561626</v>
      </c>
      <c r="GP61" s="180">
        <v>211.43578317352305</v>
      </c>
      <c r="GQ61" s="180">
        <v>213.82999388088231</v>
      </c>
      <c r="GR61" s="181">
        <v>183.14462787546603</v>
      </c>
      <c r="GS61" s="180">
        <v>234.05938022049054</v>
      </c>
      <c r="GT61" s="180">
        <v>217.87590367983853</v>
      </c>
      <c r="GU61" s="180">
        <v>222.95022865156545</v>
      </c>
      <c r="GV61" s="180">
        <v>225.14154269757125</v>
      </c>
      <c r="GW61" s="180">
        <v>193.4951709046511</v>
      </c>
      <c r="GX61" s="180">
        <v>209.01763881858722</v>
      </c>
      <c r="GY61" s="180">
        <v>183.8547250630094</v>
      </c>
      <c r="GZ61" s="100">
        <v>104.80439045564857</v>
      </c>
      <c r="HA61" s="100">
        <v>94.546595982142847</v>
      </c>
      <c r="HB61" s="99">
        <v>98.069111424541617</v>
      </c>
      <c r="HC61" s="99">
        <v>113.35195530726257</v>
      </c>
      <c r="HD61" s="99">
        <v>108.32048017460896</v>
      </c>
      <c r="HE61" s="99">
        <v>111</v>
      </c>
      <c r="HF61" s="100">
        <v>111</v>
      </c>
      <c r="HG61" s="99">
        <v>124</v>
      </c>
      <c r="HH61" s="99">
        <v>122</v>
      </c>
      <c r="HI61" s="99">
        <v>164.24723589999999</v>
      </c>
      <c r="HJ61" s="99">
        <v>211.44729129999999</v>
      </c>
      <c r="HK61" s="99">
        <v>212.76610640000001</v>
      </c>
      <c r="HL61" s="99">
        <v>231.26057460000001</v>
      </c>
      <c r="HM61" s="99">
        <v>256.99973060000002</v>
      </c>
      <c r="HN61" s="99">
        <v>222</v>
      </c>
      <c r="HO61" s="99">
        <v>188</v>
      </c>
      <c r="HP61" s="99">
        <v>201</v>
      </c>
      <c r="HQ61" s="99">
        <v>192</v>
      </c>
      <c r="HR61" s="99">
        <v>392</v>
      </c>
      <c r="HS61" s="99">
        <v>443</v>
      </c>
      <c r="HT61" s="99">
        <v>471</v>
      </c>
      <c r="HU61" s="99">
        <v>457</v>
      </c>
      <c r="HV61" s="180">
        <v>403.65573755163103</v>
      </c>
      <c r="HW61" s="180">
        <v>447.7232087895465</v>
      </c>
      <c r="HX61" s="180">
        <v>537.85592422866728</v>
      </c>
      <c r="HY61" s="180">
        <v>503.72011445041431</v>
      </c>
      <c r="HZ61" s="180">
        <v>534.9724282416455</v>
      </c>
      <c r="IA61" s="181">
        <v>530.51831489495237</v>
      </c>
      <c r="IB61" s="180">
        <v>578.91345815308057</v>
      </c>
      <c r="IC61" s="180">
        <v>590.18950721827628</v>
      </c>
      <c r="ID61" s="180">
        <v>650.07122084494449</v>
      </c>
      <c r="IE61" s="180">
        <v>714.29866566853525</v>
      </c>
      <c r="IF61" s="180">
        <v>731.34792251144188</v>
      </c>
      <c r="IG61" s="181">
        <v>818.7458794130838</v>
      </c>
      <c r="IH61" s="180">
        <v>725.12539540609112</v>
      </c>
      <c r="II61" s="180">
        <v>739.87784874854231</v>
      </c>
      <c r="IJ61" s="180">
        <v>706.13740141441644</v>
      </c>
      <c r="IK61" s="180">
        <v>717.31761324588217</v>
      </c>
      <c r="IL61" s="180">
        <v>748.06477142814902</v>
      </c>
      <c r="IM61" s="180">
        <v>684.50083238063553</v>
      </c>
      <c r="IN61" s="180">
        <v>788.98456641474411</v>
      </c>
      <c r="IO61" s="100">
        <v>9986.3641209778816</v>
      </c>
      <c r="IP61" s="100">
        <v>9737.36328125</v>
      </c>
      <c r="IQ61" s="99">
        <v>9611.7069111424535</v>
      </c>
      <c r="IR61" s="99">
        <v>9793.7947614250388</v>
      </c>
      <c r="IS61" s="99">
        <v>9771.7924699890864</v>
      </c>
      <c r="IT61" s="99">
        <v>10130</v>
      </c>
      <c r="IU61" s="100">
        <v>10503</v>
      </c>
      <c r="IV61" s="99">
        <v>10846</v>
      </c>
      <c r="IW61" s="99">
        <v>11439</v>
      </c>
      <c r="IX61" s="99">
        <v>11789.930899999999</v>
      </c>
      <c r="IY61" s="99">
        <v>11928.059810000001</v>
      </c>
      <c r="IZ61" s="99">
        <v>12654.03291</v>
      </c>
      <c r="JA61" s="99">
        <v>12696.29768</v>
      </c>
      <c r="JB61" s="99">
        <v>13104.202869999999</v>
      </c>
      <c r="JC61" s="99">
        <v>13422</v>
      </c>
      <c r="JD61" s="99">
        <v>13739</v>
      </c>
      <c r="JE61" s="99">
        <v>14174</v>
      </c>
      <c r="JF61" s="99">
        <v>13892</v>
      </c>
      <c r="JG61" s="99">
        <v>14139.731022995564</v>
      </c>
      <c r="JH61" s="99">
        <v>13448.160262031415</v>
      </c>
      <c r="JI61" s="99">
        <v>13326.514543532432</v>
      </c>
      <c r="JJ61" s="99">
        <v>13148.030816247807</v>
      </c>
      <c r="JK61" s="180">
        <v>12578.174336595241</v>
      </c>
      <c r="JL61" s="180">
        <v>12311.548632696999</v>
      </c>
      <c r="JM61" s="180">
        <v>12133.680557000131</v>
      </c>
      <c r="JN61" s="180">
        <v>11792.989078806806</v>
      </c>
      <c r="JO61" s="180">
        <v>11732.591268171789</v>
      </c>
      <c r="JP61" s="181">
        <v>11427.491806814754</v>
      </c>
      <c r="JQ61" s="180">
        <v>11335.056083022448</v>
      </c>
      <c r="JR61" s="180">
        <v>11080.861836986092</v>
      </c>
      <c r="JS61" s="180">
        <v>11063.346911663744</v>
      </c>
      <c r="JT61" s="180">
        <v>10696.150030025496</v>
      </c>
      <c r="JU61" s="180">
        <v>10675.523383299344</v>
      </c>
      <c r="JV61" s="181">
        <v>10465.573399893408</v>
      </c>
      <c r="JW61" s="180">
        <v>10143.290464815525</v>
      </c>
      <c r="JX61" s="180">
        <v>9875.8203814676835</v>
      </c>
      <c r="JY61" s="180">
        <v>9500.9897152860231</v>
      </c>
      <c r="JZ61" s="180">
        <v>9334.9652929652621</v>
      </c>
      <c r="KA61" s="180">
        <v>8994.4513363440747</v>
      </c>
      <c r="KB61" s="180">
        <v>9072.7822703691436</v>
      </c>
      <c r="KC61" s="180">
        <v>8950.2500161854696</v>
      </c>
    </row>
    <row r="62" spans="1:289">
      <c r="A62" s="175" t="s">
        <v>82</v>
      </c>
      <c r="B62" s="100">
        <v>66669</v>
      </c>
      <c r="C62" s="100">
        <v>67134</v>
      </c>
      <c r="D62" s="99">
        <v>66125</v>
      </c>
      <c r="E62" s="99">
        <v>67403</v>
      </c>
      <c r="F62" s="99">
        <v>67738.786325541965</v>
      </c>
      <c r="G62" s="99">
        <v>70063</v>
      </c>
      <c r="H62" s="100">
        <v>65141</v>
      </c>
      <c r="I62" s="99">
        <v>67513</v>
      </c>
      <c r="J62" s="99">
        <v>74421</v>
      </c>
      <c r="K62" s="99">
        <v>76130</v>
      </c>
      <c r="L62" s="99">
        <v>77664</v>
      </c>
      <c r="M62" s="99">
        <v>81391</v>
      </c>
      <c r="N62" s="99">
        <v>83826</v>
      </c>
      <c r="O62" s="99">
        <v>86502</v>
      </c>
      <c r="P62" s="99">
        <v>90049</v>
      </c>
      <c r="Q62" s="99">
        <v>93013</v>
      </c>
      <c r="R62" s="99">
        <v>94994</v>
      </c>
      <c r="S62" s="99">
        <v>95085</v>
      </c>
      <c r="T62" s="99">
        <v>96225</v>
      </c>
      <c r="U62" s="99">
        <v>95186</v>
      </c>
      <c r="V62" s="99">
        <v>93819</v>
      </c>
      <c r="W62" s="99">
        <v>96490</v>
      </c>
      <c r="X62" s="546">
        <v>96610</v>
      </c>
      <c r="Y62" s="180">
        <v>94347.394533928469</v>
      </c>
      <c r="Z62" s="180">
        <v>94549.134602376347</v>
      </c>
      <c r="AA62" s="180">
        <v>94276.181776619487</v>
      </c>
      <c r="AB62" s="180">
        <v>93027.143148705029</v>
      </c>
      <c r="AC62" s="180">
        <v>94076.766170296498</v>
      </c>
      <c r="AD62" s="181">
        <v>93943.626257541982</v>
      </c>
      <c r="AE62" s="180">
        <v>92811.828104594955</v>
      </c>
      <c r="AF62" s="180">
        <v>93353.389573759574</v>
      </c>
      <c r="AG62" s="180">
        <v>93847.977104298086</v>
      </c>
      <c r="AH62" s="180">
        <v>92902.245382560097</v>
      </c>
      <c r="AI62" s="180">
        <v>93845.971781491651</v>
      </c>
      <c r="AJ62" s="181">
        <v>95094.946104973933</v>
      </c>
      <c r="AK62" s="180">
        <v>91799.377172852517</v>
      </c>
      <c r="AL62" s="180">
        <v>90000.345529626982</v>
      </c>
      <c r="AM62" s="180">
        <v>87274.954099340524</v>
      </c>
      <c r="AN62" s="180">
        <v>86434.911969570705</v>
      </c>
      <c r="AO62" s="180">
        <v>85093.469511073825</v>
      </c>
      <c r="AP62" s="180">
        <v>83698.926248447649</v>
      </c>
      <c r="AQ62" s="180">
        <v>84306.92463113938</v>
      </c>
      <c r="AR62" s="533">
        <f t="shared" si="178"/>
        <v>3383</v>
      </c>
      <c r="AS62" s="534">
        <f t="shared" si="179"/>
        <v>3685</v>
      </c>
      <c r="AT62" s="534">
        <f t="shared" si="180"/>
        <v>3914</v>
      </c>
      <c r="AU62" s="534">
        <f t="shared" si="181"/>
        <v>4027</v>
      </c>
      <c r="AV62" s="534">
        <f t="shared" si="182"/>
        <v>4575.9687160659141</v>
      </c>
      <c r="AW62" s="534">
        <f t="shared" si="183"/>
        <v>4733</v>
      </c>
      <c r="AX62" s="534">
        <f t="shared" si="184"/>
        <v>4401</v>
      </c>
      <c r="AY62" s="534">
        <f t="shared" si="185"/>
        <v>4745</v>
      </c>
      <c r="AZ62" s="534">
        <f t="shared" si="186"/>
        <v>5405</v>
      </c>
      <c r="BA62" s="534">
        <f t="shared" si="187"/>
        <v>5574</v>
      </c>
      <c r="BB62" s="534">
        <f t="shared" si="188"/>
        <v>5751</v>
      </c>
      <c r="BC62" s="534">
        <f t="shared" si="189"/>
        <v>6289</v>
      </c>
      <c r="BD62" s="534">
        <f t="shared" si="190"/>
        <v>6344</v>
      </c>
      <c r="BE62" s="534">
        <f t="shared" si="191"/>
        <v>6752</v>
      </c>
      <c r="BF62" s="534">
        <f t="shared" si="192"/>
        <v>7302</v>
      </c>
      <c r="BG62" s="534">
        <f t="shared" si="193"/>
        <v>7440</v>
      </c>
      <c r="BH62" s="534">
        <f t="shared" si="194"/>
        <v>7728</v>
      </c>
      <c r="BI62" s="534">
        <f t="shared" si="195"/>
        <v>8212.3016306989193</v>
      </c>
      <c r="BJ62" s="534">
        <f t="shared" si="196"/>
        <v>8054.3576726237097</v>
      </c>
      <c r="BK62" s="534">
        <f t="shared" si="197"/>
        <v>8426.7040977782544</v>
      </c>
      <c r="BL62" s="534">
        <f t="shared" si="198"/>
        <v>8500.4116818808689</v>
      </c>
      <c r="BM62" s="534">
        <f t="shared" si="199"/>
        <v>8938.3693957087235</v>
      </c>
      <c r="BN62" s="186">
        <f t="shared" si="200"/>
        <v>9166.8922183881787</v>
      </c>
      <c r="BO62" s="186">
        <f t="shared" si="201"/>
        <v>9301.811535527122</v>
      </c>
      <c r="BP62" s="186">
        <f t="shared" si="202"/>
        <v>9494.3003132181784</v>
      </c>
      <c r="BQ62" s="186">
        <f t="shared" si="203"/>
        <v>9411.7498072979051</v>
      </c>
      <c r="BR62" s="186">
        <f t="shared" si="204"/>
        <v>9947.5432336323429</v>
      </c>
      <c r="BS62" s="186">
        <f t="shared" si="205"/>
        <v>10100.969019598941</v>
      </c>
      <c r="BT62" s="186">
        <f t="shared" si="206"/>
        <v>10161.598494063661</v>
      </c>
      <c r="BU62" s="186">
        <f t="shared" si="207"/>
        <v>10568.126513785533</v>
      </c>
      <c r="BV62" s="186">
        <f t="shared" si="208"/>
        <v>10665.806153091633</v>
      </c>
      <c r="BW62" s="186">
        <f t="shared" si="209"/>
        <v>10555.633958653874</v>
      </c>
      <c r="BX62" s="186">
        <f t="shared" si="210"/>
        <v>10590.733984379167</v>
      </c>
      <c r="BY62" s="186">
        <f t="shared" si="211"/>
        <v>10786.547470465744</v>
      </c>
      <c r="BZ62" s="186">
        <f t="shared" si="212"/>
        <v>11436.787235598698</v>
      </c>
      <c r="CA62" s="186">
        <f t="shared" si="213"/>
        <v>11059.983830621337</v>
      </c>
      <c r="CB62" s="186">
        <f t="shared" si="214"/>
        <v>11098.262984893985</v>
      </c>
      <c r="CC62" s="186">
        <f t="shared" si="215"/>
        <v>11089.676570467846</v>
      </c>
      <c r="CD62" s="186">
        <f t="shared" si="216"/>
        <v>11425.463166430132</v>
      </c>
      <c r="CE62" s="186">
        <f t="shared" si="217"/>
        <v>10796.042063046756</v>
      </c>
      <c r="CF62" s="186">
        <f t="shared" si="218"/>
        <v>11131.380219152681</v>
      </c>
      <c r="CG62" s="100">
        <v>53</v>
      </c>
      <c r="CH62" s="100">
        <v>68</v>
      </c>
      <c r="CI62" s="99">
        <v>112</v>
      </c>
      <c r="CJ62" s="99">
        <v>95</v>
      </c>
      <c r="CK62" s="99">
        <v>138.10353132734011</v>
      </c>
      <c r="CL62" s="99">
        <v>143</v>
      </c>
      <c r="CM62" s="100">
        <v>133</v>
      </c>
      <c r="CN62" s="99">
        <v>130</v>
      </c>
      <c r="CO62" s="99">
        <v>207</v>
      </c>
      <c r="CP62" s="99">
        <v>204</v>
      </c>
      <c r="CQ62" s="99">
        <v>132</v>
      </c>
      <c r="CR62" s="99">
        <v>161</v>
      </c>
      <c r="CS62" s="99">
        <v>272</v>
      </c>
      <c r="CT62" s="99">
        <v>300</v>
      </c>
      <c r="CU62" s="99">
        <v>214</v>
      </c>
      <c r="CV62" s="99">
        <v>197</v>
      </c>
      <c r="CW62" s="99">
        <v>227</v>
      </c>
      <c r="CX62" s="99">
        <v>136.63100481285215</v>
      </c>
      <c r="CY62" s="99">
        <v>177.51911825664348</v>
      </c>
      <c r="CZ62" s="99">
        <v>300.69141998393286</v>
      </c>
      <c r="DA62" s="99">
        <v>140.87590949122273</v>
      </c>
      <c r="DB62" s="99">
        <v>111.8395057956769</v>
      </c>
      <c r="DC62" s="180">
        <v>213.78966109471529</v>
      </c>
      <c r="DD62" s="180">
        <v>303.39999567354533</v>
      </c>
      <c r="DE62" s="180">
        <v>319.35169339142851</v>
      </c>
      <c r="DF62" s="180">
        <v>341.13509527227762</v>
      </c>
      <c r="DG62" s="180">
        <v>228.09936684946777</v>
      </c>
      <c r="DH62" s="181">
        <v>257.10669796993642</v>
      </c>
      <c r="DI62" s="180">
        <v>234.24437731051904</v>
      </c>
      <c r="DJ62" s="180">
        <v>225.2646860788546</v>
      </c>
      <c r="DK62" s="180">
        <v>219.5274734300358</v>
      </c>
      <c r="DL62" s="180">
        <v>263.3766954103902</v>
      </c>
      <c r="DM62" s="180">
        <v>246.34483324577658</v>
      </c>
      <c r="DN62" s="181">
        <v>217.82201312895694</v>
      </c>
      <c r="DO62" s="180">
        <v>191.34933346055033</v>
      </c>
      <c r="DP62" s="180">
        <v>216.62901849382249</v>
      </c>
      <c r="DQ62" s="180">
        <v>253.86470087841354</v>
      </c>
      <c r="DR62" s="180">
        <v>177.47819672233146</v>
      </c>
      <c r="DS62" s="180">
        <v>192.37720577312797</v>
      </c>
      <c r="DT62" s="180">
        <v>207.74572100681533</v>
      </c>
      <c r="DU62" s="180">
        <v>201.22443824648076</v>
      </c>
      <c r="DV62" s="100">
        <v>3330</v>
      </c>
      <c r="DW62" s="100">
        <v>3617</v>
      </c>
      <c r="DX62" s="99">
        <v>3802</v>
      </c>
      <c r="DY62" s="99">
        <v>3932</v>
      </c>
      <c r="DZ62" s="99">
        <v>4437.8651847385736</v>
      </c>
      <c r="EA62" s="99">
        <v>4590</v>
      </c>
      <c r="EB62" s="100">
        <v>4268</v>
      </c>
      <c r="EC62" s="99">
        <v>4615</v>
      </c>
      <c r="ED62" s="99">
        <v>5198</v>
      </c>
      <c r="EE62" s="99">
        <v>5370</v>
      </c>
      <c r="EF62" s="99">
        <v>5619</v>
      </c>
      <c r="EG62" s="99">
        <v>6128</v>
      </c>
      <c r="EH62" s="99">
        <v>6072</v>
      </c>
      <c r="EI62" s="99">
        <v>6452</v>
      </c>
      <c r="EJ62" s="99">
        <v>7088</v>
      </c>
      <c r="EK62" s="99">
        <v>7243</v>
      </c>
      <c r="EL62" s="99">
        <v>7501</v>
      </c>
      <c r="EM62" s="99">
        <v>8075.6706258860668</v>
      </c>
      <c r="EN62" s="99">
        <v>7876.8385543670665</v>
      </c>
      <c r="EO62" s="99">
        <v>8126.0126777943224</v>
      </c>
      <c r="EP62" s="99">
        <v>8359.5357723896468</v>
      </c>
      <c r="EQ62" s="99">
        <v>8826.5298899130466</v>
      </c>
      <c r="ER62" s="180">
        <v>8953.1025572934632</v>
      </c>
      <c r="ES62" s="180">
        <v>8998.411539853576</v>
      </c>
      <c r="ET62" s="180">
        <v>9174.9486198267496</v>
      </c>
      <c r="EU62" s="180">
        <v>9070.6147120256283</v>
      </c>
      <c r="EV62" s="180">
        <v>9719.4438667828745</v>
      </c>
      <c r="EW62" s="181">
        <v>9843.8623216290034</v>
      </c>
      <c r="EX62" s="180">
        <v>9927.3541167531421</v>
      </c>
      <c r="EY62" s="180">
        <v>10342.861827706678</v>
      </c>
      <c r="EZ62" s="180">
        <v>10446.278679661596</v>
      </c>
      <c r="FA62" s="180">
        <v>10292.257263243484</v>
      </c>
      <c r="FB62" s="180">
        <v>10344.38915113339</v>
      </c>
      <c r="FC62" s="181">
        <v>10568.725457336788</v>
      </c>
      <c r="FD62" s="180">
        <v>11245.437902138148</v>
      </c>
      <c r="FE62" s="180">
        <v>10843.354812127514</v>
      </c>
      <c r="FF62" s="180">
        <v>10844.398284015571</v>
      </c>
      <c r="FG62" s="180">
        <v>10912.198373745514</v>
      </c>
      <c r="FH62" s="180">
        <v>11233.085960657005</v>
      </c>
      <c r="FI62" s="180">
        <v>10588.296342039941</v>
      </c>
      <c r="FJ62" s="180">
        <v>10930.1557809062</v>
      </c>
      <c r="FK62" s="100">
        <v>9468</v>
      </c>
      <c r="FL62" s="100">
        <v>9705</v>
      </c>
      <c r="FM62" s="99">
        <v>9598</v>
      </c>
      <c r="FN62" s="99">
        <v>9868</v>
      </c>
      <c r="FO62" s="99">
        <v>9911.1286406352519</v>
      </c>
      <c r="FP62" s="99">
        <v>10251</v>
      </c>
      <c r="FQ62" s="100">
        <v>9531</v>
      </c>
      <c r="FR62" s="99">
        <v>9679</v>
      </c>
      <c r="FS62" s="99">
        <v>11102</v>
      </c>
      <c r="FT62" s="99">
        <v>11507</v>
      </c>
      <c r="FU62" s="99">
        <v>11909</v>
      </c>
      <c r="FV62" s="99">
        <v>12284</v>
      </c>
      <c r="FW62" s="99">
        <v>12768</v>
      </c>
      <c r="FX62" s="99">
        <v>13090</v>
      </c>
      <c r="FY62" s="99">
        <v>13916</v>
      </c>
      <c r="FZ62" s="99">
        <v>14359</v>
      </c>
      <c r="GA62" s="99">
        <v>14776</v>
      </c>
      <c r="GB62" s="99">
        <v>15269.956829133846</v>
      </c>
      <c r="GC62" s="99">
        <v>15044.576459720978</v>
      </c>
      <c r="GD62" s="99">
        <v>14639.417856003434</v>
      </c>
      <c r="GE62" s="99">
        <v>14558.673612770483</v>
      </c>
      <c r="GF62" s="99">
        <v>14997.258328860329</v>
      </c>
      <c r="GG62" s="180">
        <v>14276.569384178583</v>
      </c>
      <c r="GH62" s="180">
        <v>14345.977156011228</v>
      </c>
      <c r="GI62" s="180">
        <v>13918.707495378882</v>
      </c>
      <c r="GJ62" s="180">
        <v>13625.204627512821</v>
      </c>
      <c r="GK62" s="180">
        <v>13830.618291534551</v>
      </c>
      <c r="GL62" s="181">
        <v>13733.404775796398</v>
      </c>
      <c r="GM62" s="180">
        <v>13241.061353817971</v>
      </c>
      <c r="GN62" s="180">
        <v>13168.535636220942</v>
      </c>
      <c r="GO62" s="180">
        <v>12747.617250127207</v>
      </c>
      <c r="GP62" s="180">
        <v>12728.37921111293</v>
      </c>
      <c r="GQ62" s="180">
        <v>13210.374456965899</v>
      </c>
      <c r="GR62" s="181">
        <v>13645.70170517189</v>
      </c>
      <c r="GS62" s="180">
        <v>13229.553937542323</v>
      </c>
      <c r="GT62" s="180">
        <v>13018.230720139409</v>
      </c>
      <c r="GU62" s="180">
        <v>12419.827101096473</v>
      </c>
      <c r="GV62" s="180">
        <v>12181.440593677051</v>
      </c>
      <c r="GW62" s="180">
        <v>12294.320919756752</v>
      </c>
      <c r="GX62" s="180">
        <v>11818.06085536906</v>
      </c>
      <c r="GY62" s="180">
        <v>11785.489138795479</v>
      </c>
      <c r="GZ62" s="100">
        <v>5979</v>
      </c>
      <c r="HA62" s="100">
        <v>6515</v>
      </c>
      <c r="HB62" s="99">
        <v>6715</v>
      </c>
      <c r="HC62" s="99">
        <v>6766</v>
      </c>
      <c r="HD62" s="99">
        <v>7365.3366592885186</v>
      </c>
      <c r="HE62" s="99">
        <v>7618</v>
      </c>
      <c r="HF62" s="100">
        <v>7083</v>
      </c>
      <c r="HG62" s="99">
        <v>7438</v>
      </c>
      <c r="HH62" s="99">
        <v>8606</v>
      </c>
      <c r="HI62" s="99">
        <v>9402</v>
      </c>
      <c r="HJ62" s="99">
        <v>9657</v>
      </c>
      <c r="HK62" s="99">
        <v>11016</v>
      </c>
      <c r="HL62" s="99">
        <v>11406</v>
      </c>
      <c r="HM62" s="99">
        <v>12238</v>
      </c>
      <c r="HN62" s="99">
        <v>12775</v>
      </c>
      <c r="HO62" s="99">
        <v>13507</v>
      </c>
      <c r="HP62" s="99">
        <v>14593</v>
      </c>
      <c r="HQ62" s="99">
        <v>14808</v>
      </c>
      <c r="HR62" s="99">
        <v>15456</v>
      </c>
      <c r="HS62" s="99">
        <v>15779</v>
      </c>
      <c r="HT62" s="99">
        <v>16092</v>
      </c>
      <c r="HU62" s="99">
        <v>17711</v>
      </c>
      <c r="HV62" s="180">
        <v>17523.478292526677</v>
      </c>
      <c r="HW62" s="180">
        <v>18546.082056744552</v>
      </c>
      <c r="HX62" s="180">
        <v>18705.789510662278</v>
      </c>
      <c r="HY62" s="180">
        <v>19214.963341169798</v>
      </c>
      <c r="HZ62" s="180">
        <v>20508.226556294143</v>
      </c>
      <c r="IA62" s="181">
        <v>21121.051222684688</v>
      </c>
      <c r="IB62" s="180">
        <v>21815.537815552569</v>
      </c>
      <c r="IC62" s="180">
        <v>22689.514396541606</v>
      </c>
      <c r="ID62" s="180">
        <v>24054.126368732203</v>
      </c>
      <c r="IE62" s="180">
        <v>25195.182750554006</v>
      </c>
      <c r="IF62" s="180">
        <v>26441.925390195807</v>
      </c>
      <c r="IG62" s="181">
        <v>28020.780938666601</v>
      </c>
      <c r="IH62" s="180">
        <v>26496.166175514831</v>
      </c>
      <c r="II62" s="180">
        <v>26240.56398790791</v>
      </c>
      <c r="IJ62" s="180">
        <v>25440.391896755256</v>
      </c>
      <c r="IK62" s="180">
        <v>25506.114679093356</v>
      </c>
      <c r="IL62" s="180">
        <v>25175.671044478411</v>
      </c>
      <c r="IM62" s="180">
        <v>24769.550359426623</v>
      </c>
      <c r="IN62" s="180">
        <v>24783.083580842944</v>
      </c>
      <c r="IO62" s="100">
        <v>47839</v>
      </c>
      <c r="IP62" s="100">
        <v>47229</v>
      </c>
      <c r="IQ62" s="99">
        <v>45898</v>
      </c>
      <c r="IR62" s="99">
        <v>46742</v>
      </c>
      <c r="IS62" s="99">
        <v>45886.352309552276</v>
      </c>
      <c r="IT62" s="99">
        <v>47461</v>
      </c>
      <c r="IU62" s="100">
        <v>44126</v>
      </c>
      <c r="IV62" s="99">
        <v>45651</v>
      </c>
      <c r="IW62" s="99">
        <v>49308</v>
      </c>
      <c r="IX62" s="99">
        <v>49647</v>
      </c>
      <c r="IY62" s="99">
        <v>50347</v>
      </c>
      <c r="IZ62" s="99">
        <v>51802</v>
      </c>
      <c r="JA62" s="99">
        <v>53298</v>
      </c>
      <c r="JB62" s="99">
        <v>54422</v>
      </c>
      <c r="JC62" s="99">
        <v>56056</v>
      </c>
      <c r="JD62" s="99">
        <v>57416</v>
      </c>
      <c r="JE62" s="99">
        <v>57702</v>
      </c>
      <c r="JF62" s="99">
        <v>57068.741540167233</v>
      </c>
      <c r="JG62" s="99">
        <v>57670.065867655314</v>
      </c>
      <c r="JH62" s="99">
        <v>56340.878046218313</v>
      </c>
      <c r="JI62" s="99">
        <v>54667.914705348645</v>
      </c>
      <c r="JJ62" s="99">
        <v>54843.372275430949</v>
      </c>
      <c r="JK62" s="180">
        <v>53337.849539338844</v>
      </c>
      <c r="JL62" s="180">
        <v>52239.4059519683</v>
      </c>
      <c r="JM62" s="180">
        <v>51996.607621595256</v>
      </c>
      <c r="JN62" s="180">
        <v>50491.071297023125</v>
      </c>
      <c r="JO62" s="180">
        <v>49590.070207053141</v>
      </c>
      <c r="JP62" s="181">
        <v>48806.706725744254</v>
      </c>
      <c r="JQ62" s="180">
        <v>47459.856616239485</v>
      </c>
      <c r="JR62" s="180">
        <v>46842.473460224384</v>
      </c>
      <c r="JS62" s="180">
        <v>46394.77368296247</v>
      </c>
      <c r="JT62" s="180">
        <v>44527.013753287902</v>
      </c>
      <c r="JU62" s="180">
        <v>43688.897884594488</v>
      </c>
      <c r="JV62" s="181">
        <v>42717.457899977606</v>
      </c>
      <c r="JW62" s="180">
        <v>41028.215781127525</v>
      </c>
      <c r="JX62" s="180">
        <v>40096.984395567793</v>
      </c>
      <c r="JY62" s="180">
        <v>38778.936377050413</v>
      </c>
      <c r="JZ62" s="180">
        <v>37887.587061691818</v>
      </c>
      <c r="KA62" s="180">
        <v>36551.975382172946</v>
      </c>
      <c r="KB62" s="180">
        <v>36632.206159350964</v>
      </c>
      <c r="KC62" s="180">
        <v>36779.122656382729</v>
      </c>
    </row>
    <row r="63" spans="1:289">
      <c r="A63" s="175" t="s">
        <v>83</v>
      </c>
      <c r="B63" s="100">
        <v>134573</v>
      </c>
      <c r="C63" s="100">
        <v>132963</v>
      </c>
      <c r="D63" s="99">
        <v>132708</v>
      </c>
      <c r="E63" s="99">
        <v>132401</v>
      </c>
      <c r="F63" s="99">
        <v>134401</v>
      </c>
      <c r="G63" s="99">
        <v>137176</v>
      </c>
      <c r="H63" s="100">
        <v>139528</v>
      </c>
      <c r="I63" s="99">
        <v>139426</v>
      </c>
      <c r="J63" s="99">
        <v>141731</v>
      </c>
      <c r="K63" s="99">
        <v>141884</v>
      </c>
      <c r="L63" s="99">
        <v>140139</v>
      </c>
      <c r="M63" s="99">
        <v>143818</v>
      </c>
      <c r="N63" s="100">
        <v>148510.5</v>
      </c>
      <c r="O63" s="99">
        <v>153203</v>
      </c>
      <c r="P63" s="100">
        <v>161817</v>
      </c>
      <c r="Q63" s="99">
        <v>168333</v>
      </c>
      <c r="R63" s="100">
        <v>176310</v>
      </c>
      <c r="S63" s="100">
        <v>180917</v>
      </c>
      <c r="T63" s="100">
        <v>183826</v>
      </c>
      <c r="U63" s="100">
        <v>182759</v>
      </c>
      <c r="V63" s="100">
        <v>180806</v>
      </c>
      <c r="W63" s="99">
        <v>180351</v>
      </c>
      <c r="X63" s="546">
        <v>181640</v>
      </c>
      <c r="Y63" s="180">
        <v>181184.61552595589</v>
      </c>
      <c r="Z63" s="180">
        <v>179661.99102114514</v>
      </c>
      <c r="AA63" s="180">
        <v>174370.51466914726</v>
      </c>
      <c r="AB63" s="180">
        <v>172688.80014125799</v>
      </c>
      <c r="AC63" s="180">
        <v>178379.63970497838</v>
      </c>
      <c r="AD63" s="181">
        <v>177232.65521860807</v>
      </c>
      <c r="AE63" s="180">
        <v>176566.4771395626</v>
      </c>
      <c r="AF63" s="180">
        <v>178700.61517582726</v>
      </c>
      <c r="AG63" s="180">
        <v>178075.53941317307</v>
      </c>
      <c r="AH63" s="180">
        <v>179025.57972432883</v>
      </c>
      <c r="AI63" s="180">
        <v>183765.46675663089</v>
      </c>
      <c r="AJ63" s="181">
        <v>187183.14028225184</v>
      </c>
      <c r="AK63" s="180">
        <v>182088.0210149209</v>
      </c>
      <c r="AL63" s="180">
        <v>180563.83540332352</v>
      </c>
      <c r="AM63" s="180">
        <v>178441.80920832284</v>
      </c>
      <c r="AN63" s="180">
        <v>176477.25782839613</v>
      </c>
      <c r="AO63" s="180">
        <v>176130.7772503834</v>
      </c>
      <c r="AP63" s="180">
        <v>172974.74746188126</v>
      </c>
      <c r="AQ63" s="180">
        <v>174308.99280800787</v>
      </c>
      <c r="AR63" s="533">
        <f t="shared" si="178"/>
        <v>7957</v>
      </c>
      <c r="AS63" s="534">
        <f t="shared" si="179"/>
        <v>8103</v>
      </c>
      <c r="AT63" s="534">
        <f t="shared" si="180"/>
        <v>8442</v>
      </c>
      <c r="AU63" s="534">
        <f t="shared" si="181"/>
        <v>8380</v>
      </c>
      <c r="AV63" s="534">
        <f t="shared" si="182"/>
        <v>9358</v>
      </c>
      <c r="AW63" s="534">
        <f t="shared" si="183"/>
        <v>9037</v>
      </c>
      <c r="AX63" s="534">
        <f t="shared" si="184"/>
        <v>9618</v>
      </c>
      <c r="AY63" s="534">
        <f t="shared" si="185"/>
        <v>9422</v>
      </c>
      <c r="AZ63" s="534">
        <f t="shared" si="186"/>
        <v>10297</v>
      </c>
      <c r="BA63" s="534">
        <f t="shared" si="187"/>
        <v>10618</v>
      </c>
      <c r="BB63" s="534">
        <f t="shared" si="188"/>
        <v>10401</v>
      </c>
      <c r="BC63" s="534">
        <f t="shared" si="189"/>
        <v>10879</v>
      </c>
      <c r="BD63" s="534">
        <f t="shared" si="190"/>
        <v>11231.5</v>
      </c>
      <c r="BE63" s="534">
        <f t="shared" si="191"/>
        <v>11584</v>
      </c>
      <c r="BF63" s="534">
        <f t="shared" si="192"/>
        <v>12992</v>
      </c>
      <c r="BG63" s="534">
        <f t="shared" si="193"/>
        <v>13656</v>
      </c>
      <c r="BH63" s="534">
        <f t="shared" si="194"/>
        <v>14319</v>
      </c>
      <c r="BI63" s="534">
        <f t="shared" si="195"/>
        <v>14992</v>
      </c>
      <c r="BJ63" s="534">
        <f t="shared" si="196"/>
        <v>15785</v>
      </c>
      <c r="BK63" s="534">
        <f t="shared" si="197"/>
        <v>16293.030426915202</v>
      </c>
      <c r="BL63" s="534">
        <f t="shared" si="198"/>
        <v>16977.817786651107</v>
      </c>
      <c r="BM63" s="534">
        <f t="shared" si="199"/>
        <v>17376.315488532637</v>
      </c>
      <c r="BN63" s="186">
        <f t="shared" si="200"/>
        <v>18372.973523741821</v>
      </c>
      <c r="BO63" s="186">
        <f t="shared" si="201"/>
        <v>18806.684199251446</v>
      </c>
      <c r="BP63" s="186">
        <f t="shared" si="202"/>
        <v>17896.401705530043</v>
      </c>
      <c r="BQ63" s="186">
        <f t="shared" si="203"/>
        <v>18009.278334478302</v>
      </c>
      <c r="BR63" s="186">
        <f t="shared" si="204"/>
        <v>20046.407101463723</v>
      </c>
      <c r="BS63" s="186">
        <f t="shared" si="205"/>
        <v>19704.610992573769</v>
      </c>
      <c r="BT63" s="186">
        <f t="shared" si="206"/>
        <v>20388.375561101293</v>
      </c>
      <c r="BU63" s="186">
        <f t="shared" si="207"/>
        <v>21263.829129331676</v>
      </c>
      <c r="BV63" s="186">
        <f t="shared" si="208"/>
        <v>22257.113148499491</v>
      </c>
      <c r="BW63" s="186">
        <f t="shared" si="209"/>
        <v>22447.276715116743</v>
      </c>
      <c r="BX63" s="186">
        <f t="shared" si="210"/>
        <v>23883.96501196341</v>
      </c>
      <c r="BY63" s="186">
        <f t="shared" si="211"/>
        <v>25371.717860412096</v>
      </c>
      <c r="BZ63" s="186">
        <f t="shared" si="212"/>
        <v>24335.048331853865</v>
      </c>
      <c r="CA63" s="186">
        <f t="shared" si="213"/>
        <v>24639.303521137885</v>
      </c>
      <c r="CB63" s="186">
        <f t="shared" si="214"/>
        <v>24738.19106211466</v>
      </c>
      <c r="CC63" s="186">
        <f t="shared" si="215"/>
        <v>25860.217296806837</v>
      </c>
      <c r="CD63" s="186">
        <f t="shared" si="216"/>
        <v>27863.923892647123</v>
      </c>
      <c r="CE63" s="186">
        <f t="shared" si="217"/>
        <v>26334.348885606316</v>
      </c>
      <c r="CF63" s="186">
        <f t="shared" si="218"/>
        <v>27631.207080731994</v>
      </c>
      <c r="CG63" s="100">
        <v>304</v>
      </c>
      <c r="CH63" s="100">
        <v>357</v>
      </c>
      <c r="CI63" s="99">
        <v>319</v>
      </c>
      <c r="CJ63" s="99">
        <v>431</v>
      </c>
      <c r="CK63" s="99">
        <v>383</v>
      </c>
      <c r="CL63" s="99">
        <v>421</v>
      </c>
      <c r="CM63" s="100">
        <v>416</v>
      </c>
      <c r="CN63" s="99">
        <v>408</v>
      </c>
      <c r="CO63" s="99">
        <v>438</v>
      </c>
      <c r="CP63" s="99">
        <v>494</v>
      </c>
      <c r="CQ63" s="99">
        <v>455</v>
      </c>
      <c r="CR63" s="99">
        <v>475</v>
      </c>
      <c r="CS63" s="100">
        <v>497.5</v>
      </c>
      <c r="CT63" s="99">
        <v>520</v>
      </c>
      <c r="CU63" s="100">
        <v>539</v>
      </c>
      <c r="CV63" s="99">
        <v>569</v>
      </c>
      <c r="CW63" s="100">
        <v>599</v>
      </c>
      <c r="CX63" s="100">
        <v>646</v>
      </c>
      <c r="CY63" s="100">
        <v>727</v>
      </c>
      <c r="CZ63" s="100">
        <v>753.35040846850484</v>
      </c>
      <c r="DA63" s="100">
        <v>764.23993529745269</v>
      </c>
      <c r="DB63" s="99">
        <v>789.34112673344043</v>
      </c>
      <c r="DC63" s="180">
        <v>758.73410547439721</v>
      </c>
      <c r="DD63" s="180">
        <v>856.83703917006551</v>
      </c>
      <c r="DE63" s="180">
        <v>848.95730250003567</v>
      </c>
      <c r="DF63" s="180">
        <v>795.30604102507459</v>
      </c>
      <c r="DG63" s="180">
        <v>925.25581140317661</v>
      </c>
      <c r="DH63" s="181">
        <v>1016.4302256043266</v>
      </c>
      <c r="DI63" s="180">
        <v>1077.0969811552284</v>
      </c>
      <c r="DJ63" s="180">
        <v>1075.4488719511821</v>
      </c>
      <c r="DK63" s="180">
        <v>1102.8923319002231</v>
      </c>
      <c r="DL63" s="180">
        <v>1217.1640301021423</v>
      </c>
      <c r="DM63" s="180">
        <v>1404.9735685088256</v>
      </c>
      <c r="DN63" s="181">
        <v>1545.3788662753639</v>
      </c>
      <c r="DO63" s="180">
        <v>1368.3706945137615</v>
      </c>
      <c r="DP63" s="180">
        <v>1395.1304562915345</v>
      </c>
      <c r="DQ63" s="180">
        <v>1442.552021875759</v>
      </c>
      <c r="DR63" s="180">
        <v>1368.6526629528382</v>
      </c>
      <c r="DS63" s="180">
        <v>1376.6479621026533</v>
      </c>
      <c r="DT63" s="180">
        <v>1289.0615883555963</v>
      </c>
      <c r="DU63" s="180">
        <v>1263.3440953751272</v>
      </c>
      <c r="DV63" s="100">
        <v>7653</v>
      </c>
      <c r="DW63" s="100">
        <v>7746</v>
      </c>
      <c r="DX63" s="99">
        <v>8123</v>
      </c>
      <c r="DY63" s="99">
        <v>7949</v>
      </c>
      <c r="DZ63" s="99">
        <v>8975</v>
      </c>
      <c r="EA63" s="99">
        <v>8616</v>
      </c>
      <c r="EB63" s="100">
        <v>9202</v>
      </c>
      <c r="EC63" s="99">
        <v>9014</v>
      </c>
      <c r="ED63" s="99">
        <v>9859</v>
      </c>
      <c r="EE63" s="99">
        <v>10124</v>
      </c>
      <c r="EF63" s="99">
        <v>9946</v>
      </c>
      <c r="EG63" s="99">
        <v>10404</v>
      </c>
      <c r="EH63" s="100">
        <v>10734</v>
      </c>
      <c r="EI63" s="99">
        <v>11064</v>
      </c>
      <c r="EJ63" s="100">
        <v>12453</v>
      </c>
      <c r="EK63" s="99">
        <v>13087</v>
      </c>
      <c r="EL63" s="100">
        <v>13720</v>
      </c>
      <c r="EM63" s="100">
        <v>14346</v>
      </c>
      <c r="EN63" s="100">
        <v>15058</v>
      </c>
      <c r="EO63" s="100">
        <v>15539.680018446697</v>
      </c>
      <c r="EP63" s="100">
        <v>16213.577851353655</v>
      </c>
      <c r="EQ63" s="99">
        <v>16586.974361799195</v>
      </c>
      <c r="ER63" s="180">
        <v>17614.239418267425</v>
      </c>
      <c r="ES63" s="180">
        <v>17949.847160081379</v>
      </c>
      <c r="ET63" s="180">
        <v>17047.444403030007</v>
      </c>
      <c r="EU63" s="180">
        <v>17213.972293453226</v>
      </c>
      <c r="EV63" s="180">
        <v>19121.151290060545</v>
      </c>
      <c r="EW63" s="181">
        <v>18688.180766969443</v>
      </c>
      <c r="EX63" s="180">
        <v>19311.278579946065</v>
      </c>
      <c r="EY63" s="180">
        <v>20188.380257380493</v>
      </c>
      <c r="EZ63" s="180">
        <v>21154.220816599267</v>
      </c>
      <c r="FA63" s="180">
        <v>21230.112685014599</v>
      </c>
      <c r="FB63" s="180">
        <v>22478.991443454583</v>
      </c>
      <c r="FC63" s="181">
        <v>23826.338994136731</v>
      </c>
      <c r="FD63" s="180">
        <v>22966.677637340104</v>
      </c>
      <c r="FE63" s="180">
        <v>23244.173064846349</v>
      </c>
      <c r="FF63" s="180">
        <v>23295.639040238901</v>
      </c>
      <c r="FG63" s="180">
        <v>24491.564633853999</v>
      </c>
      <c r="FH63" s="180">
        <v>26487.275930544471</v>
      </c>
      <c r="FI63" s="180">
        <v>25045.287297250721</v>
      </c>
      <c r="FJ63" s="180">
        <v>26367.862985356867</v>
      </c>
      <c r="FK63" s="100">
        <v>18939</v>
      </c>
      <c r="FL63" s="100">
        <v>18374</v>
      </c>
      <c r="FM63" s="99">
        <v>18728</v>
      </c>
      <c r="FN63" s="99">
        <v>18885</v>
      </c>
      <c r="FO63" s="99">
        <v>19084</v>
      </c>
      <c r="FP63" s="99">
        <v>20340</v>
      </c>
      <c r="FQ63" s="100">
        <v>19898</v>
      </c>
      <c r="FR63" s="99">
        <v>18603</v>
      </c>
      <c r="FS63" s="99">
        <v>20798</v>
      </c>
      <c r="FT63" s="99">
        <v>20594</v>
      </c>
      <c r="FU63" s="99">
        <v>19686</v>
      </c>
      <c r="FV63" s="99">
        <v>20399</v>
      </c>
      <c r="FW63" s="100">
        <v>21534.5</v>
      </c>
      <c r="FX63" s="99">
        <v>22670</v>
      </c>
      <c r="FY63" s="100">
        <v>24840</v>
      </c>
      <c r="FZ63" s="99">
        <v>26827</v>
      </c>
      <c r="GA63" s="100">
        <v>28814</v>
      </c>
      <c r="GB63" s="100">
        <v>30441</v>
      </c>
      <c r="GC63" s="100">
        <v>31609</v>
      </c>
      <c r="GD63" s="100">
        <v>31628.543055448827</v>
      </c>
      <c r="GE63" s="100">
        <v>30732.573625709705</v>
      </c>
      <c r="GF63" s="99">
        <v>30233.139850294599</v>
      </c>
      <c r="GG63" s="180">
        <v>30481.04911875548</v>
      </c>
      <c r="GH63" s="180">
        <v>30637.619631853497</v>
      </c>
      <c r="GI63" s="180">
        <v>29659.708033464838</v>
      </c>
      <c r="GJ63" s="180">
        <v>29119.221527965394</v>
      </c>
      <c r="GK63" s="180">
        <v>29807.499750059738</v>
      </c>
      <c r="GL63" s="181">
        <v>29831.394652354698</v>
      </c>
      <c r="GM63" s="180">
        <v>29456.218083883599</v>
      </c>
      <c r="GN63" s="180">
        <v>29062.176743698692</v>
      </c>
      <c r="GO63" s="180">
        <v>28856.207164749827</v>
      </c>
      <c r="GP63" s="180">
        <v>29299.610107468267</v>
      </c>
      <c r="GQ63" s="180">
        <v>29809.881559789417</v>
      </c>
      <c r="GR63" s="181">
        <v>30114.603413692144</v>
      </c>
      <c r="GS63" s="180">
        <v>29486.25685776825</v>
      </c>
      <c r="GT63" s="180">
        <v>29085.285316883437</v>
      </c>
      <c r="GU63" s="180">
        <v>28132.578902442285</v>
      </c>
      <c r="GV63" s="180">
        <v>27308.184216528763</v>
      </c>
      <c r="GW63" s="180">
        <v>26820.140283267254</v>
      </c>
      <c r="GX63" s="180">
        <v>26176.394970345445</v>
      </c>
      <c r="GY63" s="180">
        <v>25729.669174718892</v>
      </c>
      <c r="GZ63" s="100">
        <v>11593</v>
      </c>
      <c r="HA63" s="100">
        <v>12108</v>
      </c>
      <c r="HB63" s="99">
        <v>12568</v>
      </c>
      <c r="HC63" s="99">
        <v>12910</v>
      </c>
      <c r="HD63" s="99">
        <v>13082</v>
      </c>
      <c r="HE63" s="99">
        <v>14772</v>
      </c>
      <c r="HF63" s="100">
        <v>15604</v>
      </c>
      <c r="HG63" s="99">
        <v>18191</v>
      </c>
      <c r="HH63" s="99">
        <v>15853</v>
      </c>
      <c r="HI63" s="99">
        <v>16317</v>
      </c>
      <c r="HJ63" s="99">
        <v>15524</v>
      </c>
      <c r="HK63" s="99">
        <v>15693</v>
      </c>
      <c r="HL63" s="100">
        <v>17227</v>
      </c>
      <c r="HM63" s="99">
        <v>18761</v>
      </c>
      <c r="HN63" s="100">
        <v>21824</v>
      </c>
      <c r="HO63" s="99">
        <v>24261</v>
      </c>
      <c r="HP63" s="100">
        <v>26698</v>
      </c>
      <c r="HQ63" s="100">
        <v>29529</v>
      </c>
      <c r="HR63" s="100">
        <v>30909</v>
      </c>
      <c r="HS63" s="100">
        <v>32147</v>
      </c>
      <c r="HT63" s="100">
        <v>32692</v>
      </c>
      <c r="HU63" s="99">
        <v>33532</v>
      </c>
      <c r="HV63" s="180">
        <v>35752.820159779236</v>
      </c>
      <c r="HW63" s="180">
        <v>36423.211195859585</v>
      </c>
      <c r="HX63" s="180">
        <v>35565.862266657758</v>
      </c>
      <c r="HY63" s="180">
        <v>35833.624153859659</v>
      </c>
      <c r="HZ63" s="180">
        <v>38582.476003079239</v>
      </c>
      <c r="IA63" s="181">
        <v>40163.36845214694</v>
      </c>
      <c r="IB63" s="180">
        <v>41563.074479480267</v>
      </c>
      <c r="IC63" s="180">
        <v>43052.773165249258</v>
      </c>
      <c r="ID63" s="180">
        <v>44386.801853977908</v>
      </c>
      <c r="IE63" s="180">
        <v>47471.541182934998</v>
      </c>
      <c r="IF63" s="180">
        <v>50739.641043674943</v>
      </c>
      <c r="IG63" s="181">
        <v>53591.835052975563</v>
      </c>
      <c r="IH63" s="180">
        <v>50656.231790095582</v>
      </c>
      <c r="II63" s="180">
        <v>50255.243788465283</v>
      </c>
      <c r="IJ63" s="180">
        <v>49714.342101517359</v>
      </c>
      <c r="IK63" s="180">
        <v>48422.085636315074</v>
      </c>
      <c r="IL63" s="180">
        <v>47631.935476942388</v>
      </c>
      <c r="IM63" s="180">
        <v>46596.617638862248</v>
      </c>
      <c r="IN63" s="180">
        <v>47012.801125534956</v>
      </c>
      <c r="IO63" s="100">
        <v>96084</v>
      </c>
      <c r="IP63" s="100">
        <v>94378</v>
      </c>
      <c r="IQ63" s="99">
        <v>92970</v>
      </c>
      <c r="IR63" s="99">
        <v>92226</v>
      </c>
      <c r="IS63" s="99">
        <v>92877</v>
      </c>
      <c r="IT63" s="99">
        <v>93027</v>
      </c>
      <c r="IU63" s="100">
        <v>94408</v>
      </c>
      <c r="IV63" s="99">
        <v>93210</v>
      </c>
      <c r="IW63" s="99">
        <v>94783</v>
      </c>
      <c r="IX63" s="99">
        <v>94355</v>
      </c>
      <c r="IY63" s="99">
        <v>94528</v>
      </c>
      <c r="IZ63" s="99">
        <v>96847</v>
      </c>
      <c r="JA63" s="100">
        <v>98517.5</v>
      </c>
      <c r="JB63" s="99">
        <v>100188</v>
      </c>
      <c r="JC63" s="100">
        <v>102161</v>
      </c>
      <c r="JD63" s="99">
        <v>104190</v>
      </c>
      <c r="JE63" s="100">
        <v>106219</v>
      </c>
      <c r="JF63" s="100">
        <v>105632</v>
      </c>
      <c r="JG63" s="100">
        <v>105114</v>
      </c>
      <c r="JH63" s="100">
        <v>102690.42651763598</v>
      </c>
      <c r="JI63" s="100">
        <v>100403.60858763919</v>
      </c>
      <c r="JJ63" s="99">
        <v>99209.544661172768</v>
      </c>
      <c r="JK63" s="180">
        <v>96729.410197732839</v>
      </c>
      <c r="JL63" s="180">
        <v>93792.049094779577</v>
      </c>
      <c r="JM63" s="180">
        <v>92269.306014520174</v>
      </c>
      <c r="JN63" s="180">
        <v>89758.316348699955</v>
      </c>
      <c r="JO63" s="180">
        <v>90436.985350198607</v>
      </c>
      <c r="JP63" s="181">
        <v>88137.156489893066</v>
      </c>
      <c r="JQ63" s="180">
        <v>86092.007783021283</v>
      </c>
      <c r="JR63" s="180">
        <v>86666.154341449423</v>
      </c>
      <c r="JS63" s="180">
        <v>84218.758386252433</v>
      </c>
      <c r="JT63" s="180">
        <v>81734.610679531266</v>
      </c>
      <c r="JU63" s="180">
        <v>81838.715382126058</v>
      </c>
      <c r="JV63" s="181">
        <v>81328.373187884528</v>
      </c>
      <c r="JW63" s="180">
        <v>80640.863782439148</v>
      </c>
      <c r="JX63" s="180">
        <v>79755.472203579309</v>
      </c>
      <c r="JY63" s="180">
        <v>79059.409883816203</v>
      </c>
      <c r="JZ63" s="180">
        <v>75995.442099852851</v>
      </c>
      <c r="KA63" s="180">
        <v>75277.476634597188</v>
      </c>
      <c r="KB63" s="180">
        <v>74908.930641680679</v>
      </c>
      <c r="KC63" s="180">
        <v>75246.166413110201</v>
      </c>
    </row>
    <row r="64" spans="1:289">
      <c r="A64" s="175" t="s">
        <v>84</v>
      </c>
      <c r="B64" s="100">
        <v>103881</v>
      </c>
      <c r="C64" s="100">
        <v>103715</v>
      </c>
      <c r="D64" s="99">
        <v>101958</v>
      </c>
      <c r="E64" s="99">
        <v>104146</v>
      </c>
      <c r="F64" s="99">
        <v>105981</v>
      </c>
      <c r="G64" s="99">
        <v>108817</v>
      </c>
      <c r="H64" s="100">
        <v>110919</v>
      </c>
      <c r="I64" s="99">
        <v>112632</v>
      </c>
      <c r="J64" s="99">
        <v>113959</v>
      </c>
      <c r="K64" s="99">
        <v>114436</v>
      </c>
      <c r="L64" s="99">
        <v>114943</v>
      </c>
      <c r="M64" s="99">
        <v>119933</v>
      </c>
      <c r="N64" s="99">
        <v>123474</v>
      </c>
      <c r="O64" s="99">
        <v>124758</v>
      </c>
      <c r="P64" s="100">
        <v>126681</v>
      </c>
      <c r="Q64" s="99">
        <v>128603</v>
      </c>
      <c r="R64" s="99">
        <v>130298</v>
      </c>
      <c r="S64" s="99">
        <v>130658</v>
      </c>
      <c r="T64" s="99">
        <v>131182</v>
      </c>
      <c r="U64" s="99">
        <v>130284</v>
      </c>
      <c r="V64" s="99">
        <v>131733</v>
      </c>
      <c r="W64" s="99">
        <v>129777</v>
      </c>
      <c r="X64" s="546">
        <v>123450</v>
      </c>
      <c r="Y64" s="180">
        <v>128037.51271720209</v>
      </c>
      <c r="Z64" s="180">
        <v>124669.43396359117</v>
      </c>
      <c r="AA64" s="180">
        <v>123758.01197121586</v>
      </c>
      <c r="AB64" s="180">
        <v>124099.40977767941</v>
      </c>
      <c r="AC64" s="180">
        <v>125963.22880528985</v>
      </c>
      <c r="AD64" s="181">
        <v>125188.88021356391</v>
      </c>
      <c r="AE64" s="180">
        <v>122537.70428610427</v>
      </c>
      <c r="AF64" s="180">
        <v>123996.5330840422</v>
      </c>
      <c r="AG64" s="180">
        <v>125137.90035894718</v>
      </c>
      <c r="AH64" s="180">
        <v>123866.24315998731</v>
      </c>
      <c r="AI64" s="180">
        <v>125708.12834110225</v>
      </c>
      <c r="AJ64" s="181">
        <v>127817.28485823386</v>
      </c>
      <c r="AK64" s="180">
        <v>126977.93828972208</v>
      </c>
      <c r="AL64" s="180">
        <v>124678.56716359622</v>
      </c>
      <c r="AM64" s="180">
        <v>121774.14517485134</v>
      </c>
      <c r="AN64" s="180">
        <v>121538.62146338448</v>
      </c>
      <c r="AO64" s="180">
        <v>121068.38382727468</v>
      </c>
      <c r="AP64" s="180">
        <v>119768.43078485137</v>
      </c>
      <c r="AQ64" s="180">
        <v>120910.79539327569</v>
      </c>
      <c r="AR64" s="533">
        <f t="shared" si="178"/>
        <v>2193</v>
      </c>
      <c r="AS64" s="534">
        <f t="shared" si="179"/>
        <v>2255</v>
      </c>
      <c r="AT64" s="534">
        <f t="shared" si="180"/>
        <v>2255</v>
      </c>
      <c r="AU64" s="534">
        <f t="shared" si="181"/>
        <v>2327</v>
      </c>
      <c r="AV64" s="534">
        <f t="shared" si="182"/>
        <v>2222</v>
      </c>
      <c r="AW64" s="534">
        <f t="shared" si="183"/>
        <v>2349</v>
      </c>
      <c r="AX64" s="534">
        <f t="shared" si="184"/>
        <v>2413</v>
      </c>
      <c r="AY64" s="534">
        <f t="shared" si="185"/>
        <v>2486</v>
      </c>
      <c r="AZ64" s="534">
        <f t="shared" si="186"/>
        <v>2462</v>
      </c>
      <c r="BA64" s="534">
        <f t="shared" si="187"/>
        <v>2629</v>
      </c>
      <c r="BB64" s="534">
        <f t="shared" si="188"/>
        <v>2798</v>
      </c>
      <c r="BC64" s="534">
        <f t="shared" si="189"/>
        <v>2894</v>
      </c>
      <c r="BD64" s="534">
        <f t="shared" si="190"/>
        <v>3052</v>
      </c>
      <c r="BE64" s="534">
        <f t="shared" si="191"/>
        <v>3253</v>
      </c>
      <c r="BF64" s="534">
        <f t="shared" si="192"/>
        <v>3279</v>
      </c>
      <c r="BG64" s="534">
        <f t="shared" si="193"/>
        <v>3305</v>
      </c>
      <c r="BH64" s="534">
        <f t="shared" si="194"/>
        <v>3585</v>
      </c>
      <c r="BI64" s="534">
        <f t="shared" si="195"/>
        <v>3597</v>
      </c>
      <c r="BJ64" s="534">
        <f t="shared" si="196"/>
        <v>3728</v>
      </c>
      <c r="BK64" s="534">
        <f t="shared" si="197"/>
        <v>3987.2708522381649</v>
      </c>
      <c r="BL64" s="534">
        <f t="shared" si="198"/>
        <v>4330.9014308062679</v>
      </c>
      <c r="BM64" s="534">
        <f t="shared" si="199"/>
        <v>4645.5724505748294</v>
      </c>
      <c r="BN64" s="186">
        <f t="shared" si="200"/>
        <v>4666.2353498931889</v>
      </c>
      <c r="BO64" s="186">
        <f t="shared" si="201"/>
        <v>4825.7086653104825</v>
      </c>
      <c r="BP64" s="186">
        <f t="shared" si="202"/>
        <v>4991.5180069417993</v>
      </c>
      <c r="BQ64" s="186">
        <f t="shared" si="203"/>
        <v>5044.778093428049</v>
      </c>
      <c r="BR64" s="186">
        <f t="shared" si="204"/>
        <v>5475.3028590464901</v>
      </c>
      <c r="BS64" s="186">
        <f t="shared" si="205"/>
        <v>5703.295286282224</v>
      </c>
      <c r="BT64" s="186">
        <f t="shared" si="206"/>
        <v>5821.6254743604813</v>
      </c>
      <c r="BU64" s="186">
        <f t="shared" si="207"/>
        <v>6125.2843215648918</v>
      </c>
      <c r="BV64" s="186">
        <f t="shared" si="208"/>
        <v>6440.6660693321846</v>
      </c>
      <c r="BW64" s="186">
        <f t="shared" si="209"/>
        <v>6391.6712568932116</v>
      </c>
      <c r="BX64" s="186">
        <f t="shared" si="210"/>
        <v>6565.3470532410565</v>
      </c>
      <c r="BY64" s="186">
        <f t="shared" si="211"/>
        <v>6835.9450158746631</v>
      </c>
      <c r="BZ64" s="186">
        <f t="shared" si="212"/>
        <v>6854.4820736878546</v>
      </c>
      <c r="CA64" s="186">
        <f t="shared" si="213"/>
        <v>7011.5424998962426</v>
      </c>
      <c r="CB64" s="186">
        <f t="shared" si="214"/>
        <v>6917.6190555300536</v>
      </c>
      <c r="CC64" s="186">
        <f t="shared" si="215"/>
        <v>6837.8083631963063</v>
      </c>
      <c r="CD64" s="186">
        <f t="shared" si="216"/>
        <v>7583.2321733972331</v>
      </c>
      <c r="CE64" s="186">
        <f t="shared" si="217"/>
        <v>7206.7865314503415</v>
      </c>
      <c r="CF64" s="186">
        <f t="shared" si="218"/>
        <v>7537.396532368065</v>
      </c>
      <c r="CG64" s="100">
        <v>97</v>
      </c>
      <c r="CH64" s="100">
        <v>84</v>
      </c>
      <c r="CI64" s="99">
        <v>72</v>
      </c>
      <c r="CJ64" s="99">
        <v>56</v>
      </c>
      <c r="CK64" s="99">
        <v>88</v>
      </c>
      <c r="CL64" s="99">
        <v>86</v>
      </c>
      <c r="CM64" s="100">
        <v>86</v>
      </c>
      <c r="CN64" s="99">
        <v>102</v>
      </c>
      <c r="CO64" s="99">
        <v>67</v>
      </c>
      <c r="CP64" s="99">
        <v>62</v>
      </c>
      <c r="CQ64" s="99">
        <v>102</v>
      </c>
      <c r="CR64" s="99">
        <v>105</v>
      </c>
      <c r="CS64" s="99">
        <v>100</v>
      </c>
      <c r="CT64" s="99">
        <v>114</v>
      </c>
      <c r="CU64" s="100">
        <v>123</v>
      </c>
      <c r="CV64" s="99">
        <v>132</v>
      </c>
      <c r="CW64" s="99">
        <v>146</v>
      </c>
      <c r="CX64" s="99">
        <v>169</v>
      </c>
      <c r="CY64" s="99">
        <v>198</v>
      </c>
      <c r="CZ64" s="99">
        <v>176.21302359002374</v>
      </c>
      <c r="DA64" s="99">
        <v>202.8146899180947</v>
      </c>
      <c r="DB64" s="99">
        <v>165.24508757207255</v>
      </c>
      <c r="DC64" s="180">
        <v>160.05992022330534</v>
      </c>
      <c r="DD64" s="180">
        <v>154.14834332236686</v>
      </c>
      <c r="DE64" s="180">
        <v>142.65728039904769</v>
      </c>
      <c r="DF64" s="180">
        <v>159.47492725256134</v>
      </c>
      <c r="DG64" s="180">
        <v>142.18543008267991</v>
      </c>
      <c r="DH64" s="181">
        <v>150.6977653134422</v>
      </c>
      <c r="DI64" s="180">
        <v>161.35295191414477</v>
      </c>
      <c r="DJ64" s="180">
        <v>150.90299812801968</v>
      </c>
      <c r="DK64" s="180">
        <v>142.89265610949087</v>
      </c>
      <c r="DL64" s="180">
        <v>170.40711560956572</v>
      </c>
      <c r="DM64" s="180">
        <v>135.52086778826563</v>
      </c>
      <c r="DN64" s="181">
        <v>145.26615210058429</v>
      </c>
      <c r="DO64" s="180">
        <v>149.5171207554294</v>
      </c>
      <c r="DP64" s="180">
        <v>141.44362233863561</v>
      </c>
      <c r="DQ64" s="180">
        <v>128.14206774369669</v>
      </c>
      <c r="DR64" s="180">
        <v>123.85694516931831</v>
      </c>
      <c r="DS64" s="180">
        <v>115.68912125122381</v>
      </c>
      <c r="DT64" s="180">
        <v>134.34390161934408</v>
      </c>
      <c r="DU64" s="180">
        <v>111.82633360804155</v>
      </c>
      <c r="DV64" s="100">
        <v>2096</v>
      </c>
      <c r="DW64" s="100">
        <v>2171</v>
      </c>
      <c r="DX64" s="99">
        <v>2183</v>
      </c>
      <c r="DY64" s="99">
        <v>2271</v>
      </c>
      <c r="DZ64" s="99">
        <v>2134</v>
      </c>
      <c r="EA64" s="99">
        <v>2263</v>
      </c>
      <c r="EB64" s="100">
        <v>2327</v>
      </c>
      <c r="EC64" s="99">
        <v>2384</v>
      </c>
      <c r="ED64" s="99">
        <v>2395</v>
      </c>
      <c r="EE64" s="99">
        <v>2567</v>
      </c>
      <c r="EF64" s="99">
        <v>2696</v>
      </c>
      <c r="EG64" s="99">
        <v>2789</v>
      </c>
      <c r="EH64" s="99">
        <v>2952</v>
      </c>
      <c r="EI64" s="99">
        <v>3139</v>
      </c>
      <c r="EJ64" s="100">
        <v>3156</v>
      </c>
      <c r="EK64" s="99">
        <v>3173</v>
      </c>
      <c r="EL64" s="99">
        <v>3439</v>
      </c>
      <c r="EM64" s="99">
        <v>3428</v>
      </c>
      <c r="EN64" s="99">
        <v>3530</v>
      </c>
      <c r="EO64" s="99">
        <v>3811.0578286481414</v>
      </c>
      <c r="EP64" s="99">
        <v>4128.0867408881732</v>
      </c>
      <c r="EQ64" s="99">
        <v>4480.327363002757</v>
      </c>
      <c r="ER64" s="180">
        <v>4506.1754296698837</v>
      </c>
      <c r="ES64" s="180">
        <v>4671.5603219881159</v>
      </c>
      <c r="ET64" s="180">
        <v>4848.8607265427518</v>
      </c>
      <c r="EU64" s="180">
        <v>4885.3031661754876</v>
      </c>
      <c r="EV64" s="180">
        <v>5333.1174289638102</v>
      </c>
      <c r="EW64" s="181">
        <v>5552.5975209687822</v>
      </c>
      <c r="EX64" s="180">
        <v>5660.2725224463366</v>
      </c>
      <c r="EY64" s="180">
        <v>5974.3813234368718</v>
      </c>
      <c r="EZ64" s="180">
        <v>6297.7734132226942</v>
      </c>
      <c r="FA64" s="180">
        <v>6221.2641412836456</v>
      </c>
      <c r="FB64" s="180">
        <v>6429.8261854527909</v>
      </c>
      <c r="FC64" s="181">
        <v>6690.6788637740792</v>
      </c>
      <c r="FD64" s="180">
        <v>6704.9649529324251</v>
      </c>
      <c r="FE64" s="180">
        <v>6870.098877557607</v>
      </c>
      <c r="FF64" s="180">
        <v>6789.4769877863573</v>
      </c>
      <c r="FG64" s="180">
        <v>6713.951418026988</v>
      </c>
      <c r="FH64" s="180">
        <v>7467.5430521460094</v>
      </c>
      <c r="FI64" s="180">
        <v>7072.4426298309972</v>
      </c>
      <c r="FJ64" s="180">
        <v>7425.5701987600232</v>
      </c>
      <c r="FK64" s="100">
        <v>9259</v>
      </c>
      <c r="FL64" s="100">
        <v>9794</v>
      </c>
      <c r="FM64" s="99">
        <v>9697</v>
      </c>
      <c r="FN64" s="99">
        <v>9860</v>
      </c>
      <c r="FO64" s="99">
        <v>10557</v>
      </c>
      <c r="FP64" s="99">
        <v>10793</v>
      </c>
      <c r="FQ64" s="100">
        <v>10801</v>
      </c>
      <c r="FR64" s="99">
        <v>11495</v>
      </c>
      <c r="FS64" s="99">
        <v>11713</v>
      </c>
      <c r="FT64" s="99">
        <v>11915</v>
      </c>
      <c r="FU64" s="99">
        <v>11655</v>
      </c>
      <c r="FV64" s="99">
        <v>13143</v>
      </c>
      <c r="FW64" s="99">
        <v>14303</v>
      </c>
      <c r="FX64" s="99">
        <v>15610</v>
      </c>
      <c r="FY64" s="100">
        <v>15563</v>
      </c>
      <c r="FZ64" s="99">
        <v>15515</v>
      </c>
      <c r="GA64" s="99">
        <v>16111</v>
      </c>
      <c r="GB64" s="99">
        <v>16424</v>
      </c>
      <c r="GC64" s="99">
        <v>17753</v>
      </c>
      <c r="GD64" s="99">
        <v>17880.277834414755</v>
      </c>
      <c r="GE64" s="99">
        <v>18475.199618547285</v>
      </c>
      <c r="GF64" s="99">
        <v>17989.371753154704</v>
      </c>
      <c r="GG64" s="180">
        <v>17550.108859223765</v>
      </c>
      <c r="GH64" s="180">
        <v>17536.015913088049</v>
      </c>
      <c r="GI64" s="180">
        <v>16882.074653962471</v>
      </c>
      <c r="GJ64" s="180">
        <v>17050.141403848997</v>
      </c>
      <c r="GK64" s="180">
        <v>17440.334766002103</v>
      </c>
      <c r="GL64" s="181">
        <v>17153.097102001208</v>
      </c>
      <c r="GM64" s="180">
        <v>17081.746934751762</v>
      </c>
      <c r="GN64" s="180">
        <v>16913.566756379587</v>
      </c>
      <c r="GO64" s="180">
        <v>16819.021136100375</v>
      </c>
      <c r="GP64" s="180">
        <v>16990.996305552821</v>
      </c>
      <c r="GQ64" s="180">
        <v>17299.09719238698</v>
      </c>
      <c r="GR64" s="181">
        <v>18130.141677366661</v>
      </c>
      <c r="GS64" s="180">
        <v>18646.108503709813</v>
      </c>
      <c r="GT64" s="180">
        <v>18358.821545199236</v>
      </c>
      <c r="GU64" s="180">
        <v>17908.839278582684</v>
      </c>
      <c r="GV64" s="180">
        <v>17178.242177174823</v>
      </c>
      <c r="GW64" s="180">
        <v>17371.869890750615</v>
      </c>
      <c r="GX64" s="180">
        <v>16916.379606252067</v>
      </c>
      <c r="GY64" s="180">
        <v>16533.780259767147</v>
      </c>
      <c r="GZ64" s="100">
        <v>1569</v>
      </c>
      <c r="HA64" s="100">
        <v>1785</v>
      </c>
      <c r="HB64" s="99">
        <v>1827</v>
      </c>
      <c r="HC64" s="99">
        <v>1966</v>
      </c>
      <c r="HD64" s="99">
        <v>2115</v>
      </c>
      <c r="HE64" s="99">
        <v>2208</v>
      </c>
      <c r="HF64" s="100">
        <v>2617</v>
      </c>
      <c r="HG64" s="99">
        <v>2696</v>
      </c>
      <c r="HH64" s="99">
        <v>2825</v>
      </c>
      <c r="HI64" s="99">
        <v>2961</v>
      </c>
      <c r="HJ64" s="99">
        <v>3093</v>
      </c>
      <c r="HK64" s="99">
        <v>3566</v>
      </c>
      <c r="HL64" s="99">
        <v>4134</v>
      </c>
      <c r="HM64" s="99">
        <v>4610</v>
      </c>
      <c r="HN64" s="100">
        <v>5088</v>
      </c>
      <c r="HO64" s="99">
        <v>5566</v>
      </c>
      <c r="HP64" s="99">
        <v>5978</v>
      </c>
      <c r="HQ64" s="99">
        <v>6509</v>
      </c>
      <c r="HR64" s="99">
        <v>7055</v>
      </c>
      <c r="HS64" s="99">
        <v>7682</v>
      </c>
      <c r="HT64" s="99">
        <v>8403</v>
      </c>
      <c r="HU64" s="99">
        <v>8706</v>
      </c>
      <c r="HV64" s="180">
        <v>9001.6655625250223</v>
      </c>
      <c r="HW64" s="180">
        <v>9233.7461862081291</v>
      </c>
      <c r="HX64" s="180">
        <v>9533.2511348595435</v>
      </c>
      <c r="HY64" s="180">
        <v>9951.1423224218124</v>
      </c>
      <c r="HZ64" s="180">
        <v>10256.936404900202</v>
      </c>
      <c r="IA64" s="181">
        <v>11135.627819080039</v>
      </c>
      <c r="IB64" s="180">
        <v>11204.118397495597</v>
      </c>
      <c r="IC64" s="180">
        <v>11694.812737285767</v>
      </c>
      <c r="ID64" s="180">
        <v>12661.034758636053</v>
      </c>
      <c r="IE64" s="180">
        <v>13080.263387782694</v>
      </c>
      <c r="IF64" s="180">
        <v>14152.368956087477</v>
      </c>
      <c r="IG64" s="181">
        <v>15148.357610964065</v>
      </c>
      <c r="IH64" s="180">
        <v>15162.826068631479</v>
      </c>
      <c r="II64" s="180">
        <v>15285.226015957634</v>
      </c>
      <c r="IJ64" s="180">
        <v>14849.80254867431</v>
      </c>
      <c r="IK64" s="180">
        <v>15341.14877012036</v>
      </c>
      <c r="IL64" s="180">
        <v>15249.059904880167</v>
      </c>
      <c r="IM64" s="180">
        <v>15347.066047741842</v>
      </c>
      <c r="IN64" s="180">
        <v>15700.291826511479</v>
      </c>
      <c r="IO64" s="100">
        <v>90860</v>
      </c>
      <c r="IP64" s="100">
        <v>89881</v>
      </c>
      <c r="IQ64" s="99">
        <v>88179</v>
      </c>
      <c r="IR64" s="99">
        <v>89993</v>
      </c>
      <c r="IS64" s="99">
        <v>91087</v>
      </c>
      <c r="IT64" s="99">
        <v>93467</v>
      </c>
      <c r="IU64" s="100">
        <v>95088</v>
      </c>
      <c r="IV64" s="99">
        <v>95955</v>
      </c>
      <c r="IW64" s="99">
        <v>96959</v>
      </c>
      <c r="IX64" s="99">
        <v>96931</v>
      </c>
      <c r="IY64" s="99">
        <v>97397</v>
      </c>
      <c r="IZ64" s="99">
        <v>100330</v>
      </c>
      <c r="JA64" s="99">
        <v>101989</v>
      </c>
      <c r="JB64" s="99">
        <v>101285</v>
      </c>
      <c r="JC64" s="100">
        <v>102751</v>
      </c>
      <c r="JD64" s="99">
        <v>104217</v>
      </c>
      <c r="JE64" s="99">
        <v>104355</v>
      </c>
      <c r="JF64" s="99">
        <v>103712</v>
      </c>
      <c r="JG64" s="99">
        <v>102057</v>
      </c>
      <c r="JH64" s="99">
        <v>100734.45131334708</v>
      </c>
      <c r="JI64" s="99">
        <v>100523.89895064644</v>
      </c>
      <c r="JJ64" s="99">
        <v>98436.055796270462</v>
      </c>
      <c r="JK64" s="180">
        <v>96778.980856902359</v>
      </c>
      <c r="JL64" s="180">
        <v>93060.793113535663</v>
      </c>
      <c r="JM64" s="180">
        <v>92455.120844340345</v>
      </c>
      <c r="JN64" s="180">
        <v>92195.350313143572</v>
      </c>
      <c r="JO64" s="180">
        <v>93164.815755522985</v>
      </c>
      <c r="JP64" s="181">
        <v>91723.383205677848</v>
      </c>
      <c r="JQ64" s="180">
        <v>89098.50253549566</v>
      </c>
      <c r="JR64" s="180">
        <v>90209.656707563845</v>
      </c>
      <c r="JS64" s="180">
        <v>90477.286624038199</v>
      </c>
      <c r="JT64" s="180">
        <v>88809.293221343833</v>
      </c>
      <c r="JU64" s="180">
        <v>89440.166269179797</v>
      </c>
      <c r="JV64" s="181">
        <v>89918.97393608019</v>
      </c>
      <c r="JW64" s="180">
        <v>88416.670694869317</v>
      </c>
      <c r="JX64" s="180">
        <v>86223.898524811288</v>
      </c>
      <c r="JY64" s="180">
        <v>84261.858165258192</v>
      </c>
      <c r="JZ64" s="180">
        <v>83493.781205672392</v>
      </c>
      <c r="KA64" s="180">
        <v>82482.051767370154</v>
      </c>
      <c r="KB64" s="180">
        <v>81845.849580807364</v>
      </c>
      <c r="KC64" s="180">
        <v>82312.895387417273</v>
      </c>
    </row>
    <row r="65" spans="1:289">
      <c r="A65" s="175" t="s">
        <v>85</v>
      </c>
      <c r="B65" s="100">
        <v>7859</v>
      </c>
      <c r="C65" s="100">
        <v>7640</v>
      </c>
      <c r="D65" s="99">
        <v>7450</v>
      </c>
      <c r="E65" s="99">
        <v>7826</v>
      </c>
      <c r="F65" s="99">
        <v>7689</v>
      </c>
      <c r="G65" s="99">
        <v>7850</v>
      </c>
      <c r="H65" s="100">
        <v>8074</v>
      </c>
      <c r="I65" s="99">
        <v>8179</v>
      </c>
      <c r="J65" s="99">
        <v>8477</v>
      </c>
      <c r="K65" s="99">
        <v>8603</v>
      </c>
      <c r="L65" s="99">
        <v>9006</v>
      </c>
      <c r="M65" s="99">
        <v>9318</v>
      </c>
      <c r="N65" s="99">
        <v>9258</v>
      </c>
      <c r="O65" s="99">
        <v>9881</v>
      </c>
      <c r="P65" s="99">
        <v>10108</v>
      </c>
      <c r="Q65" s="99">
        <v>10384</v>
      </c>
      <c r="R65" s="99">
        <v>10347</v>
      </c>
      <c r="S65" s="99">
        <v>10028</v>
      </c>
      <c r="T65" s="99">
        <v>9908</v>
      </c>
      <c r="U65" s="99">
        <v>9724</v>
      </c>
      <c r="V65" s="99">
        <v>9751</v>
      </c>
      <c r="W65" s="99">
        <v>9579</v>
      </c>
      <c r="X65" s="546">
        <v>9780</v>
      </c>
      <c r="Y65" s="180">
        <v>9590.5209097248371</v>
      </c>
      <c r="Z65" s="180">
        <v>9507.5245105324229</v>
      </c>
      <c r="AA65" s="180">
        <v>9286.0519091522983</v>
      </c>
      <c r="AB65" s="180">
        <v>8224.7304913728622</v>
      </c>
      <c r="AC65" s="180">
        <v>8633.2257309081469</v>
      </c>
      <c r="AD65" s="181">
        <v>9146.3445165450739</v>
      </c>
      <c r="AE65" s="180">
        <v>9162.7231812910777</v>
      </c>
      <c r="AF65" s="180">
        <v>9086.6472398092083</v>
      </c>
      <c r="AG65" s="180">
        <v>9297.976433261294</v>
      </c>
      <c r="AH65" s="180">
        <v>9048.3493284673805</v>
      </c>
      <c r="AI65" s="180">
        <v>9027.8595604883449</v>
      </c>
      <c r="AJ65" s="181">
        <v>9226.5895470951818</v>
      </c>
      <c r="AK65" s="180">
        <v>8757.1526703505897</v>
      </c>
      <c r="AL65" s="180">
        <v>8330.8130724616894</v>
      </c>
      <c r="AM65" s="180">
        <v>8141.9483131329989</v>
      </c>
      <c r="AN65" s="180">
        <v>8011.0579928830757</v>
      </c>
      <c r="AO65" s="180">
        <v>7994.6633562743591</v>
      </c>
      <c r="AP65" s="180">
        <v>7888.7765654220866</v>
      </c>
      <c r="AQ65" s="180">
        <v>7898.7599479150686</v>
      </c>
      <c r="AR65" s="533">
        <f t="shared" si="178"/>
        <v>249.72967255772815</v>
      </c>
      <c r="AS65" s="534">
        <f t="shared" si="179"/>
        <v>234</v>
      </c>
      <c r="AT65" s="534">
        <f t="shared" si="180"/>
        <v>205</v>
      </c>
      <c r="AU65" s="534">
        <f t="shared" si="181"/>
        <v>291</v>
      </c>
      <c r="AV65" s="534">
        <f t="shared" si="182"/>
        <v>214</v>
      </c>
      <c r="AW65" s="534">
        <f t="shared" si="183"/>
        <v>278</v>
      </c>
      <c r="AX65" s="534">
        <f t="shared" si="184"/>
        <v>288</v>
      </c>
      <c r="AY65" s="534">
        <f t="shared" si="185"/>
        <v>293</v>
      </c>
      <c r="AZ65" s="534">
        <f t="shared" si="186"/>
        <v>306</v>
      </c>
      <c r="BA65" s="534">
        <f t="shared" si="187"/>
        <v>311</v>
      </c>
      <c r="BB65" s="534">
        <f t="shared" si="188"/>
        <v>360</v>
      </c>
      <c r="BC65" s="534">
        <f t="shared" si="189"/>
        <v>355</v>
      </c>
      <c r="BD65" s="534">
        <f t="shared" si="190"/>
        <v>333</v>
      </c>
      <c r="BE65" s="534">
        <f t="shared" si="191"/>
        <v>358</v>
      </c>
      <c r="BF65" s="534">
        <f t="shared" si="192"/>
        <v>331</v>
      </c>
      <c r="BG65" s="534">
        <f t="shared" si="193"/>
        <v>365</v>
      </c>
      <c r="BH65" s="534">
        <f t="shared" si="194"/>
        <v>378</v>
      </c>
      <c r="BI65" s="534">
        <f t="shared" si="195"/>
        <v>349</v>
      </c>
      <c r="BJ65" s="534">
        <f t="shared" si="196"/>
        <v>398</v>
      </c>
      <c r="BK65" s="534">
        <f t="shared" si="197"/>
        <v>333.90293727095388</v>
      </c>
      <c r="BL65" s="534">
        <f t="shared" si="198"/>
        <v>350.86484173883133</v>
      </c>
      <c r="BM65" s="534">
        <f t="shared" si="199"/>
        <v>340.56014574693239</v>
      </c>
      <c r="BN65" s="186">
        <f t="shared" si="200"/>
        <v>344.07541295471725</v>
      </c>
      <c r="BO65" s="186">
        <f t="shared" si="201"/>
        <v>398.6909169130443</v>
      </c>
      <c r="BP65" s="186">
        <f t="shared" si="202"/>
        <v>352.00942145482753</v>
      </c>
      <c r="BQ65" s="186">
        <f t="shared" si="203"/>
        <v>298.53065883916855</v>
      </c>
      <c r="BR65" s="186">
        <f t="shared" si="204"/>
        <v>303.76828194887651</v>
      </c>
      <c r="BS65" s="186">
        <f t="shared" si="205"/>
        <v>338.66272863700959</v>
      </c>
      <c r="BT65" s="186">
        <f t="shared" si="206"/>
        <v>355.38554707091259</v>
      </c>
      <c r="BU65" s="186">
        <f t="shared" si="207"/>
        <v>314.42577026310119</v>
      </c>
      <c r="BV65" s="186">
        <f t="shared" si="208"/>
        <v>369.28544143229027</v>
      </c>
      <c r="BW65" s="186">
        <f t="shared" si="209"/>
        <v>321.96838557545777</v>
      </c>
      <c r="BX65" s="186">
        <f t="shared" si="210"/>
        <v>325.67130662934568</v>
      </c>
      <c r="BY65" s="186">
        <f t="shared" si="211"/>
        <v>331.88524305350956</v>
      </c>
      <c r="BZ65" s="186">
        <f t="shared" si="212"/>
        <v>334.70130161296049</v>
      </c>
      <c r="CA65" s="186">
        <f t="shared" si="213"/>
        <v>339.0403108944156</v>
      </c>
      <c r="CB65" s="186">
        <f t="shared" si="214"/>
        <v>290.57312095940352</v>
      </c>
      <c r="CC65" s="186">
        <f t="shared" si="215"/>
        <v>303.04461103979912</v>
      </c>
      <c r="CD65" s="186">
        <f t="shared" si="216"/>
        <v>305.304361388649</v>
      </c>
      <c r="CE65" s="186">
        <f t="shared" si="217"/>
        <v>311.13545199778127</v>
      </c>
      <c r="CF65" s="186">
        <f t="shared" si="218"/>
        <v>312.96160267392963</v>
      </c>
      <c r="CG65" s="100">
        <v>25.982371310788928</v>
      </c>
      <c r="CH65" s="100">
        <v>23</v>
      </c>
      <c r="CI65" s="99">
        <v>21</v>
      </c>
      <c r="CJ65" s="99">
        <v>32</v>
      </c>
      <c r="CK65" s="99">
        <v>16</v>
      </c>
      <c r="CL65" s="99">
        <v>48</v>
      </c>
      <c r="CM65" s="100">
        <v>34</v>
      </c>
      <c r="CN65" s="99">
        <v>27</v>
      </c>
      <c r="CO65" s="99">
        <v>14</v>
      </c>
      <c r="CP65" s="99">
        <v>38</v>
      </c>
      <c r="CQ65" s="99">
        <v>43</v>
      </c>
      <c r="CR65" s="99">
        <v>33</v>
      </c>
      <c r="CS65" s="99">
        <v>39</v>
      </c>
      <c r="CT65" s="99">
        <v>42</v>
      </c>
      <c r="CU65" s="99">
        <v>54</v>
      </c>
      <c r="CV65" s="99">
        <v>43</v>
      </c>
      <c r="CW65" s="99">
        <v>64</v>
      </c>
      <c r="CX65" s="99">
        <v>63</v>
      </c>
      <c r="CY65" s="99">
        <v>61</v>
      </c>
      <c r="CZ65" s="99">
        <v>51.959567819084583</v>
      </c>
      <c r="DA65" s="99">
        <v>43.993133721418872</v>
      </c>
      <c r="DB65" s="99">
        <v>36.846396888291295</v>
      </c>
      <c r="DC65" s="180">
        <v>34.516800909675972</v>
      </c>
      <c r="DD65" s="180">
        <v>52.978352390985684</v>
      </c>
      <c r="DE65" s="180">
        <v>60.441132969129328</v>
      </c>
      <c r="DF65" s="180">
        <v>48.020945044972812</v>
      </c>
      <c r="DG65" s="180">
        <v>40.964051457028866</v>
      </c>
      <c r="DH65" s="181">
        <v>42.544247959664176</v>
      </c>
      <c r="DI65" s="180">
        <v>44.888916819113966</v>
      </c>
      <c r="DJ65" s="180">
        <v>40.549693254166726</v>
      </c>
      <c r="DK65" s="180">
        <v>48.066191093215657</v>
      </c>
      <c r="DL65" s="180">
        <v>46.57292354740261</v>
      </c>
      <c r="DM65" s="180">
        <v>36.038276770712677</v>
      </c>
      <c r="DN65" s="181">
        <v>35.6939326849594</v>
      </c>
      <c r="DO65" s="180">
        <v>34.150312446795823</v>
      </c>
      <c r="DP65" s="180">
        <v>24.491418574354494</v>
      </c>
      <c r="DQ65" s="180">
        <v>22.491165836546092</v>
      </c>
      <c r="DR65" s="180">
        <v>20.352437265772235</v>
      </c>
      <c r="DS65" s="180">
        <v>22.634524677201927</v>
      </c>
      <c r="DT65" s="180">
        <v>22.973845428012197</v>
      </c>
      <c r="DU65" s="180">
        <v>21.879932229468508</v>
      </c>
      <c r="DV65" s="100">
        <v>223.74730124693923</v>
      </c>
      <c r="DW65" s="100">
        <v>211</v>
      </c>
      <c r="DX65" s="99">
        <v>184</v>
      </c>
      <c r="DY65" s="99">
        <v>259</v>
      </c>
      <c r="DZ65" s="99">
        <v>198</v>
      </c>
      <c r="EA65" s="99">
        <v>230</v>
      </c>
      <c r="EB65" s="100">
        <v>254</v>
      </c>
      <c r="EC65" s="99">
        <v>266</v>
      </c>
      <c r="ED65" s="99">
        <v>292</v>
      </c>
      <c r="EE65" s="99">
        <v>273</v>
      </c>
      <c r="EF65" s="99">
        <v>317</v>
      </c>
      <c r="EG65" s="99">
        <v>322</v>
      </c>
      <c r="EH65" s="99">
        <v>294</v>
      </c>
      <c r="EI65" s="99">
        <v>316</v>
      </c>
      <c r="EJ65" s="99">
        <v>277</v>
      </c>
      <c r="EK65" s="99">
        <v>322</v>
      </c>
      <c r="EL65" s="99">
        <v>314</v>
      </c>
      <c r="EM65" s="99">
        <v>286</v>
      </c>
      <c r="EN65" s="99">
        <v>337</v>
      </c>
      <c r="EO65" s="99">
        <v>281.94336945186927</v>
      </c>
      <c r="EP65" s="99">
        <v>306.87170801741246</v>
      </c>
      <c r="EQ65" s="99">
        <v>303.71374885864111</v>
      </c>
      <c r="ER65" s="180">
        <v>309.55861204504129</v>
      </c>
      <c r="ES65" s="180">
        <v>345.71256452205864</v>
      </c>
      <c r="ET65" s="180">
        <v>291.56828848569819</v>
      </c>
      <c r="EU65" s="180">
        <v>250.50971379419576</v>
      </c>
      <c r="EV65" s="180">
        <v>262.80423049184765</v>
      </c>
      <c r="EW65" s="181">
        <v>296.11848067734542</v>
      </c>
      <c r="EX65" s="180">
        <v>310.49663025179865</v>
      </c>
      <c r="EY65" s="180">
        <v>273.87607700893449</v>
      </c>
      <c r="EZ65" s="180">
        <v>321.21925033907462</v>
      </c>
      <c r="FA65" s="180">
        <v>275.39546202805514</v>
      </c>
      <c r="FB65" s="180">
        <v>289.63302985863299</v>
      </c>
      <c r="FC65" s="181">
        <v>296.19131036855015</v>
      </c>
      <c r="FD65" s="180">
        <v>300.5509891661647</v>
      </c>
      <c r="FE65" s="180">
        <v>314.5488923200611</v>
      </c>
      <c r="FF65" s="180">
        <v>268.08195512285744</v>
      </c>
      <c r="FG65" s="180">
        <v>282.69217377402691</v>
      </c>
      <c r="FH65" s="180">
        <v>282.66983671144709</v>
      </c>
      <c r="FI65" s="180">
        <v>288.16160656976911</v>
      </c>
      <c r="FJ65" s="180">
        <v>291.08167044446111</v>
      </c>
      <c r="FK65" s="100">
        <v>447.81151998332581</v>
      </c>
      <c r="FL65" s="100">
        <v>439</v>
      </c>
      <c r="FM65" s="99">
        <v>438</v>
      </c>
      <c r="FN65" s="99">
        <v>428</v>
      </c>
      <c r="FO65" s="99">
        <v>464</v>
      </c>
      <c r="FP65" s="99">
        <v>417</v>
      </c>
      <c r="FQ65" s="100">
        <v>462</v>
      </c>
      <c r="FR65" s="99">
        <v>487</v>
      </c>
      <c r="FS65" s="99">
        <v>464</v>
      </c>
      <c r="FT65" s="99">
        <v>546</v>
      </c>
      <c r="FU65" s="99">
        <v>657</v>
      </c>
      <c r="FV65" s="99">
        <v>684</v>
      </c>
      <c r="FW65" s="99">
        <v>640</v>
      </c>
      <c r="FX65" s="99">
        <v>794</v>
      </c>
      <c r="FY65" s="99">
        <v>819</v>
      </c>
      <c r="FZ65" s="99">
        <v>871</v>
      </c>
      <c r="GA65" s="99">
        <v>890</v>
      </c>
      <c r="GB65" s="99">
        <v>836</v>
      </c>
      <c r="GC65" s="99">
        <v>865</v>
      </c>
      <c r="GD65" s="99">
        <v>826.8165175779834</v>
      </c>
      <c r="GE65" s="99">
        <v>811.89168039006597</v>
      </c>
      <c r="GF65" s="99">
        <v>785.50951702569319</v>
      </c>
      <c r="GG65" s="180">
        <v>779.49669828420122</v>
      </c>
      <c r="GH65" s="180">
        <v>815.30141944606828</v>
      </c>
      <c r="GI65" s="180">
        <v>768.54262693591625</v>
      </c>
      <c r="GJ65" s="180">
        <v>647.19521510560105</v>
      </c>
      <c r="GK65" s="180">
        <v>703.04793107831983</v>
      </c>
      <c r="GL65" s="181">
        <v>744.41066062711218</v>
      </c>
      <c r="GM65" s="180">
        <v>692.88993717319659</v>
      </c>
      <c r="GN65" s="180">
        <v>732.7288118486116</v>
      </c>
      <c r="GO65" s="180">
        <v>720.83629580005731</v>
      </c>
      <c r="GP65" s="180">
        <v>734.54917916304953</v>
      </c>
      <c r="GQ65" s="180">
        <v>643.37646255756704</v>
      </c>
      <c r="GR65" s="181">
        <v>731.11661048346798</v>
      </c>
      <c r="GS65" s="180">
        <v>702.29839054304637</v>
      </c>
      <c r="GT65" s="180">
        <v>595.17299100802336</v>
      </c>
      <c r="GU65" s="180">
        <v>599.64281061346514</v>
      </c>
      <c r="GV65" s="180">
        <v>588.22906482480846</v>
      </c>
      <c r="GW65" s="180">
        <v>530.26843990017767</v>
      </c>
      <c r="GX65" s="180">
        <v>579.81976575397709</v>
      </c>
      <c r="GY65" s="180">
        <v>526.61765081691715</v>
      </c>
      <c r="GZ65" s="100">
        <v>393.00485547177044</v>
      </c>
      <c r="HA65" s="100">
        <v>387</v>
      </c>
      <c r="HB65" s="99">
        <v>409</v>
      </c>
      <c r="HC65" s="99">
        <v>348</v>
      </c>
      <c r="HD65" s="99">
        <v>500</v>
      </c>
      <c r="HE65" s="99">
        <v>595</v>
      </c>
      <c r="HF65" s="100">
        <v>600</v>
      </c>
      <c r="HG65" s="99">
        <v>657</v>
      </c>
      <c r="HH65" s="99">
        <v>708</v>
      </c>
      <c r="HI65" s="99">
        <v>769</v>
      </c>
      <c r="HJ65" s="99">
        <v>857</v>
      </c>
      <c r="HK65" s="99">
        <v>892</v>
      </c>
      <c r="HL65" s="99">
        <v>950</v>
      </c>
      <c r="HM65" s="99">
        <v>1153</v>
      </c>
      <c r="HN65" s="99">
        <v>1292</v>
      </c>
      <c r="HO65" s="99">
        <v>1485</v>
      </c>
      <c r="HP65" s="99">
        <v>1605</v>
      </c>
      <c r="HQ65" s="99">
        <v>1519</v>
      </c>
      <c r="HR65" s="99">
        <v>1563</v>
      </c>
      <c r="HS65" s="99">
        <v>1685</v>
      </c>
      <c r="HT65" s="99">
        <v>1719</v>
      </c>
      <c r="HU65" s="99">
        <v>1740</v>
      </c>
      <c r="HV65" s="180">
        <v>1899.6318200215348</v>
      </c>
      <c r="HW65" s="180">
        <v>1997.1236433830543</v>
      </c>
      <c r="HX65" s="180">
        <v>1974.8339733892324</v>
      </c>
      <c r="HY65" s="180">
        <v>1761.3053045539361</v>
      </c>
      <c r="HZ65" s="180">
        <v>1967.0471720882065</v>
      </c>
      <c r="IA65" s="181">
        <v>2264.8874176011445</v>
      </c>
      <c r="IB65" s="180">
        <v>2325.8332683595122</v>
      </c>
      <c r="IC65" s="180">
        <v>2366.3415479365294</v>
      </c>
      <c r="ID65" s="180">
        <v>2580.3148461443689</v>
      </c>
      <c r="IE65" s="180">
        <v>2639.6241641486786</v>
      </c>
      <c r="IF65" s="180">
        <v>2810.7372288284141</v>
      </c>
      <c r="IG65" s="181">
        <v>3028.0265893919659</v>
      </c>
      <c r="IH65" s="180">
        <v>2844.2269598145422</v>
      </c>
      <c r="II65" s="180">
        <v>2735.0627765494837</v>
      </c>
      <c r="IJ65" s="180">
        <v>2665.6267750666966</v>
      </c>
      <c r="IK65" s="180">
        <v>2679.4597141455747</v>
      </c>
      <c r="IL65" s="180">
        <v>2734.7414444842743</v>
      </c>
      <c r="IM65" s="180">
        <v>2700.365752519077</v>
      </c>
      <c r="IN65" s="180">
        <v>2844.2070203298417</v>
      </c>
      <c r="IO65" s="100">
        <v>6768.4539519871751</v>
      </c>
      <c r="IP65" s="100">
        <v>6580</v>
      </c>
      <c r="IQ65" s="99">
        <v>6398</v>
      </c>
      <c r="IR65" s="99">
        <v>6759</v>
      </c>
      <c r="IS65" s="99">
        <v>6511</v>
      </c>
      <c r="IT65" s="99">
        <v>6560</v>
      </c>
      <c r="IU65" s="100">
        <v>6724</v>
      </c>
      <c r="IV65" s="99">
        <v>6742</v>
      </c>
      <c r="IW65" s="99">
        <v>6999</v>
      </c>
      <c r="IX65" s="99">
        <v>6977</v>
      </c>
      <c r="IY65" s="99">
        <v>7132</v>
      </c>
      <c r="IZ65" s="99">
        <v>7387</v>
      </c>
      <c r="JA65" s="99">
        <v>7335</v>
      </c>
      <c r="JB65" s="99">
        <v>7576</v>
      </c>
      <c r="JC65" s="99">
        <v>7666</v>
      </c>
      <c r="JD65" s="99">
        <v>7663</v>
      </c>
      <c r="JE65" s="99">
        <v>7474</v>
      </c>
      <c r="JF65" s="99">
        <v>7324</v>
      </c>
      <c r="JG65" s="99">
        <v>7082</v>
      </c>
      <c r="JH65" s="99">
        <v>6878.2805451510631</v>
      </c>
      <c r="JI65" s="99">
        <v>6869.2434778711031</v>
      </c>
      <c r="JJ65" s="99">
        <v>6712.9303372273744</v>
      </c>
      <c r="JK65" s="180">
        <v>6575.3930509695874</v>
      </c>
      <c r="JL65" s="180">
        <v>6294.8046680239431</v>
      </c>
      <c r="JM65" s="180">
        <v>6170.7165789781748</v>
      </c>
      <c r="JN65" s="180">
        <v>5496.377053119757</v>
      </c>
      <c r="JO65" s="180">
        <v>5662.4638994727229</v>
      </c>
      <c r="JP65" s="181">
        <v>5828.5629292454942</v>
      </c>
      <c r="JQ65" s="180">
        <v>5830.4662418665202</v>
      </c>
      <c r="JR65" s="180">
        <v>5729.4955960321222</v>
      </c>
      <c r="JS65" s="180">
        <v>5717.5083713911945</v>
      </c>
      <c r="JT65" s="180">
        <v>5468.1814339490902</v>
      </c>
      <c r="JU65" s="180">
        <v>5419.7967087465786</v>
      </c>
      <c r="JV65" s="181">
        <v>5349.8350766549675</v>
      </c>
      <c r="JW65" s="180">
        <v>5098.0830510714459</v>
      </c>
      <c r="JX65" s="180">
        <v>4891.8119749017824</v>
      </c>
      <c r="JY65" s="180">
        <v>4812.8960735574583</v>
      </c>
      <c r="JZ65" s="180">
        <v>4531.1899316158579</v>
      </c>
      <c r="KA65" s="180">
        <v>4496.4067032163484</v>
      </c>
      <c r="KB65" s="180">
        <v>4398.0968766047527</v>
      </c>
      <c r="KC65" s="180">
        <v>4399.9670433318352</v>
      </c>
    </row>
    <row r="66" spans="1:289">
      <c r="A66" s="176" t="s">
        <v>86</v>
      </c>
      <c r="B66" s="102">
        <v>5218.251371890281</v>
      </c>
      <c r="C66" s="102">
        <v>5697</v>
      </c>
      <c r="D66" s="101">
        <v>5580.0058902885257</v>
      </c>
      <c r="E66" s="101">
        <v>5867</v>
      </c>
      <c r="F66" s="101">
        <v>5867</v>
      </c>
      <c r="G66" s="101">
        <v>6181</v>
      </c>
      <c r="H66" s="102">
        <v>6469</v>
      </c>
      <c r="I66" s="101">
        <v>6520</v>
      </c>
      <c r="J66" s="101">
        <v>6675</v>
      </c>
      <c r="K66" s="101">
        <v>6856</v>
      </c>
      <c r="L66" s="101">
        <v>7083</v>
      </c>
      <c r="M66" s="101">
        <v>6970</v>
      </c>
      <c r="N66" s="101">
        <v>7100</v>
      </c>
      <c r="O66" s="101">
        <v>7152</v>
      </c>
      <c r="P66" s="101">
        <v>6779</v>
      </c>
      <c r="Q66" s="101">
        <v>7317</v>
      </c>
      <c r="R66" s="101">
        <v>7392</v>
      </c>
      <c r="S66" s="101">
        <v>7209</v>
      </c>
      <c r="T66" s="101">
        <v>7199</v>
      </c>
      <c r="U66" s="101">
        <v>6932</v>
      </c>
      <c r="V66" s="101">
        <v>6859</v>
      </c>
      <c r="W66" s="101">
        <v>6491</v>
      </c>
      <c r="X66" s="544">
        <v>5640</v>
      </c>
      <c r="Y66" s="182">
        <v>6349.251671907009</v>
      </c>
      <c r="Z66" s="182">
        <v>6303.3834174597605</v>
      </c>
      <c r="AA66" s="182">
        <v>6211.1026810616095</v>
      </c>
      <c r="AB66" s="182">
        <v>6335.5517130578992</v>
      </c>
      <c r="AC66" s="182">
        <v>6015.3149759102207</v>
      </c>
      <c r="AD66" s="179">
        <v>5966.5868638330658</v>
      </c>
      <c r="AE66" s="182">
        <v>5879.1868879952581</v>
      </c>
      <c r="AF66" s="182">
        <v>5832.4195193244313</v>
      </c>
      <c r="AG66" s="182">
        <v>5896.6163797316167</v>
      </c>
      <c r="AH66" s="182">
        <v>5954.4507958205895</v>
      </c>
      <c r="AI66" s="182">
        <v>5725.7147947986068</v>
      </c>
      <c r="AJ66" s="179">
        <v>5895.7438663894482</v>
      </c>
      <c r="AK66" s="182">
        <v>5721.7511216988896</v>
      </c>
      <c r="AL66" s="182">
        <v>5527.1391706978884</v>
      </c>
      <c r="AM66" s="182">
        <v>5642.7066571130299</v>
      </c>
      <c r="AN66" s="182">
        <v>5479.0842513057505</v>
      </c>
      <c r="AO66" s="182">
        <v>5393.6927861188096</v>
      </c>
      <c r="AP66" s="182">
        <v>5482.7638416015661</v>
      </c>
      <c r="AQ66" s="182">
        <v>5520.2586506875568</v>
      </c>
      <c r="AR66" s="539">
        <f t="shared" si="178"/>
        <v>74.002556672916313</v>
      </c>
      <c r="AS66" s="540">
        <f t="shared" si="179"/>
        <v>71.85554051471486</v>
      </c>
      <c r="AT66" s="540">
        <f t="shared" si="180"/>
        <v>94.580624868973018</v>
      </c>
      <c r="AU66" s="540">
        <f t="shared" si="181"/>
        <v>83</v>
      </c>
      <c r="AV66" s="540">
        <f t="shared" si="182"/>
        <v>83</v>
      </c>
      <c r="AW66" s="540">
        <f t="shared" si="183"/>
        <v>110</v>
      </c>
      <c r="AX66" s="540">
        <f t="shared" si="184"/>
        <v>134</v>
      </c>
      <c r="AY66" s="540">
        <f t="shared" si="185"/>
        <v>123</v>
      </c>
      <c r="AZ66" s="540">
        <f t="shared" si="186"/>
        <v>110</v>
      </c>
      <c r="BA66" s="540">
        <f t="shared" si="187"/>
        <v>140.23829139999998</v>
      </c>
      <c r="BB66" s="540">
        <f t="shared" si="188"/>
        <v>174.46693481</v>
      </c>
      <c r="BC66" s="540">
        <f t="shared" si="189"/>
        <v>176</v>
      </c>
      <c r="BD66" s="540">
        <f t="shared" si="190"/>
        <v>187</v>
      </c>
      <c r="BE66" s="540">
        <f t="shared" si="191"/>
        <v>133</v>
      </c>
      <c r="BF66" s="540">
        <f t="shared" si="192"/>
        <v>169</v>
      </c>
      <c r="BG66" s="540">
        <f t="shared" si="193"/>
        <v>188</v>
      </c>
      <c r="BH66" s="540">
        <f t="shared" si="194"/>
        <v>146</v>
      </c>
      <c r="BI66" s="540">
        <f t="shared" si="195"/>
        <v>202.99802223544157</v>
      </c>
      <c r="BJ66" s="540">
        <f t="shared" si="196"/>
        <v>225.39434428061924</v>
      </c>
      <c r="BK66" s="540">
        <f t="shared" si="197"/>
        <v>231.22453579085837</v>
      </c>
      <c r="BL66" s="540">
        <f t="shared" si="198"/>
        <v>195.15162428854885</v>
      </c>
      <c r="BM66" s="540">
        <f t="shared" si="199"/>
        <v>168.74170020644277</v>
      </c>
      <c r="BN66" s="259">
        <f t="shared" si="200"/>
        <v>232.20044484310264</v>
      </c>
      <c r="BO66" s="259">
        <f t="shared" si="201"/>
        <v>235.68698807971685</v>
      </c>
      <c r="BP66" s="259">
        <f t="shared" si="202"/>
        <v>264.38338272700054</v>
      </c>
      <c r="BQ66" s="259">
        <f t="shared" si="203"/>
        <v>217.50431738895972</v>
      </c>
      <c r="BR66" s="259">
        <f t="shared" si="204"/>
        <v>243.89953610147944</v>
      </c>
      <c r="BS66" s="259">
        <f t="shared" si="205"/>
        <v>276.50686502026764</v>
      </c>
      <c r="BT66" s="259">
        <f t="shared" si="206"/>
        <v>263.99038022158214</v>
      </c>
      <c r="BU66" s="259">
        <f t="shared" si="207"/>
        <v>299.53663564772683</v>
      </c>
      <c r="BV66" s="259">
        <f t="shared" si="208"/>
        <v>281.26532283998091</v>
      </c>
      <c r="BW66" s="259">
        <f t="shared" si="209"/>
        <v>344.41214645439675</v>
      </c>
      <c r="BX66" s="259">
        <f t="shared" si="210"/>
        <v>355.64952441715559</v>
      </c>
      <c r="BY66" s="259">
        <f t="shared" si="211"/>
        <v>310.43958786106646</v>
      </c>
      <c r="BZ66" s="259">
        <f t="shared" si="212"/>
        <v>341.8045234309551</v>
      </c>
      <c r="CA66" s="259">
        <f t="shared" si="213"/>
        <v>379.30962884476389</v>
      </c>
      <c r="CB66" s="259">
        <f t="shared" si="214"/>
        <v>381.79156619817059</v>
      </c>
      <c r="CC66" s="259">
        <f t="shared" si="215"/>
        <v>513.59784547569416</v>
      </c>
      <c r="CD66" s="259">
        <f t="shared" si="216"/>
        <v>461.20257944197118</v>
      </c>
      <c r="CE66" s="259">
        <f t="shared" si="217"/>
        <v>440.3724180035498</v>
      </c>
      <c r="CF66" s="259">
        <f t="shared" si="218"/>
        <v>502.97105631017138</v>
      </c>
      <c r="CG66" s="102">
        <v>26.747912050451681</v>
      </c>
      <c r="CH66" s="102">
        <v>26.73336924537551</v>
      </c>
      <c r="CI66" s="101">
        <v>30.664624159853989</v>
      </c>
      <c r="CJ66" s="101">
        <v>30</v>
      </c>
      <c r="CK66" s="101">
        <v>30</v>
      </c>
      <c r="CL66" s="101">
        <v>33</v>
      </c>
      <c r="CM66" s="102">
        <v>33</v>
      </c>
      <c r="CN66" s="101">
        <v>49</v>
      </c>
      <c r="CO66" s="101">
        <v>30</v>
      </c>
      <c r="CP66" s="101">
        <v>28.261638099999999</v>
      </c>
      <c r="CQ66" s="101">
        <v>39.64292331</v>
      </c>
      <c r="CR66" s="101">
        <v>43</v>
      </c>
      <c r="CS66" s="101">
        <v>40</v>
      </c>
      <c r="CT66" s="101">
        <v>38</v>
      </c>
      <c r="CU66" s="101">
        <v>51</v>
      </c>
      <c r="CV66" s="101">
        <v>96</v>
      </c>
      <c r="CW66" s="101">
        <v>47</v>
      </c>
      <c r="CX66" s="101">
        <v>39.34304784501888</v>
      </c>
      <c r="CY66" s="101">
        <v>32.290260863591712</v>
      </c>
      <c r="CZ66" s="101">
        <v>23.460729990306664</v>
      </c>
      <c r="DA66" s="101">
        <v>25.515377834888419</v>
      </c>
      <c r="DB66" s="101">
        <v>12.485635141869308</v>
      </c>
      <c r="DC66" s="182">
        <v>13.259291486730969</v>
      </c>
      <c r="DD66" s="182">
        <v>20.181604367396709</v>
      </c>
      <c r="DE66" s="182">
        <v>15.131417496592002</v>
      </c>
      <c r="DF66" s="182">
        <v>29.351165085300888</v>
      </c>
      <c r="DG66" s="182">
        <v>28.816933365990131</v>
      </c>
      <c r="DH66" s="179">
        <v>30.38950242042521</v>
      </c>
      <c r="DI66" s="182">
        <v>23.18015240209893</v>
      </c>
      <c r="DJ66" s="182">
        <v>21.774528887072545</v>
      </c>
      <c r="DK66" s="182">
        <v>34.062283648834587</v>
      </c>
      <c r="DL66" s="182">
        <v>80.746135596460789</v>
      </c>
      <c r="DM66" s="182">
        <v>66.351114667379051</v>
      </c>
      <c r="DN66" s="179">
        <v>74.985466173989707</v>
      </c>
      <c r="DO66" s="182">
        <v>58.118912731923466</v>
      </c>
      <c r="DP66" s="182">
        <v>106.01872415647266</v>
      </c>
      <c r="DQ66" s="182">
        <v>104.19493653760084</v>
      </c>
      <c r="DR66" s="182">
        <v>108.28149638265569</v>
      </c>
      <c r="DS66" s="182">
        <v>57.809160864382157</v>
      </c>
      <c r="DT66" s="182">
        <v>64.351859821579581</v>
      </c>
      <c r="DU66" s="182">
        <v>96.234031683790946</v>
      </c>
      <c r="DV66" s="102">
        <v>47.254644622464639</v>
      </c>
      <c r="DW66" s="102">
        <v>45.122171269339347</v>
      </c>
      <c r="DX66" s="101">
        <v>63.916000709119025</v>
      </c>
      <c r="DY66" s="101">
        <v>53</v>
      </c>
      <c r="DZ66" s="101">
        <v>53</v>
      </c>
      <c r="EA66" s="101">
        <v>77</v>
      </c>
      <c r="EB66" s="102">
        <v>101</v>
      </c>
      <c r="EC66" s="101">
        <v>74</v>
      </c>
      <c r="ED66" s="101">
        <v>80</v>
      </c>
      <c r="EE66" s="101">
        <v>111.9766533</v>
      </c>
      <c r="EF66" s="101">
        <v>134.82401150000001</v>
      </c>
      <c r="EG66" s="101">
        <v>133</v>
      </c>
      <c r="EH66" s="101">
        <v>147</v>
      </c>
      <c r="EI66" s="101">
        <v>95</v>
      </c>
      <c r="EJ66" s="101">
        <v>118</v>
      </c>
      <c r="EK66" s="101">
        <v>92</v>
      </c>
      <c r="EL66" s="101">
        <v>99</v>
      </c>
      <c r="EM66" s="101">
        <v>163.65497439042269</v>
      </c>
      <c r="EN66" s="101">
        <v>193.10408341702751</v>
      </c>
      <c r="EO66" s="101">
        <v>207.76380580055169</v>
      </c>
      <c r="EP66" s="101">
        <v>169.63624645366042</v>
      </c>
      <c r="EQ66" s="101">
        <v>156.25606506457348</v>
      </c>
      <c r="ER66" s="182">
        <v>218.94115335637167</v>
      </c>
      <c r="ES66" s="182">
        <v>215.50538371232014</v>
      </c>
      <c r="ET66" s="182">
        <v>249.25196523040853</v>
      </c>
      <c r="EU66" s="182">
        <v>188.15315230365883</v>
      </c>
      <c r="EV66" s="182">
        <v>215.0826027354893</v>
      </c>
      <c r="EW66" s="179">
        <v>246.11736259984241</v>
      </c>
      <c r="EX66" s="182">
        <v>240.8102278194832</v>
      </c>
      <c r="EY66" s="182">
        <v>277.76210676065426</v>
      </c>
      <c r="EZ66" s="182">
        <v>247.20303919114633</v>
      </c>
      <c r="FA66" s="182">
        <v>263.66601085793599</v>
      </c>
      <c r="FB66" s="182">
        <v>289.29840974977657</v>
      </c>
      <c r="FC66" s="179">
        <v>235.45412168707674</v>
      </c>
      <c r="FD66" s="182">
        <v>283.68561069903166</v>
      </c>
      <c r="FE66" s="182">
        <v>273.29090468829122</v>
      </c>
      <c r="FF66" s="182">
        <v>277.59662966056976</v>
      </c>
      <c r="FG66" s="182">
        <v>405.31634909303841</v>
      </c>
      <c r="FH66" s="182">
        <v>403.39341857758905</v>
      </c>
      <c r="FI66" s="182">
        <v>376.02055818197022</v>
      </c>
      <c r="FJ66" s="182">
        <v>406.73702462638045</v>
      </c>
      <c r="FK66" s="102">
        <v>21.398329640361343</v>
      </c>
      <c r="FL66" s="102">
        <v>26.710792629520007</v>
      </c>
      <c r="FM66" s="101">
        <v>34.363800816473464</v>
      </c>
      <c r="FN66" s="101">
        <v>24</v>
      </c>
      <c r="FO66" s="101">
        <v>24</v>
      </c>
      <c r="FP66" s="101">
        <v>38</v>
      </c>
      <c r="FQ66" s="102">
        <v>36</v>
      </c>
      <c r="FR66" s="101">
        <v>38</v>
      </c>
      <c r="FS66" s="101">
        <v>37</v>
      </c>
      <c r="FT66" s="101">
        <v>47.817270489999999</v>
      </c>
      <c r="FU66" s="101">
        <v>46.501499129999999</v>
      </c>
      <c r="FV66" s="101">
        <v>59</v>
      </c>
      <c r="FW66" s="101">
        <v>89</v>
      </c>
      <c r="FX66" s="101">
        <v>69</v>
      </c>
      <c r="FY66" s="101">
        <v>87</v>
      </c>
      <c r="FZ66" s="101">
        <v>91</v>
      </c>
      <c r="GA66" s="101">
        <v>93</v>
      </c>
      <c r="GB66" s="101">
        <v>99.527812907076495</v>
      </c>
      <c r="GC66" s="101">
        <v>119.7603885941177</v>
      </c>
      <c r="GD66" s="101">
        <v>128.7029260027621</v>
      </c>
      <c r="GE66" s="101">
        <v>120.35360342621102</v>
      </c>
      <c r="GF66" s="101">
        <v>138.10715055011929</v>
      </c>
      <c r="GG66" s="182">
        <v>122.83041363677668</v>
      </c>
      <c r="GH66" s="182">
        <v>124.38782529062863</v>
      </c>
      <c r="GI66" s="182">
        <v>102.49005872593163</v>
      </c>
      <c r="GJ66" s="182">
        <v>144.79279429756903</v>
      </c>
      <c r="GK66" s="182">
        <v>137.00733132325803</v>
      </c>
      <c r="GL66" s="179">
        <v>129.59591356934698</v>
      </c>
      <c r="GM66" s="182">
        <v>109.07012559800681</v>
      </c>
      <c r="GN66" s="182">
        <v>131.59746408678174</v>
      </c>
      <c r="GO66" s="182">
        <v>122.65978245115708</v>
      </c>
      <c r="GP66" s="182">
        <v>122.66769833340892</v>
      </c>
      <c r="GQ66" s="182">
        <v>120.85155655579827</v>
      </c>
      <c r="GR66" s="179">
        <v>126.79791745770757</v>
      </c>
      <c r="GS66" s="182">
        <v>165.41946597690469</v>
      </c>
      <c r="GT66" s="182">
        <v>129.29594815983486</v>
      </c>
      <c r="GU66" s="182">
        <v>179.94317240914347</v>
      </c>
      <c r="GV66" s="182">
        <v>141.54819998797862</v>
      </c>
      <c r="GW66" s="182">
        <v>148.81930551855041</v>
      </c>
      <c r="GX66" s="182">
        <v>175.02538374506381</v>
      </c>
      <c r="GY66" s="182">
        <v>187.59297347400741</v>
      </c>
      <c r="GZ66" s="102">
        <v>26.747912050451681</v>
      </c>
      <c r="HA66" s="102">
        <v>31.134822152885786</v>
      </c>
      <c r="HB66" s="101">
        <v>37.061464603079315</v>
      </c>
      <c r="HC66" s="101">
        <v>30</v>
      </c>
      <c r="HD66" s="101">
        <v>30</v>
      </c>
      <c r="HE66" s="101">
        <v>42</v>
      </c>
      <c r="HF66" s="102">
        <v>42</v>
      </c>
      <c r="HG66" s="101">
        <v>28</v>
      </c>
      <c r="HH66" s="101">
        <v>32</v>
      </c>
      <c r="HI66" s="101">
        <v>47.546346329999999</v>
      </c>
      <c r="HJ66" s="101">
        <v>40.031174729999996</v>
      </c>
      <c r="HK66" s="101">
        <v>46</v>
      </c>
      <c r="HL66" s="101">
        <v>63</v>
      </c>
      <c r="HM66" s="101">
        <v>58</v>
      </c>
      <c r="HN66" s="101">
        <v>72</v>
      </c>
      <c r="HO66" s="101">
        <v>63</v>
      </c>
      <c r="HP66" s="101">
        <v>72</v>
      </c>
      <c r="HQ66" s="101">
        <v>61</v>
      </c>
      <c r="HR66" s="101">
        <v>81</v>
      </c>
      <c r="HS66" s="101">
        <v>96</v>
      </c>
      <c r="HT66" s="101">
        <v>93</v>
      </c>
      <c r="HU66" s="101">
        <v>83</v>
      </c>
      <c r="HV66" s="182">
        <v>77.839804626838415</v>
      </c>
      <c r="HW66" s="182">
        <v>104.66562373363756</v>
      </c>
      <c r="HX66" s="182">
        <v>104.86314481383211</v>
      </c>
      <c r="HY66" s="182">
        <v>110.32497795667788</v>
      </c>
      <c r="HZ66" s="182">
        <v>131.36607187761206</v>
      </c>
      <c r="IA66" s="179">
        <v>104.09281778180977</v>
      </c>
      <c r="IB66" s="182">
        <v>124.6691219050924</v>
      </c>
      <c r="IC66" s="182">
        <v>126.54497492089138</v>
      </c>
      <c r="ID66" s="182">
        <v>150.27290505100527</v>
      </c>
      <c r="IE66" s="182">
        <v>158.77365956115034</v>
      </c>
      <c r="IF66" s="182">
        <v>150.73493568264487</v>
      </c>
      <c r="IG66" s="179">
        <v>192.85031256619644</v>
      </c>
      <c r="IH66" s="182">
        <v>167.1815421269992</v>
      </c>
      <c r="II66" s="182">
        <v>205.99891952164728</v>
      </c>
      <c r="IJ66" s="182">
        <v>170.10776997590941</v>
      </c>
      <c r="IK66" s="182">
        <v>159.36996364468536</v>
      </c>
      <c r="IL66" s="182">
        <v>217.44074006649231</v>
      </c>
      <c r="IM66" s="182">
        <v>204.53480547586869</v>
      </c>
      <c r="IN66" s="182">
        <v>204.02651143931556</v>
      </c>
      <c r="IO66" s="102">
        <v>5096.1025735265521</v>
      </c>
      <c r="IP66" s="102">
        <v>5567.2988447028793</v>
      </c>
      <c r="IQ66" s="101">
        <v>5414</v>
      </c>
      <c r="IR66" s="101">
        <v>5730</v>
      </c>
      <c r="IS66" s="101">
        <v>5730</v>
      </c>
      <c r="IT66" s="101">
        <v>5991</v>
      </c>
      <c r="IU66" s="102">
        <v>6257</v>
      </c>
      <c r="IV66" s="101">
        <v>6331</v>
      </c>
      <c r="IW66" s="101">
        <v>6496</v>
      </c>
      <c r="IX66" s="101">
        <v>6620.3980920000004</v>
      </c>
      <c r="IY66" s="101">
        <v>6822.0003909999996</v>
      </c>
      <c r="IZ66" s="101">
        <v>6689</v>
      </c>
      <c r="JA66" s="101">
        <v>6753</v>
      </c>
      <c r="JB66" s="101">
        <v>6315</v>
      </c>
      <c r="JC66" s="101">
        <v>6451</v>
      </c>
      <c r="JD66" s="101">
        <v>6325</v>
      </c>
      <c r="JE66" s="101">
        <v>6408</v>
      </c>
      <c r="JF66" s="101">
        <v>6858.4741648574818</v>
      </c>
      <c r="JG66" s="101">
        <v>6772.8452671252635</v>
      </c>
      <c r="JH66" s="101">
        <v>6476.0725382063792</v>
      </c>
      <c r="JI66" s="101">
        <v>6449.4947722852403</v>
      </c>
      <c r="JJ66" s="101">
        <v>6101.1511492434383</v>
      </c>
      <c r="JK66" s="182">
        <v>5944.4402583282026</v>
      </c>
      <c r="JL66" s="182">
        <v>5874.6171337838796</v>
      </c>
      <c r="JM66" s="182">
        <v>5793.4383078702631</v>
      </c>
      <c r="JN66" s="182">
        <v>5899.0204174399041</v>
      </c>
      <c r="JO66" s="182">
        <v>5560.8721729537556</v>
      </c>
      <c r="JP66" s="179">
        <v>5530.9460200053327</v>
      </c>
      <c r="JQ66" s="182">
        <v>5454.5274817900518</v>
      </c>
      <c r="JR66" s="182">
        <v>5369.3489914959346</v>
      </c>
      <c r="JS66" s="182">
        <v>5437.3799902037008</v>
      </c>
      <c r="JT66" s="182">
        <v>5477.5566361749416</v>
      </c>
      <c r="JU66" s="182">
        <v>5256.2655572375561</v>
      </c>
      <c r="JV66" s="179">
        <v>5411.9385453064824</v>
      </c>
      <c r="JW66" s="182">
        <v>5229.6279119183728</v>
      </c>
      <c r="JX66" s="182">
        <v>5042.12459151026</v>
      </c>
      <c r="JY66" s="182">
        <v>5137.8099336817131</v>
      </c>
      <c r="JZ66" s="182">
        <v>4949.1892112929636</v>
      </c>
      <c r="KA66" s="182">
        <v>4852.2959287806261</v>
      </c>
      <c r="KB66" s="182">
        <v>4849.2128872393132</v>
      </c>
      <c r="KC66" s="182">
        <v>4960.662307500942</v>
      </c>
    </row>
    <row r="67" spans="1:289">
      <c r="A67" s="111" t="s">
        <v>87</v>
      </c>
      <c r="B67" s="106"/>
      <c r="C67" s="106">
        <v>3136</v>
      </c>
      <c r="D67" s="105">
        <v>3207</v>
      </c>
      <c r="E67" s="105">
        <v>2946</v>
      </c>
      <c r="F67" s="105">
        <v>2696</v>
      </c>
      <c r="G67" s="105">
        <v>2853</v>
      </c>
      <c r="H67" s="106">
        <v>2777</v>
      </c>
      <c r="I67" s="105">
        <v>2675</v>
      </c>
      <c r="J67" s="105">
        <v>2695</v>
      </c>
      <c r="K67" s="105">
        <v>2808</v>
      </c>
      <c r="L67" s="105">
        <v>3090</v>
      </c>
      <c r="M67" s="105">
        <v>2725</v>
      </c>
      <c r="N67" s="105">
        <v>3031</v>
      </c>
      <c r="O67" s="105">
        <v>2781</v>
      </c>
      <c r="P67" s="106">
        <v>2863</v>
      </c>
      <c r="Q67" s="105">
        <v>2944</v>
      </c>
      <c r="R67" s="106">
        <v>3352</v>
      </c>
      <c r="S67" s="106">
        <v>3517</v>
      </c>
      <c r="T67" s="106">
        <v>3602</v>
      </c>
      <c r="U67" s="106">
        <v>3477</v>
      </c>
      <c r="V67" s="106">
        <v>3860</v>
      </c>
      <c r="W67" s="105">
        <v>3961</v>
      </c>
      <c r="X67" s="548">
        <v>3500</v>
      </c>
      <c r="Y67" s="183">
        <v>3755.4007188395713</v>
      </c>
      <c r="Z67" s="183">
        <v>3827.6921490009709</v>
      </c>
      <c r="AA67" s="183">
        <v>3885.9812234076767</v>
      </c>
      <c r="AB67" s="183">
        <v>3834.4901067257415</v>
      </c>
      <c r="AC67" s="183">
        <v>3943.9240536050429</v>
      </c>
      <c r="AD67" s="184">
        <v>4001.2318400981958</v>
      </c>
      <c r="AE67" s="183">
        <v>3841.3909354071284</v>
      </c>
      <c r="AF67" s="183">
        <v>3880.8614283261959</v>
      </c>
      <c r="AG67" s="183">
        <v>3998.6186001399692</v>
      </c>
      <c r="AH67" s="183">
        <v>4360.7061002625369</v>
      </c>
      <c r="AI67" s="183">
        <v>4685.5564675629739</v>
      </c>
      <c r="AJ67" s="184">
        <v>5177.4592657555368</v>
      </c>
      <c r="AK67" s="183">
        <v>5023.9669077355484</v>
      </c>
      <c r="AL67" s="183">
        <v>4952.6653819788271</v>
      </c>
      <c r="AM67" s="183">
        <v>5075.716028929497</v>
      </c>
      <c r="AN67" s="183">
        <v>5170.9775689929993</v>
      </c>
      <c r="AO67" s="183">
        <v>5243.993093414907</v>
      </c>
      <c r="AP67" s="183">
        <v>5149.3876433839041</v>
      </c>
      <c r="AQ67" s="183">
        <v>5269.4492750803211</v>
      </c>
      <c r="AR67" s="541">
        <f t="shared" si="178"/>
        <v>0</v>
      </c>
      <c r="AS67" s="542">
        <f t="shared" si="179"/>
        <v>46</v>
      </c>
      <c r="AT67" s="542">
        <f t="shared" si="180"/>
        <v>72</v>
      </c>
      <c r="AU67" s="542">
        <f t="shared" si="181"/>
        <v>54</v>
      </c>
      <c r="AV67" s="542">
        <f t="shared" si="182"/>
        <v>66</v>
      </c>
      <c r="AW67" s="542">
        <f t="shared" si="183"/>
        <v>50</v>
      </c>
      <c r="AX67" s="542">
        <f t="shared" si="184"/>
        <v>198</v>
      </c>
      <c r="AY67" s="542">
        <f t="shared" si="185"/>
        <v>149</v>
      </c>
      <c r="AZ67" s="542">
        <f t="shared" si="186"/>
        <v>64</v>
      </c>
      <c r="BA67" s="542">
        <f t="shared" si="187"/>
        <v>75</v>
      </c>
      <c r="BB67" s="542">
        <f t="shared" si="188"/>
        <v>69</v>
      </c>
      <c r="BC67" s="542">
        <f t="shared" si="189"/>
        <v>77</v>
      </c>
      <c r="BD67" s="542">
        <f t="shared" si="190"/>
        <v>71</v>
      </c>
      <c r="BE67" s="542">
        <f t="shared" si="191"/>
        <v>61</v>
      </c>
      <c r="BF67" s="542">
        <f t="shared" si="192"/>
        <v>78</v>
      </c>
      <c r="BG67" s="542">
        <f t="shared" si="193"/>
        <v>69</v>
      </c>
      <c r="BH67" s="542">
        <f t="shared" si="194"/>
        <v>61</v>
      </c>
      <c r="BI67" s="542">
        <f t="shared" si="195"/>
        <v>57</v>
      </c>
      <c r="BJ67" s="542">
        <f t="shared" si="196"/>
        <v>67</v>
      </c>
      <c r="BK67" s="542">
        <f t="shared" si="197"/>
        <v>40.337166160193746</v>
      </c>
      <c r="BL67" s="542">
        <f t="shared" si="198"/>
        <v>64.752024994334022</v>
      </c>
      <c r="BM67" s="542">
        <f t="shared" si="199"/>
        <v>71.183703053423713</v>
      </c>
      <c r="BN67" s="261">
        <f>ER67</f>
        <v>50.288341429441338</v>
      </c>
      <c r="BO67" s="261">
        <f t="shared" ref="BO67:CF67" si="219">ES67</f>
        <v>61.894171242408838</v>
      </c>
      <c r="BP67" s="261">
        <f t="shared" si="219"/>
        <v>63.390943281435355</v>
      </c>
      <c r="BQ67" s="261">
        <f t="shared" si="219"/>
        <v>61.598019494902019</v>
      </c>
      <c r="BR67" s="261">
        <f t="shared" si="219"/>
        <v>72.737296216558704</v>
      </c>
      <c r="BS67" s="261">
        <f t="shared" si="219"/>
        <v>80.490116586875246</v>
      </c>
      <c r="BT67" s="261">
        <f t="shared" si="219"/>
        <v>90.304403584136779</v>
      </c>
      <c r="BU67" s="261">
        <f t="shared" si="219"/>
        <v>86.059823295169835</v>
      </c>
      <c r="BV67" s="261">
        <f t="shared" si="219"/>
        <v>85.519460185868624</v>
      </c>
      <c r="BW67" s="261">
        <f t="shared" si="219"/>
        <v>75.471908997225242</v>
      </c>
      <c r="BX67" s="261">
        <f t="shared" si="219"/>
        <v>86.51066889778356</v>
      </c>
      <c r="BY67" s="261">
        <f t="shared" si="219"/>
        <v>94.446426347715828</v>
      </c>
      <c r="BZ67" s="261">
        <f t="shared" si="219"/>
        <v>96.845710525336628</v>
      </c>
      <c r="CA67" s="261">
        <f t="shared" si="219"/>
        <v>124.75568931204411</v>
      </c>
      <c r="CB67" s="261">
        <f t="shared" si="219"/>
        <v>163.15547881439858</v>
      </c>
      <c r="CC67" s="261">
        <f t="shared" si="219"/>
        <v>174.22457472173295</v>
      </c>
      <c r="CD67" s="261">
        <f t="shared" si="219"/>
        <v>179.77176094868389</v>
      </c>
      <c r="CE67" s="261">
        <f t="shared" si="219"/>
        <v>188.94557943354397</v>
      </c>
      <c r="CF67" s="261">
        <f t="shared" si="219"/>
        <v>192.57508240435223</v>
      </c>
      <c r="CG67" s="106"/>
      <c r="CH67" s="106"/>
      <c r="CI67" s="105">
        <v>1</v>
      </c>
      <c r="CJ67" s="105"/>
      <c r="CK67" s="105"/>
      <c r="CL67" s="105"/>
      <c r="CM67" s="106"/>
      <c r="CN67" s="105">
        <v>3</v>
      </c>
      <c r="CO67" s="105">
        <v>1</v>
      </c>
      <c r="CP67" s="105">
        <v>3</v>
      </c>
      <c r="CQ67" s="105">
        <v>3</v>
      </c>
      <c r="CR67" s="105">
        <v>2</v>
      </c>
      <c r="CS67" s="105">
        <v>10</v>
      </c>
      <c r="CT67" s="105">
        <v>5</v>
      </c>
      <c r="CU67" s="106">
        <v>0</v>
      </c>
      <c r="CV67" s="105">
        <v>2</v>
      </c>
      <c r="CW67" s="106">
        <v>3</v>
      </c>
      <c r="CX67" s="106">
        <v>2</v>
      </c>
      <c r="CY67" s="106">
        <v>2</v>
      </c>
      <c r="CZ67" s="106">
        <v>4.0166627706022977</v>
      </c>
      <c r="DA67" s="106">
        <v>13.081675775106419</v>
      </c>
      <c r="DB67" s="105">
        <v>7.719586450997074</v>
      </c>
      <c r="DC67" s="183" t="s">
        <v>329</v>
      </c>
      <c r="DD67" s="183" t="s">
        <v>329</v>
      </c>
      <c r="DE67" s="183" t="s">
        <v>329</v>
      </c>
      <c r="DF67" s="183" t="s">
        <v>329</v>
      </c>
      <c r="DG67" s="183" t="s">
        <v>329</v>
      </c>
      <c r="DH67" s="183" t="s">
        <v>329</v>
      </c>
      <c r="DI67" s="183" t="s">
        <v>329</v>
      </c>
      <c r="DJ67" s="183" t="s">
        <v>329</v>
      </c>
      <c r="DK67" s="183" t="s">
        <v>329</v>
      </c>
      <c r="DL67" s="183" t="s">
        <v>329</v>
      </c>
      <c r="DM67" s="183" t="s">
        <v>329</v>
      </c>
      <c r="DN67" s="183" t="s">
        <v>329</v>
      </c>
      <c r="DO67" s="183" t="s">
        <v>329</v>
      </c>
      <c r="DP67" s="183" t="s">
        <v>329</v>
      </c>
      <c r="DQ67" s="183" t="s">
        <v>329</v>
      </c>
      <c r="DR67" s="183" t="s">
        <v>329</v>
      </c>
      <c r="DS67" s="183" t="s">
        <v>329</v>
      </c>
      <c r="DT67" s="183" t="s">
        <v>329</v>
      </c>
      <c r="DU67" s="183" t="s">
        <v>329</v>
      </c>
      <c r="DV67" s="106"/>
      <c r="DW67" s="106">
        <v>46</v>
      </c>
      <c r="DX67" s="105">
        <v>71</v>
      </c>
      <c r="DY67" s="105">
        <v>54</v>
      </c>
      <c r="DZ67" s="105">
        <v>66</v>
      </c>
      <c r="EA67" s="105">
        <v>50</v>
      </c>
      <c r="EB67" s="106">
        <v>198</v>
      </c>
      <c r="EC67" s="105">
        <v>146</v>
      </c>
      <c r="ED67" s="105">
        <v>63</v>
      </c>
      <c r="EE67" s="105">
        <v>72</v>
      </c>
      <c r="EF67" s="105">
        <v>66</v>
      </c>
      <c r="EG67" s="105">
        <v>75</v>
      </c>
      <c r="EH67" s="105">
        <v>61</v>
      </c>
      <c r="EI67" s="105">
        <v>56</v>
      </c>
      <c r="EJ67" s="106">
        <v>78</v>
      </c>
      <c r="EK67" s="105">
        <v>67</v>
      </c>
      <c r="EL67" s="106">
        <v>58</v>
      </c>
      <c r="EM67" s="106">
        <v>55</v>
      </c>
      <c r="EN67" s="106">
        <v>65</v>
      </c>
      <c r="EO67" s="106">
        <v>36.320503389591451</v>
      </c>
      <c r="EP67" s="106">
        <v>51.67034921922761</v>
      </c>
      <c r="EQ67" s="105">
        <v>63.464116602426635</v>
      </c>
      <c r="ER67" s="183">
        <v>50.288341429441338</v>
      </c>
      <c r="ES67" s="183">
        <v>61.894171242408838</v>
      </c>
      <c r="ET67" s="183">
        <v>63.390943281435355</v>
      </c>
      <c r="EU67" s="183">
        <v>61.598019494902019</v>
      </c>
      <c r="EV67" s="183">
        <v>72.737296216558704</v>
      </c>
      <c r="EW67" s="184">
        <v>80.490116586875246</v>
      </c>
      <c r="EX67" s="183">
        <v>90.304403584136779</v>
      </c>
      <c r="EY67" s="183">
        <v>86.059823295169835</v>
      </c>
      <c r="EZ67" s="183">
        <v>85.519460185868624</v>
      </c>
      <c r="FA67" s="183">
        <v>75.471908997225242</v>
      </c>
      <c r="FB67" s="183">
        <v>86.51066889778356</v>
      </c>
      <c r="FC67" s="184">
        <v>94.446426347715828</v>
      </c>
      <c r="FD67" s="183">
        <v>96.845710525336628</v>
      </c>
      <c r="FE67" s="183">
        <v>124.75568931204411</v>
      </c>
      <c r="FF67" s="183">
        <v>163.15547881439858</v>
      </c>
      <c r="FG67" s="183">
        <v>174.22457472173295</v>
      </c>
      <c r="FH67" s="183">
        <v>179.77176094868389</v>
      </c>
      <c r="FI67" s="183">
        <v>188.94557943354397</v>
      </c>
      <c r="FJ67" s="183">
        <v>192.57508240435223</v>
      </c>
      <c r="FK67" s="106"/>
      <c r="FL67" s="106">
        <v>2845</v>
      </c>
      <c r="FM67" s="105">
        <v>2870</v>
      </c>
      <c r="FN67" s="105">
        <v>2646</v>
      </c>
      <c r="FO67" s="105">
        <v>2404</v>
      </c>
      <c r="FP67" s="105">
        <v>2522</v>
      </c>
      <c r="FQ67" s="106">
        <v>2320</v>
      </c>
      <c r="FR67" s="105">
        <v>2255</v>
      </c>
      <c r="FS67" s="105">
        <v>2333</v>
      </c>
      <c r="FT67" s="105">
        <v>2401</v>
      </c>
      <c r="FU67" s="105">
        <v>2684</v>
      </c>
      <c r="FV67" s="105">
        <v>2339</v>
      </c>
      <c r="FW67" s="105">
        <v>2607</v>
      </c>
      <c r="FX67" s="105">
        <v>2379</v>
      </c>
      <c r="FY67" s="106">
        <v>2478</v>
      </c>
      <c r="FZ67" s="105">
        <v>2712</v>
      </c>
      <c r="GA67" s="106">
        <v>2871</v>
      </c>
      <c r="GB67" s="106">
        <v>3084</v>
      </c>
      <c r="GC67" s="106">
        <v>3097</v>
      </c>
      <c r="GD67" s="106">
        <v>2964.8423088007985</v>
      </c>
      <c r="GE67" s="106">
        <v>3362.4196054577792</v>
      </c>
      <c r="GF67" s="105">
        <v>3312.7500390971259</v>
      </c>
      <c r="GG67" s="183">
        <v>3093.1109880814088</v>
      </c>
      <c r="GH67" s="183">
        <v>3142.8273879056264</v>
      </c>
      <c r="GI67" s="183">
        <v>3146.4769011136204</v>
      </c>
      <c r="GJ67" s="183">
        <v>3051.4050864519431</v>
      </c>
      <c r="GK67" s="183">
        <v>3029.8843726369232</v>
      </c>
      <c r="GL67" s="184">
        <v>3038.8252931371489</v>
      </c>
      <c r="GM67" s="183">
        <v>2835.3435595559104</v>
      </c>
      <c r="GN67" s="183">
        <v>2823.7950324671783</v>
      </c>
      <c r="GO67" s="183">
        <v>2888.1234540753589</v>
      </c>
      <c r="GP67" s="183">
        <v>3095.6110808215089</v>
      </c>
      <c r="GQ67" s="183">
        <v>3265.5040003929903</v>
      </c>
      <c r="GR67" s="184">
        <v>3579.3590883043844</v>
      </c>
      <c r="GS67" s="183">
        <v>3395.0241657552283</v>
      </c>
      <c r="GT67" s="183">
        <v>3274.3853834472975</v>
      </c>
      <c r="GU67" s="183">
        <v>3350.5843526886702</v>
      </c>
      <c r="GV67" s="183">
        <v>3293.0729479234305</v>
      </c>
      <c r="GW67" s="183">
        <v>3288.7172400598242</v>
      </c>
      <c r="GX67" s="183">
        <v>3273.7957961457605</v>
      </c>
      <c r="GY67" s="183">
        <v>3255.9441610016502</v>
      </c>
      <c r="GZ67" s="106"/>
      <c r="HA67" s="106">
        <v>170</v>
      </c>
      <c r="HB67" s="105">
        <v>180</v>
      </c>
      <c r="HC67" s="105">
        <v>152</v>
      </c>
      <c r="HD67" s="105">
        <v>156</v>
      </c>
      <c r="HE67" s="105">
        <v>195</v>
      </c>
      <c r="HF67" s="106">
        <v>168</v>
      </c>
      <c r="HG67" s="105">
        <v>189</v>
      </c>
      <c r="HH67" s="105">
        <v>200</v>
      </c>
      <c r="HI67" s="105">
        <v>215</v>
      </c>
      <c r="HJ67" s="105">
        <v>209</v>
      </c>
      <c r="HK67" s="105">
        <v>199</v>
      </c>
      <c r="HL67" s="105">
        <v>239</v>
      </c>
      <c r="HM67" s="105">
        <v>214</v>
      </c>
      <c r="HN67" s="106">
        <v>226</v>
      </c>
      <c r="HO67" s="105">
        <v>190</v>
      </c>
      <c r="HP67" s="106">
        <v>277</v>
      </c>
      <c r="HQ67" s="106">
        <v>245</v>
      </c>
      <c r="HR67" s="106">
        <v>309</v>
      </c>
      <c r="HS67" s="106">
        <v>334</v>
      </c>
      <c r="HT67" s="106">
        <v>284</v>
      </c>
      <c r="HU67" s="105">
        <v>422</v>
      </c>
      <c r="HV67" s="183">
        <v>421.37960592611006</v>
      </c>
      <c r="HW67" s="183">
        <v>407.54343884237471</v>
      </c>
      <c r="HX67" s="183">
        <v>453.09033372469906</v>
      </c>
      <c r="HY67" s="183">
        <v>475.9873216737671</v>
      </c>
      <c r="HZ67" s="183">
        <v>565.06234815808659</v>
      </c>
      <c r="IA67" s="184">
        <v>590.21198145004871</v>
      </c>
      <c r="IB67" s="183">
        <v>593.52203218247507</v>
      </c>
      <c r="IC67" s="183">
        <v>641.46451932451623</v>
      </c>
      <c r="ID67" s="183">
        <v>655.64542614750371</v>
      </c>
      <c r="IE67" s="183">
        <v>757.1290596788524</v>
      </c>
      <c r="IF67" s="183">
        <v>879.76086623311653</v>
      </c>
      <c r="IG67" s="184">
        <v>985.13410158338672</v>
      </c>
      <c r="IH67" s="183">
        <v>1012.6058173136166</v>
      </c>
      <c r="II67" s="183">
        <v>1015.9554235787886</v>
      </c>
      <c r="IJ67" s="183">
        <v>914.24843565215212</v>
      </c>
      <c r="IK67" s="183">
        <v>920.97021713451227</v>
      </c>
      <c r="IL67" s="183">
        <v>923.31814987254768</v>
      </c>
      <c r="IM67" s="183">
        <v>838.45930913183463</v>
      </c>
      <c r="IN67" s="183">
        <v>861.79748875265147</v>
      </c>
      <c r="IO67" s="106"/>
      <c r="IP67" s="106">
        <v>75</v>
      </c>
      <c r="IQ67" s="105">
        <v>85</v>
      </c>
      <c r="IR67" s="105">
        <v>94</v>
      </c>
      <c r="IS67" s="105">
        <v>70</v>
      </c>
      <c r="IT67" s="105">
        <v>86</v>
      </c>
      <c r="IU67" s="106">
        <v>91</v>
      </c>
      <c r="IV67" s="105">
        <v>82</v>
      </c>
      <c r="IW67" s="105">
        <v>98</v>
      </c>
      <c r="IX67" s="105">
        <v>117</v>
      </c>
      <c r="IY67" s="105">
        <v>128</v>
      </c>
      <c r="IZ67" s="105">
        <v>110</v>
      </c>
      <c r="JA67" s="105">
        <v>114</v>
      </c>
      <c r="JB67" s="105">
        <v>127</v>
      </c>
      <c r="JC67" s="106">
        <v>118</v>
      </c>
      <c r="JD67" s="105">
        <v>108</v>
      </c>
      <c r="JE67" s="106">
        <v>144</v>
      </c>
      <c r="JF67" s="106">
        <v>131</v>
      </c>
      <c r="JG67" s="106">
        <v>129</v>
      </c>
      <c r="JH67" s="106">
        <v>137.82052503900752</v>
      </c>
      <c r="JI67" s="106">
        <v>148.82836954788695</v>
      </c>
      <c r="JJ67" s="105">
        <v>155.06625784945052</v>
      </c>
      <c r="JK67" s="183">
        <v>166.91771657523111</v>
      </c>
      <c r="JL67" s="183">
        <v>203.35627034570433</v>
      </c>
      <c r="JM67" s="183">
        <v>217.0234102176571</v>
      </c>
      <c r="JN67" s="183">
        <v>255.36973946752255</v>
      </c>
      <c r="JO67" s="183">
        <v>295.37710745359925</v>
      </c>
      <c r="JP67" s="184">
        <v>324.99964244274389</v>
      </c>
      <c r="JQ67" s="183">
        <v>366.01553699878826</v>
      </c>
      <c r="JR67" s="183">
        <v>369.10839052202903</v>
      </c>
      <c r="JS67" s="183">
        <v>413.18201184963164</v>
      </c>
      <c r="JT67" s="183">
        <v>481.71011302740067</v>
      </c>
      <c r="JU67" s="183">
        <v>517.60198890780237</v>
      </c>
      <c r="JV67" s="184">
        <v>595.51389540051218</v>
      </c>
      <c r="JW67" s="183">
        <v>563.59095132936818</v>
      </c>
      <c r="JX67" s="183">
        <v>557.00547997725744</v>
      </c>
      <c r="JY67" s="183">
        <v>602.47736455550205</v>
      </c>
      <c r="JZ67" s="183">
        <v>635.71324316086464</v>
      </c>
      <c r="KA67" s="183">
        <v>681.26161827041904</v>
      </c>
      <c r="KB67" s="183">
        <v>667.96608662238111</v>
      </c>
      <c r="KC67" s="183">
        <v>712.20346386365554</v>
      </c>
    </row>
    <row r="68" spans="1:289">
      <c r="B68" s="41"/>
      <c r="C68" s="41"/>
      <c r="D68" s="41"/>
      <c r="E68" s="41"/>
      <c r="F68" s="41"/>
      <c r="G68" s="41"/>
      <c r="H68" s="41"/>
      <c r="I68" s="41"/>
      <c r="J68" s="41"/>
      <c r="K68" s="41"/>
      <c r="L68" s="41"/>
      <c r="M68" s="41"/>
      <c r="N68" s="41"/>
      <c r="O68" s="41"/>
      <c r="P68" s="41"/>
      <c r="Q68" s="41"/>
      <c r="R68" s="41"/>
      <c r="S68" s="41"/>
      <c r="T68" s="41"/>
      <c r="U68" s="41"/>
      <c r="V68" s="41"/>
      <c r="W68" s="41"/>
      <c r="X68" s="543"/>
      <c r="Y68" s="41"/>
      <c r="Z68" s="41"/>
      <c r="AA68" s="41"/>
      <c r="AB68" s="41"/>
      <c r="AC68" s="41"/>
      <c r="AD68" s="41"/>
      <c r="AE68" s="41"/>
      <c r="AF68" s="41"/>
      <c r="AG68" s="41"/>
      <c r="AH68" s="41"/>
      <c r="AI68" s="41"/>
      <c r="AJ68" s="41"/>
      <c r="AK68" s="41"/>
      <c r="AL68" s="41"/>
      <c r="AM68" s="41"/>
      <c r="AN68" s="41"/>
      <c r="AO68" s="41"/>
      <c r="AP68" s="41"/>
      <c r="AQ68" s="41"/>
      <c r="AR68" s="543"/>
      <c r="AS68" s="543"/>
      <c r="AT68" s="543"/>
      <c r="AU68" s="543"/>
      <c r="AV68" s="543"/>
      <c r="AW68" s="543"/>
      <c r="AX68" s="543"/>
      <c r="AY68" s="543"/>
      <c r="AZ68" s="543"/>
      <c r="BA68" s="543"/>
      <c r="BB68" s="543"/>
      <c r="BC68" s="543"/>
      <c r="BD68" s="543"/>
      <c r="BE68" s="543"/>
      <c r="BF68" s="543"/>
      <c r="BG68" s="543"/>
      <c r="BH68" s="543"/>
      <c r="BI68" s="543"/>
      <c r="BJ68" s="543"/>
      <c r="BK68" s="543"/>
      <c r="BL68" s="543"/>
      <c r="BM68" s="543"/>
      <c r="BN68" s="41"/>
      <c r="BO68" s="41"/>
      <c r="BP68" s="41"/>
      <c r="BQ68" s="41"/>
      <c r="BR68" s="41"/>
      <c r="BS68" s="41"/>
      <c r="BT68" s="41"/>
      <c r="BU68" s="41"/>
      <c r="BV68" s="41"/>
      <c r="BW68" s="41"/>
      <c r="BX68" s="41"/>
      <c r="BY68" s="41"/>
      <c r="BZ68" s="41"/>
      <c r="CA68" s="41"/>
      <c r="CB68" s="41"/>
      <c r="CC68" s="41"/>
      <c r="CD68" s="41"/>
      <c r="CE68" s="41"/>
      <c r="CF68" s="41"/>
      <c r="CG68" s="41"/>
      <c r="CH68" s="41"/>
      <c r="CI68" s="41"/>
      <c r="CJ68" s="41"/>
      <c r="CK68" s="41"/>
      <c r="CL68" s="41"/>
      <c r="CM68" s="41"/>
      <c r="CN68" s="41"/>
      <c r="CO68" s="41"/>
      <c r="CP68" s="41"/>
      <c r="CQ68" s="41"/>
      <c r="CR68" s="41"/>
      <c r="CS68" s="41"/>
      <c r="CT68" s="41"/>
      <c r="CU68" s="41"/>
      <c r="CV68" s="41"/>
      <c r="CW68" s="41"/>
      <c r="CX68" s="41"/>
      <c r="CY68" s="41"/>
      <c r="CZ68" s="41"/>
      <c r="DA68" s="41"/>
      <c r="DB68" s="41"/>
      <c r="DC68" s="41"/>
      <c r="DD68" s="41"/>
      <c r="DE68" s="41"/>
      <c r="DF68" s="41"/>
      <c r="DG68" s="41"/>
      <c r="DH68" s="41"/>
      <c r="DI68" s="41"/>
      <c r="DJ68" s="41"/>
      <c r="DK68" s="41"/>
      <c r="DL68" s="41"/>
      <c r="DM68" s="41"/>
      <c r="DN68" s="41"/>
      <c r="DO68" s="41"/>
      <c r="DP68" s="41"/>
      <c r="DQ68" s="41"/>
      <c r="DR68" s="41"/>
      <c r="DS68" s="41"/>
      <c r="DT68" s="41"/>
      <c r="DU68" s="41"/>
      <c r="DV68" s="41"/>
      <c r="DW68" s="41"/>
      <c r="DX68" s="41"/>
      <c r="DY68" s="41"/>
      <c r="DZ68" s="41"/>
      <c r="EA68" s="41"/>
      <c r="EB68" s="41"/>
      <c r="EC68" s="41"/>
      <c r="ED68" s="41"/>
      <c r="EE68" s="41"/>
      <c r="EF68" s="41"/>
      <c r="EG68" s="41"/>
      <c r="EH68" s="41"/>
      <c r="EI68" s="41"/>
      <c r="EJ68" s="41"/>
      <c r="EK68" s="41"/>
      <c r="EL68" s="41"/>
      <c r="EM68" s="41"/>
      <c r="EN68" s="41"/>
      <c r="EO68" s="41"/>
      <c r="EP68" s="41"/>
      <c r="EQ68" s="41"/>
      <c r="ER68" s="41"/>
      <c r="ES68" s="41"/>
      <c r="ET68" s="41"/>
      <c r="EU68" s="41"/>
      <c r="EV68" s="41"/>
      <c r="EW68" s="41"/>
      <c r="EX68" s="41"/>
      <c r="EY68" s="41"/>
      <c r="EZ68" s="41"/>
      <c r="FA68" s="41"/>
      <c r="FB68" s="41"/>
      <c r="FC68" s="41"/>
      <c r="FD68" s="41"/>
      <c r="FE68" s="41"/>
      <c r="FF68" s="41"/>
      <c r="FG68" s="41"/>
      <c r="FH68" s="41"/>
      <c r="FI68" s="41"/>
      <c r="FJ68" s="41"/>
      <c r="FK68" s="41"/>
      <c r="FL68" s="41"/>
      <c r="FM68" s="41"/>
      <c r="FN68" s="41"/>
      <c r="FO68" s="41"/>
      <c r="FP68" s="41"/>
      <c r="FQ68" s="41"/>
      <c r="FR68" s="41"/>
      <c r="FS68" s="41"/>
      <c r="FT68" s="41"/>
      <c r="FU68" s="41"/>
      <c r="FV68" s="41"/>
      <c r="FW68" s="41"/>
      <c r="FX68" s="41"/>
      <c r="FY68" s="41"/>
      <c r="FZ68" s="41"/>
      <c r="GA68" s="41"/>
      <c r="GB68" s="41"/>
      <c r="GC68" s="41"/>
      <c r="GD68" s="41"/>
      <c r="GE68" s="41"/>
      <c r="GF68" s="41"/>
      <c r="GG68" s="41"/>
      <c r="GH68" s="41"/>
      <c r="GI68" s="41"/>
      <c r="GJ68" s="41"/>
      <c r="GK68" s="41"/>
      <c r="GL68" s="41"/>
      <c r="GM68" s="41"/>
      <c r="GN68" s="41"/>
      <c r="GO68" s="41"/>
      <c r="GP68" s="41"/>
      <c r="GQ68" s="41"/>
      <c r="GR68" s="41"/>
      <c r="GS68" s="41"/>
      <c r="GT68" s="41"/>
      <c r="GU68" s="41"/>
      <c r="GV68" s="41"/>
      <c r="GW68" s="41"/>
      <c r="GX68" s="41"/>
      <c r="GY68" s="41"/>
      <c r="GZ68" s="41"/>
      <c r="HA68" s="41"/>
      <c r="HB68" s="41"/>
      <c r="HC68" s="41"/>
      <c r="HD68" s="41"/>
      <c r="HE68" s="41"/>
      <c r="HF68" s="41"/>
      <c r="HG68" s="41"/>
      <c r="HH68" s="41"/>
      <c r="HI68" s="41"/>
      <c r="HJ68" s="41"/>
      <c r="HK68" s="41"/>
      <c r="HL68" s="41"/>
      <c r="HM68" s="41"/>
      <c r="HN68" s="41"/>
      <c r="HO68" s="41"/>
      <c r="HP68" s="41"/>
      <c r="HQ68" s="41"/>
      <c r="HR68" s="41"/>
      <c r="HS68" s="41"/>
      <c r="HT68" s="41"/>
      <c r="HU68" s="41"/>
      <c r="HV68" s="41"/>
      <c r="HW68" s="41"/>
      <c r="HX68" s="41"/>
      <c r="HY68" s="41"/>
      <c r="HZ68" s="41"/>
      <c r="IA68" s="41"/>
      <c r="IB68" s="41"/>
      <c r="IC68" s="41"/>
      <c r="ID68" s="41"/>
      <c r="IE68" s="41"/>
      <c r="IF68" s="41"/>
      <c r="IG68" s="41"/>
      <c r="IH68" s="41"/>
      <c r="II68" s="41"/>
      <c r="IJ68" s="41"/>
      <c r="IK68" s="41"/>
      <c r="IL68" s="41"/>
      <c r="IM68" s="41"/>
      <c r="IN68" s="41"/>
      <c r="IO68" s="41"/>
      <c r="IP68" s="41"/>
      <c r="IQ68" s="41"/>
      <c r="IR68" s="41"/>
      <c r="IS68" s="41"/>
      <c r="IT68" s="41"/>
      <c r="IU68" s="41"/>
      <c r="IV68" s="41"/>
      <c r="IW68" s="41"/>
      <c r="IX68" s="41"/>
      <c r="IY68" s="41"/>
      <c r="IZ68" s="41"/>
      <c r="JA68" s="41"/>
      <c r="JB68" s="41"/>
      <c r="JC68" s="41"/>
      <c r="JD68" s="41"/>
      <c r="JE68" s="41"/>
      <c r="JF68" s="41"/>
      <c r="JG68" s="41"/>
      <c r="JH68" s="41"/>
      <c r="JI68" s="41"/>
      <c r="JJ68" s="41"/>
      <c r="JK68" s="41"/>
      <c r="JL68" s="41"/>
      <c r="JM68" s="41"/>
      <c r="JN68" s="41"/>
      <c r="JO68" s="41"/>
      <c r="JP68" s="41"/>
      <c r="JQ68" s="41"/>
      <c r="JR68" s="41"/>
      <c r="JS68" s="41"/>
      <c r="JT68" s="41"/>
      <c r="JU68" s="41"/>
      <c r="JV68" s="41"/>
      <c r="JW68" s="41"/>
      <c r="JX68" s="41"/>
      <c r="JY68" s="41"/>
      <c r="JZ68" s="41"/>
      <c r="KA68" s="41"/>
      <c r="KB68" s="41"/>
      <c r="KC68" s="41"/>
    </row>
    <row r="69" spans="1:289">
      <c r="B69" s="23" t="s">
        <v>330</v>
      </c>
      <c r="G69" s="23" t="s">
        <v>330</v>
      </c>
    </row>
    <row r="70" spans="1:289" ht="24.75" customHeight="1">
      <c r="B70" s="594" t="s">
        <v>331</v>
      </c>
      <c r="C70" s="594"/>
      <c r="D70" s="594"/>
      <c r="E70" s="594"/>
      <c r="F70" s="594"/>
      <c r="G70" s="594" t="s">
        <v>332</v>
      </c>
      <c r="H70" s="594"/>
      <c r="I70" s="594"/>
      <c r="J70" s="594"/>
      <c r="K70" s="594"/>
    </row>
    <row r="71" spans="1:289" ht="27" customHeight="1">
      <c r="B71" s="594" t="s">
        <v>333</v>
      </c>
      <c r="C71" s="594"/>
      <c r="D71" s="594"/>
      <c r="E71" s="594"/>
      <c r="F71" s="594"/>
      <c r="G71" s="594" t="s">
        <v>334</v>
      </c>
      <c r="H71" s="594"/>
      <c r="I71" s="594"/>
      <c r="J71" s="594"/>
      <c r="K71" s="594"/>
    </row>
    <row r="72" spans="1:289">
      <c r="B72" s="2" t="s">
        <v>335</v>
      </c>
      <c r="G72" s="2" t="s">
        <v>335</v>
      </c>
    </row>
    <row r="74" spans="1:289">
      <c r="B74" s="76"/>
      <c r="C74" s="76"/>
      <c r="D74" s="76"/>
      <c r="E74" s="76"/>
      <c r="F74" s="76"/>
    </row>
    <row r="75" spans="1:289" ht="54" customHeight="1">
      <c r="B75" s="595" t="s">
        <v>336</v>
      </c>
      <c r="C75" s="595"/>
      <c r="D75" s="595"/>
      <c r="E75" s="595"/>
      <c r="F75" s="595"/>
      <c r="G75" s="595"/>
      <c r="H75" s="595"/>
      <c r="I75" s="595"/>
      <c r="J75" s="595"/>
      <c r="K75" s="595"/>
    </row>
  </sheetData>
  <mergeCells count="5">
    <mergeCell ref="B70:F70"/>
    <mergeCell ref="B71:F71"/>
    <mergeCell ref="G70:K70"/>
    <mergeCell ref="G71:K71"/>
    <mergeCell ref="B75:K75"/>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7E18-1B95-4378-AC98-9BEE31D6C939}">
  <sheetPr>
    <tabColor rgb="FF7030A0"/>
  </sheetPr>
  <dimension ref="A1:BX69"/>
  <sheetViews>
    <sheetView workbookViewId="0">
      <pane xSplit="1" topLeftCell="BL1" activePane="topRight" state="frozen"/>
      <selection pane="topRight" activeCell="BV9" sqref="BV9"/>
    </sheetView>
  </sheetViews>
  <sheetFormatPr defaultRowHeight="12.6"/>
  <cols>
    <col min="1" max="1" width="42.85546875" bestFit="1" customWidth="1"/>
    <col min="63" max="71" width="10" customWidth="1"/>
    <col min="72" max="73" width="10.140625" style="177" bestFit="1" customWidth="1"/>
  </cols>
  <sheetData>
    <row r="1" spans="1:76" ht="12.95">
      <c r="A1" s="4" t="s">
        <v>309</v>
      </c>
      <c r="B1" s="549" t="s">
        <v>337</v>
      </c>
      <c r="BX1" t="s">
        <v>113</v>
      </c>
    </row>
    <row r="2" spans="1:76">
      <c r="A2" s="76"/>
    </row>
    <row r="3" spans="1:76">
      <c r="A3" s="76"/>
      <c r="BK3" s="177" t="s">
        <v>311</v>
      </c>
      <c r="BL3" s="177"/>
      <c r="BM3" s="177"/>
      <c r="BN3" s="177"/>
      <c r="BO3" s="177"/>
      <c r="BP3" s="177"/>
      <c r="BQ3" s="177"/>
      <c r="BR3" s="177"/>
      <c r="BS3" s="177"/>
    </row>
    <row r="4" spans="1:76">
      <c r="A4" s="17"/>
      <c r="B4" s="125" t="s">
        <v>184</v>
      </c>
      <c r="C4" s="204" t="s">
        <v>185</v>
      </c>
      <c r="D4" s="125" t="s">
        <v>186</v>
      </c>
      <c r="E4" s="125" t="s">
        <v>187</v>
      </c>
      <c r="F4" s="125" t="s">
        <v>188</v>
      </c>
      <c r="G4" s="125" t="s">
        <v>189</v>
      </c>
      <c r="H4" s="204" t="s">
        <v>190</v>
      </c>
      <c r="I4" s="125" t="s">
        <v>191</v>
      </c>
      <c r="J4" s="125" t="s">
        <v>192</v>
      </c>
      <c r="K4" s="125" t="s">
        <v>193</v>
      </c>
      <c r="L4" s="125" t="s">
        <v>194</v>
      </c>
      <c r="M4" s="125" t="s">
        <v>195</v>
      </c>
      <c r="N4" s="125" t="s">
        <v>196</v>
      </c>
      <c r="O4" s="125" t="s">
        <v>197</v>
      </c>
      <c r="P4" s="125" t="s">
        <v>198</v>
      </c>
      <c r="Q4" s="428" t="s">
        <v>199</v>
      </c>
      <c r="R4" s="429" t="s">
        <v>200</v>
      </c>
      <c r="S4" s="429" t="s">
        <v>201</v>
      </c>
      <c r="T4" s="429" t="s">
        <v>202</v>
      </c>
      <c r="U4" s="429" t="s">
        <v>203</v>
      </c>
      <c r="V4" s="429" t="s">
        <v>204</v>
      </c>
      <c r="W4" s="428" t="s">
        <v>205</v>
      </c>
      <c r="X4" s="91" t="s">
        <v>206</v>
      </c>
      <c r="Y4" s="91" t="s">
        <v>207</v>
      </c>
      <c r="Z4" s="91" t="s">
        <v>208</v>
      </c>
      <c r="AA4" s="91" t="s">
        <v>209</v>
      </c>
      <c r="AB4" s="91" t="s">
        <v>210</v>
      </c>
      <c r="AC4" s="428" t="s">
        <v>211</v>
      </c>
      <c r="AD4" s="91" t="s">
        <v>212</v>
      </c>
      <c r="AE4" s="91" t="s">
        <v>213</v>
      </c>
      <c r="AF4" s="91" t="s">
        <v>214</v>
      </c>
      <c r="AG4" s="91" t="s">
        <v>215</v>
      </c>
      <c r="AH4" s="91" t="s">
        <v>216</v>
      </c>
      <c r="AI4" s="54" t="s">
        <v>217</v>
      </c>
      <c r="AJ4" s="54" t="s">
        <v>218</v>
      </c>
      <c r="AK4" s="54" t="s">
        <v>219</v>
      </c>
      <c r="AL4" s="54" t="s">
        <v>220</v>
      </c>
      <c r="AM4" s="54" t="s">
        <v>221</v>
      </c>
      <c r="AN4" s="54" t="s">
        <v>222</v>
      </c>
      <c r="AO4" s="54" t="s">
        <v>223</v>
      </c>
      <c r="AP4" s="54" t="s">
        <v>224</v>
      </c>
      <c r="AQ4" s="54" t="s">
        <v>225</v>
      </c>
      <c r="AR4" s="54" t="s">
        <v>226</v>
      </c>
      <c r="AS4" s="54" t="s">
        <v>227</v>
      </c>
      <c r="AT4" s="54" t="s">
        <v>228</v>
      </c>
      <c r="AU4" s="54" t="s">
        <v>229</v>
      </c>
      <c r="AV4" s="54" t="s">
        <v>230</v>
      </c>
      <c r="AW4" s="54" t="s">
        <v>231</v>
      </c>
      <c r="AX4" s="54" t="s">
        <v>30</v>
      </c>
      <c r="AY4" s="54" t="s">
        <v>232</v>
      </c>
      <c r="AZ4" s="54" t="s">
        <v>233</v>
      </c>
      <c r="BA4" s="54" t="s">
        <v>95</v>
      </c>
      <c r="BB4" s="54" t="s">
        <v>96</v>
      </c>
      <c r="BC4" s="54" t="s">
        <v>97</v>
      </c>
      <c r="BD4" s="54" t="s">
        <v>98</v>
      </c>
      <c r="BE4" s="54" t="s">
        <v>99</v>
      </c>
      <c r="BF4" s="54" t="s">
        <v>100</v>
      </c>
      <c r="BG4" s="54" t="s">
        <v>101</v>
      </c>
      <c r="BH4" s="54" t="s">
        <v>29</v>
      </c>
      <c r="BI4" s="54" t="s">
        <v>28</v>
      </c>
      <c r="BJ4" s="54" t="s">
        <v>27</v>
      </c>
      <c r="BK4" s="178" t="s">
        <v>316</v>
      </c>
      <c r="BL4" s="178" t="s">
        <v>317</v>
      </c>
      <c r="BM4" s="178" t="s">
        <v>318</v>
      </c>
      <c r="BN4" s="178" t="s">
        <v>319</v>
      </c>
      <c r="BO4" s="178" t="s">
        <v>320</v>
      </c>
      <c r="BP4" s="178" t="s">
        <v>321</v>
      </c>
      <c r="BQ4" s="178" t="s">
        <v>322</v>
      </c>
      <c r="BR4" s="178" t="s">
        <v>323</v>
      </c>
      <c r="BS4" s="178" t="s">
        <v>324</v>
      </c>
      <c r="BT4" s="444" t="s">
        <v>338</v>
      </c>
      <c r="BU4" s="177" t="s">
        <v>339</v>
      </c>
      <c r="BV4" s="444" t="s">
        <v>340</v>
      </c>
      <c r="BW4" s="444" t="s">
        <v>341</v>
      </c>
      <c r="BX4" s="444" t="s">
        <v>342</v>
      </c>
    </row>
    <row r="5" spans="1:76">
      <c r="A5" s="111" t="s">
        <v>31</v>
      </c>
      <c r="B5" s="430">
        <f t="shared" ref="B5:AG5" si="0">+B6+B25+B42+B56+B67</f>
        <v>1627050</v>
      </c>
      <c r="C5" s="430">
        <f t="shared" si="0"/>
        <v>1656588</v>
      </c>
      <c r="D5" s="430">
        <f t="shared" si="0"/>
        <v>1686126</v>
      </c>
      <c r="E5" s="430">
        <f t="shared" si="0"/>
        <v>1710844</v>
      </c>
      <c r="F5" s="430">
        <f t="shared" si="0"/>
        <v>2020680</v>
      </c>
      <c r="G5" s="430">
        <f t="shared" si="0"/>
        <v>2362100</v>
      </c>
      <c r="H5" s="430">
        <f t="shared" si="0"/>
        <v>2407407.8000000003</v>
      </c>
      <c r="I5" s="430">
        <f t="shared" si="0"/>
        <v>2452715.5999999996</v>
      </c>
      <c r="J5" s="430">
        <f t="shared" si="0"/>
        <v>2498023.4000000004</v>
      </c>
      <c r="K5" s="430">
        <f t="shared" si="0"/>
        <v>2543331.1999999997</v>
      </c>
      <c r="L5" s="430">
        <f t="shared" si="0"/>
        <v>2588639</v>
      </c>
      <c r="M5" s="430">
        <f t="shared" si="0"/>
        <v>2637642</v>
      </c>
      <c r="N5" s="430">
        <f t="shared" si="0"/>
        <v>2699553</v>
      </c>
      <c r="O5" s="430">
        <f t="shared" si="0"/>
        <v>2728822</v>
      </c>
      <c r="P5" s="430">
        <f t="shared" si="0"/>
        <v>2763317</v>
      </c>
      <c r="Q5" s="430">
        <f t="shared" si="0"/>
        <v>2822502</v>
      </c>
      <c r="R5" s="430">
        <f t="shared" si="0"/>
        <v>2837129</v>
      </c>
      <c r="S5" s="430">
        <f t="shared" si="0"/>
        <v>2837340</v>
      </c>
      <c r="T5" s="430">
        <f t="shared" si="0"/>
        <v>2824636</v>
      </c>
      <c r="U5" s="430">
        <f t="shared" si="0"/>
        <v>2801152</v>
      </c>
      <c r="V5" s="430">
        <f t="shared" si="0"/>
        <v>2747678</v>
      </c>
      <c r="W5" s="430">
        <f t="shared" si="0"/>
        <v>2725285</v>
      </c>
      <c r="X5" s="430">
        <f t="shared" si="0"/>
        <v>2704758</v>
      </c>
      <c r="Y5" s="430">
        <f t="shared" si="0"/>
        <v>2597604</v>
      </c>
      <c r="Z5" s="430">
        <f t="shared" si="0"/>
        <v>2494797</v>
      </c>
      <c r="AA5" s="430">
        <f t="shared" si="0"/>
        <v>2413917</v>
      </c>
      <c r="AB5" s="430">
        <f t="shared" si="0"/>
        <v>2382616</v>
      </c>
      <c r="AC5" s="430">
        <f t="shared" si="0"/>
        <v>2428803</v>
      </c>
      <c r="AD5" s="430">
        <f t="shared" si="0"/>
        <v>2500191</v>
      </c>
      <c r="AE5" s="430">
        <f t="shared" si="0"/>
        <v>2458800</v>
      </c>
      <c r="AF5" s="430">
        <f t="shared" si="0"/>
        <v>2320337</v>
      </c>
      <c r="AG5" s="430">
        <f t="shared" si="0"/>
        <v>2234893</v>
      </c>
      <c r="AH5" s="430">
        <f t="shared" ref="AH5:BM5" si="1">+AH6+AH25+AH42+AH56+AH67</f>
        <v>2226016</v>
      </c>
      <c r="AI5" s="430">
        <f t="shared" si="1"/>
        <v>2233241</v>
      </c>
      <c r="AJ5" s="430">
        <f t="shared" si="1"/>
        <v>2220849</v>
      </c>
      <c r="AK5" s="430">
        <f t="shared" si="1"/>
        <v>2273541</v>
      </c>
      <c r="AL5" s="430">
        <f t="shared" si="1"/>
        <v>2273109</v>
      </c>
      <c r="AM5" s="430">
        <f t="shared" si="1"/>
        <v>2358403</v>
      </c>
      <c r="AN5" s="430">
        <f t="shared" si="1"/>
        <v>2439050</v>
      </c>
      <c r="AO5" s="430">
        <f t="shared" si="1"/>
        <v>2485630</v>
      </c>
      <c r="AP5" s="430">
        <f t="shared" si="1"/>
        <v>2553844</v>
      </c>
      <c r="AQ5" s="430">
        <f t="shared" si="1"/>
        <v>2569200</v>
      </c>
      <c r="AR5" s="430">
        <f t="shared" si="1"/>
        <v>2621534</v>
      </c>
      <c r="AS5" s="430">
        <f t="shared" si="1"/>
        <v>2719947</v>
      </c>
      <c r="AT5" s="430">
        <f t="shared" si="1"/>
        <v>2753438</v>
      </c>
      <c r="AU5" s="430">
        <f t="shared" si="1"/>
        <v>2799250</v>
      </c>
      <c r="AV5" s="430">
        <f t="shared" si="1"/>
        <v>2815544</v>
      </c>
      <c r="AW5" s="430">
        <f t="shared" si="1"/>
        <v>2893045</v>
      </c>
      <c r="AX5" s="430">
        <f t="shared" si="1"/>
        <v>3001337</v>
      </c>
      <c r="AY5" s="430">
        <f t="shared" si="1"/>
        <v>3039015</v>
      </c>
      <c r="AZ5" s="430">
        <f t="shared" si="1"/>
        <v>3128022</v>
      </c>
      <c r="BA5" s="430">
        <f t="shared" si="1"/>
        <v>3144100</v>
      </c>
      <c r="BB5" s="430">
        <f t="shared" si="1"/>
        <v>3149185</v>
      </c>
      <c r="BC5" s="430">
        <f t="shared" si="1"/>
        <v>3169257</v>
      </c>
      <c r="BD5" s="430">
        <f t="shared" si="1"/>
        <v>3045107.1260000002</v>
      </c>
      <c r="BE5" s="430">
        <f t="shared" si="1"/>
        <v>3068064.8229999994</v>
      </c>
      <c r="BF5" s="430">
        <f t="shared" si="1"/>
        <v>3121760.2760000001</v>
      </c>
      <c r="BG5" s="430">
        <f t="shared" si="1"/>
        <v>3308209</v>
      </c>
      <c r="BH5" s="430">
        <f t="shared" si="1"/>
        <v>3386371</v>
      </c>
      <c r="BI5" s="430">
        <f t="shared" si="1"/>
        <v>3402185</v>
      </c>
      <c r="BJ5" s="255">
        <f t="shared" si="1"/>
        <v>3361810</v>
      </c>
      <c r="BK5" s="179">
        <v>3270508.9464403247</v>
      </c>
      <c r="BL5" s="179">
        <v>3317312.6210287297</v>
      </c>
      <c r="BM5" s="179">
        <v>3280993.0172791104</v>
      </c>
      <c r="BN5" s="179">
        <v>3190662.4273525323</v>
      </c>
      <c r="BO5" s="179">
        <v>3086407.0237668036</v>
      </c>
      <c r="BP5" s="179">
        <v>3047075.9127478609</v>
      </c>
      <c r="BQ5" s="179">
        <v>3047543.8109829002</v>
      </c>
      <c r="BR5" s="179">
        <v>3033543.5528462837</v>
      </c>
      <c r="BS5" s="179">
        <v>3076509.3505134862</v>
      </c>
      <c r="BT5" s="177" t="e">
        <f>BT7+BT26+BT42+BT56</f>
        <v>#REF!</v>
      </c>
      <c r="BU5" s="177" t="e">
        <f>BU7+BU26+BU42+BU56</f>
        <v>#REF!</v>
      </c>
      <c r="BV5" s="177" t="e">
        <f>BV7+BV26+BV42+BV56</f>
        <v>#REF!</v>
      </c>
      <c r="BW5" s="177" t="e">
        <f>BW7+BW26+BW42+BW56</f>
        <v>#REF!</v>
      </c>
    </row>
    <row r="6" spans="1:76">
      <c r="A6" s="253" t="s">
        <v>325</v>
      </c>
      <c r="B6" s="95">
        <f t="shared" ref="B6:AG6" si="2">SUM(B9:B24)</f>
        <v>475142</v>
      </c>
      <c r="C6" s="95">
        <f t="shared" si="2"/>
        <v>490828.5</v>
      </c>
      <c r="D6" s="95">
        <f t="shared" si="2"/>
        <v>506515</v>
      </c>
      <c r="E6" s="95">
        <f t="shared" si="2"/>
        <v>513108</v>
      </c>
      <c r="F6" s="95">
        <f t="shared" si="2"/>
        <v>596433</v>
      </c>
      <c r="G6" s="95">
        <f t="shared" si="2"/>
        <v>713392</v>
      </c>
      <c r="H6" s="95">
        <f t="shared" si="2"/>
        <v>725867.8</v>
      </c>
      <c r="I6" s="95">
        <f t="shared" si="2"/>
        <v>738343.6</v>
      </c>
      <c r="J6" s="95">
        <f t="shared" si="2"/>
        <v>750819.39999999991</v>
      </c>
      <c r="K6" s="95">
        <f t="shared" si="2"/>
        <v>763295.2</v>
      </c>
      <c r="L6" s="95">
        <f t="shared" si="2"/>
        <v>775771</v>
      </c>
      <c r="M6" s="95">
        <f t="shared" si="2"/>
        <v>792778</v>
      </c>
      <c r="N6" s="95">
        <f t="shared" si="2"/>
        <v>813993</v>
      </c>
      <c r="O6" s="95">
        <f t="shared" si="2"/>
        <v>818254</v>
      </c>
      <c r="P6" s="95">
        <f t="shared" si="2"/>
        <v>819399</v>
      </c>
      <c r="Q6" s="95">
        <f t="shared" si="2"/>
        <v>845964</v>
      </c>
      <c r="R6" s="95">
        <f t="shared" si="2"/>
        <v>852473</v>
      </c>
      <c r="S6" s="95">
        <f t="shared" si="2"/>
        <v>857866</v>
      </c>
      <c r="T6" s="95">
        <f t="shared" si="2"/>
        <v>862329</v>
      </c>
      <c r="U6" s="95">
        <f t="shared" si="2"/>
        <v>861172</v>
      </c>
      <c r="V6" s="95">
        <f t="shared" si="2"/>
        <v>860273</v>
      </c>
      <c r="W6" s="95">
        <f t="shared" si="2"/>
        <v>863220</v>
      </c>
      <c r="X6" s="95">
        <f t="shared" si="2"/>
        <v>865692</v>
      </c>
      <c r="Y6" s="95">
        <f t="shared" si="2"/>
        <v>837506</v>
      </c>
      <c r="Z6" s="95">
        <f t="shared" si="2"/>
        <v>808097</v>
      </c>
      <c r="AA6" s="95">
        <f t="shared" si="2"/>
        <v>785505</v>
      </c>
      <c r="AB6" s="95">
        <f t="shared" si="2"/>
        <v>787049</v>
      </c>
      <c r="AC6" s="95">
        <f t="shared" si="2"/>
        <v>803506</v>
      </c>
      <c r="AD6" s="95">
        <f t="shared" si="2"/>
        <v>829650</v>
      </c>
      <c r="AE6" s="95">
        <f t="shared" si="2"/>
        <v>833427</v>
      </c>
      <c r="AF6" s="95">
        <f t="shared" si="2"/>
        <v>792759</v>
      </c>
      <c r="AG6" s="95">
        <f t="shared" si="2"/>
        <v>776899</v>
      </c>
      <c r="AH6" s="95">
        <f t="shared" ref="AH6:BJ6" si="3">SUM(AH9:AH24)</f>
        <v>759366</v>
      </c>
      <c r="AI6" s="95">
        <f t="shared" si="3"/>
        <v>751534</v>
      </c>
      <c r="AJ6" s="95">
        <f t="shared" si="3"/>
        <v>744872</v>
      </c>
      <c r="AK6" s="95">
        <f t="shared" si="3"/>
        <v>767763</v>
      </c>
      <c r="AL6" s="95">
        <f t="shared" si="3"/>
        <v>763577</v>
      </c>
      <c r="AM6" s="95">
        <f t="shared" si="3"/>
        <v>786290</v>
      </c>
      <c r="AN6" s="95">
        <f t="shared" si="3"/>
        <v>818595</v>
      </c>
      <c r="AO6" s="95">
        <f t="shared" si="3"/>
        <v>832611</v>
      </c>
      <c r="AP6" s="95">
        <f t="shared" si="3"/>
        <v>858803</v>
      </c>
      <c r="AQ6" s="95">
        <f t="shared" si="3"/>
        <v>863885</v>
      </c>
      <c r="AR6" s="95">
        <f t="shared" si="3"/>
        <v>887553</v>
      </c>
      <c r="AS6" s="95">
        <f t="shared" si="3"/>
        <v>927751</v>
      </c>
      <c r="AT6" s="95">
        <f t="shared" si="3"/>
        <v>943777</v>
      </c>
      <c r="AU6" s="95">
        <f t="shared" si="3"/>
        <v>950425</v>
      </c>
      <c r="AV6" s="95">
        <f t="shared" si="3"/>
        <v>959177</v>
      </c>
      <c r="AW6" s="95">
        <f t="shared" si="3"/>
        <v>983857</v>
      </c>
      <c r="AX6" s="95">
        <f t="shared" si="3"/>
        <v>1028421</v>
      </c>
      <c r="AY6" s="95">
        <f t="shared" si="3"/>
        <v>1064753</v>
      </c>
      <c r="AZ6" s="95">
        <f t="shared" si="3"/>
        <v>1101168</v>
      </c>
      <c r="BA6" s="95">
        <f t="shared" si="3"/>
        <v>1115937</v>
      </c>
      <c r="BB6" s="95">
        <f t="shared" si="3"/>
        <v>1117540</v>
      </c>
      <c r="BC6" s="95">
        <f t="shared" si="3"/>
        <v>1135004</v>
      </c>
      <c r="BD6" s="95">
        <f t="shared" si="3"/>
        <v>1108134.8159999999</v>
      </c>
      <c r="BE6" s="95">
        <f t="shared" si="3"/>
        <v>1139682.4879999999</v>
      </c>
      <c r="BF6" s="95">
        <f t="shared" si="3"/>
        <v>1169028.2789999999</v>
      </c>
      <c r="BG6" s="95">
        <f t="shared" si="3"/>
        <v>1243202</v>
      </c>
      <c r="BH6" s="95">
        <f t="shared" si="3"/>
        <v>1284553</v>
      </c>
      <c r="BI6" s="95">
        <f t="shared" si="3"/>
        <v>1298191</v>
      </c>
      <c r="BJ6" s="185">
        <f t="shared" si="3"/>
        <v>1283860</v>
      </c>
      <c r="BK6" s="254">
        <v>1235738.6238760785</v>
      </c>
      <c r="BL6" s="254">
        <v>1272616.4827680364</v>
      </c>
      <c r="BM6" s="254">
        <v>1259499.1405807396</v>
      </c>
      <c r="BN6" s="254">
        <v>1226821.5686830583</v>
      </c>
      <c r="BO6" s="254">
        <v>1181922.9539499625</v>
      </c>
      <c r="BP6" s="254">
        <v>1166517.6943329906</v>
      </c>
      <c r="BQ6" s="254">
        <v>1169549.7835652779</v>
      </c>
      <c r="BR6" s="254">
        <v>1171698.9273712628</v>
      </c>
      <c r="BS6" s="254">
        <v>1195055.6258948413</v>
      </c>
    </row>
    <row r="7" spans="1:76" ht="12.95">
      <c r="A7" s="173" t="s">
        <v>32</v>
      </c>
      <c r="B7" s="98"/>
      <c r="C7" s="95"/>
      <c r="D7" s="97"/>
      <c r="E7" s="97"/>
      <c r="F7" s="97"/>
      <c r="G7" s="97"/>
      <c r="H7" s="95"/>
      <c r="I7" s="97"/>
      <c r="J7" s="97"/>
      <c r="K7" s="97"/>
      <c r="L7" s="97"/>
      <c r="M7" s="97"/>
      <c r="N7" s="99"/>
      <c r="O7" s="97"/>
      <c r="P7" s="99"/>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9"/>
      <c r="BK7" s="287">
        <f t="shared" ref="BK7:BS7" si="4">+BK6-BK67</f>
        <v>1231053.0674085156</v>
      </c>
      <c r="BL7" s="287">
        <f t="shared" si="4"/>
        <v>1267439.0235022809</v>
      </c>
      <c r="BM7" s="287">
        <f t="shared" si="4"/>
        <v>1254475.1736730041</v>
      </c>
      <c r="BN7" s="287">
        <f t="shared" si="4"/>
        <v>1221868.9033010795</v>
      </c>
      <c r="BO7" s="287">
        <f t="shared" si="4"/>
        <v>1176847.2379210331</v>
      </c>
      <c r="BP7" s="287">
        <f t="shared" si="4"/>
        <v>1161346.7167639975</v>
      </c>
      <c r="BQ7" s="287">
        <f t="shared" si="4"/>
        <v>1164305.790471863</v>
      </c>
      <c r="BR7" s="287">
        <f t="shared" si="4"/>
        <v>1166549.539727879</v>
      </c>
      <c r="BS7" s="287">
        <f t="shared" si="4"/>
        <v>1189786.1766197609</v>
      </c>
      <c r="BT7" s="287" t="e">
        <f>SUM(BT9:BT24)</f>
        <v>#REF!</v>
      </c>
      <c r="BU7" s="287" t="e">
        <f>SUM(BU9:BU24)</f>
        <v>#REF!</v>
      </c>
      <c r="BV7" s="287" t="e">
        <f>SUM(BV9:BV24)</f>
        <v>#REF!</v>
      </c>
      <c r="BW7" s="287" t="e">
        <f>SUM(BW9:BW24)</f>
        <v>#REF!</v>
      </c>
    </row>
    <row r="8" spans="1:76">
      <c r="A8" s="113" t="s">
        <v>129</v>
      </c>
      <c r="BK8" s="99"/>
      <c r="BL8" s="99"/>
      <c r="BM8" s="99"/>
      <c r="BN8" s="99"/>
      <c r="BO8" s="99"/>
      <c r="BP8" s="99"/>
      <c r="BQ8" s="99"/>
      <c r="BR8" s="99"/>
      <c r="BS8" s="99"/>
    </row>
    <row r="9" spans="1:76">
      <c r="A9" s="173" t="s">
        <v>33</v>
      </c>
      <c r="B9" s="98">
        <v>31690</v>
      </c>
      <c r="C9" s="95">
        <f>((D9-B9)/2)+B9</f>
        <v>31072.5</v>
      </c>
      <c r="D9" s="97">
        <v>30455</v>
      </c>
      <c r="E9" s="97">
        <v>32351</v>
      </c>
      <c r="F9" s="97">
        <v>36252</v>
      </c>
      <c r="G9" s="97">
        <v>45424</v>
      </c>
      <c r="H9" s="95">
        <f t="shared" ref="H9:K24" si="5">(($L9-$G9)/5)+G9</f>
        <v>45396.4</v>
      </c>
      <c r="I9" s="97">
        <f t="shared" si="5"/>
        <v>45368.800000000003</v>
      </c>
      <c r="J9" s="97">
        <f t="shared" si="5"/>
        <v>45341.200000000004</v>
      </c>
      <c r="K9" s="97">
        <f t="shared" si="5"/>
        <v>45313.600000000006</v>
      </c>
      <c r="L9" s="97">
        <v>45286</v>
      </c>
      <c r="M9" s="97">
        <v>44722</v>
      </c>
      <c r="N9" s="99">
        <v>44806</v>
      </c>
      <c r="O9" s="97">
        <v>44441</v>
      </c>
      <c r="P9" s="99">
        <v>45502</v>
      </c>
      <c r="Q9" s="97">
        <v>46633</v>
      </c>
      <c r="R9" s="127">
        <v>46695</v>
      </c>
      <c r="S9" s="127">
        <v>46763</v>
      </c>
      <c r="T9" s="127">
        <v>46509</v>
      </c>
      <c r="U9" s="127">
        <v>47137</v>
      </c>
      <c r="V9" s="127">
        <v>45190</v>
      </c>
      <c r="W9" s="97">
        <v>44894</v>
      </c>
      <c r="X9" s="98">
        <v>45409</v>
      </c>
      <c r="Y9" s="98">
        <v>44352</v>
      </c>
      <c r="Z9" s="98">
        <v>42021</v>
      </c>
      <c r="AA9" s="98">
        <v>40002</v>
      </c>
      <c r="AB9" s="98">
        <v>39620</v>
      </c>
      <c r="AC9" s="97">
        <v>42463</v>
      </c>
      <c r="AD9" s="98">
        <v>43799</v>
      </c>
      <c r="AE9" s="98">
        <v>43437</v>
      </c>
      <c r="AF9" s="98">
        <v>40485</v>
      </c>
      <c r="AG9" s="98">
        <v>39042</v>
      </c>
      <c r="AH9" s="98">
        <v>38680</v>
      </c>
      <c r="AI9" s="97">
        <v>36007</v>
      </c>
      <c r="AJ9" s="97">
        <v>34447</v>
      </c>
      <c r="AK9" s="97">
        <v>36268</v>
      </c>
      <c r="AL9" s="97">
        <v>35043</v>
      </c>
      <c r="AM9" s="97">
        <v>35611</v>
      </c>
      <c r="AN9" s="97">
        <v>38089</v>
      </c>
      <c r="AO9" s="97">
        <v>36244</v>
      </c>
      <c r="AP9" s="97">
        <v>37819</v>
      </c>
      <c r="AQ9" s="97">
        <v>37082</v>
      </c>
      <c r="AR9" s="97">
        <v>35887</v>
      </c>
      <c r="AS9" s="97">
        <v>36741</v>
      </c>
      <c r="AT9" s="97">
        <v>36464</v>
      </c>
      <c r="AU9" s="97">
        <v>37453</v>
      </c>
      <c r="AV9" s="97">
        <v>37918</v>
      </c>
      <c r="AW9" s="97">
        <v>38912</v>
      </c>
      <c r="AX9" s="97">
        <v>41346</v>
      </c>
      <c r="AY9" s="97">
        <v>42082</v>
      </c>
      <c r="AZ9" s="97">
        <v>43166</v>
      </c>
      <c r="BA9" s="97">
        <v>46035</v>
      </c>
      <c r="BB9" s="97">
        <v>45394</v>
      </c>
      <c r="BC9" s="97">
        <v>44233</v>
      </c>
      <c r="BD9" s="99">
        <v>46939.432999999997</v>
      </c>
      <c r="BE9" s="99">
        <v>48662.249000000003</v>
      </c>
      <c r="BF9" s="99">
        <v>49153.142999999996</v>
      </c>
      <c r="BG9" s="99">
        <v>49956</v>
      </c>
      <c r="BH9" s="99">
        <v>50538</v>
      </c>
      <c r="BI9" s="99">
        <v>49638</v>
      </c>
      <c r="BJ9" s="99">
        <f>52550-'NCES-Private Grads-all races'!BF8</f>
        <v>48150</v>
      </c>
      <c r="BK9" s="180">
        <v>43104.280884352178</v>
      </c>
      <c r="BL9" s="181">
        <v>44533.005132418853</v>
      </c>
      <c r="BM9" s="180">
        <v>45012.948987825504</v>
      </c>
      <c r="BN9" s="180">
        <v>43555.104627767112</v>
      </c>
      <c r="BO9" s="180">
        <v>41709.873841437075</v>
      </c>
      <c r="BP9" s="180">
        <v>41094.190234710666</v>
      </c>
      <c r="BQ9" s="180">
        <v>40523.392396154391</v>
      </c>
      <c r="BR9" s="180">
        <v>40401.734918243186</v>
      </c>
      <c r="BS9" s="180">
        <v>41266.117760319416</v>
      </c>
      <c r="BT9" s="177" t="e">
        <f>GETPIVOTDATA("Students",'[1]Race &amp; Ethnicity'!$A$4,"SchoolYear","2032-33","RaceEthnicity","American Indian/Alaska Native","Projection","Projection","StateName","Alabama")+GETPIVOTDATA("Students",'[1]Race &amp; Ethnicity'!$A$4,"SchoolYear","2032-33","RaceEthnicity","Asian/Pacific Islander (Combined)","Projection","Projection","StateName","Alabama")+GETPIVOTDATA("Students",'[1]Race &amp; Ethnicity'!$A$4,"SchoolYear","2032-33","RaceEthnicity","Black","Projection","Projection","StateName","Alabama")+GETPIVOTDATA("Students",'[1]Race &amp; Ethnicity'!$A$4,"SchoolYear","2032-33","RaceEthnicity","Hispanic (any race)","Projection","Projection","StateName","Alabama")+GETPIVOTDATA("Students",'[1]Race &amp; Ethnicity'!$A$4,"SchoolYear","2032-33","RaceEthnicity","Two or More Races","Projection","Estimate (Two or more races graduates after SY 2029-30","StateName","Alabama")+GETPIVOTDATA("Students",'[1]Race &amp; Ethnicity'!$A$4,"SchoolYear","2032-33","RaceEthnicity","White","Projection","Projection","StateName","Alabama")</f>
        <v>#REF!</v>
      </c>
      <c r="BU9" s="177" t="e">
        <f>GETPIVOTDATA("Students",'[1]Race &amp; Ethnicity'!$A$4,"SchoolYear","2033-34","RaceEthnicity","American Indian/Alaska Native","Projection","Projection","StateName","Alabama")+GETPIVOTDATA("Students",'[1]Race &amp; Ethnicity'!$A$4,"SchoolYear","2033-34","RaceEthnicity","Asian/Pacific Islander (Combined)","Projection","Projection","StateName","Alabama")+GETPIVOTDATA("Students",'[1]Race &amp; Ethnicity'!$A$4,"SchoolYear","2033-34","RaceEthnicity","Black","Projection","Projection","StateName","Alabama")+GETPIVOTDATA("Students",'[1]Race &amp; Ethnicity'!$A$4,"SchoolYear","2033-34","RaceEthnicity","Hispanic (any race)","Projection","Projection","StateName","Alabama")+GETPIVOTDATA("Students",'[1]Race &amp; Ethnicity'!$A$4,"SchoolYear","2033-34","RaceEthnicity","Two or More Races","Projection","Estimate (Two or more races graduates after SY 2029-30","StateName","Alabama")+GETPIVOTDATA("Students",'[1]Race &amp; Ethnicity'!$A$4,"SchoolYear","2033-34","RaceEthnicity","White","Projection","Projection","StateName","Alabama")</f>
        <v>#REF!</v>
      </c>
      <c r="BV9" t="e">
        <f>GETPIVOTDATA("Students",'[1]Race &amp; Ethnicity'!$A$4,"SchoolYear","2034-35","RaceEthnicity","American Indian/Alaska Native","Projection","Projection","StateName","Alabama")+GETPIVOTDATA("Students",'[1]Race &amp; Ethnicity'!$A$4,"SchoolYear","2034-35","RaceEthnicity","Asian/Pacific Islander (Combined)","Projection","Projection","StateName","Alabama")+GETPIVOTDATA("Students",'[1]Race &amp; Ethnicity'!$A$4,"SchoolYear","2034-35","RaceEthnicity","Black","Projection","Projection","StateName","Alabama")+GETPIVOTDATA("Students",'[1]Race &amp; Ethnicity'!$A$4,"SchoolYear","2034-35","RaceEthnicity","Hispanic (any race)","Projection","Projection","StateName","Alabama")+GETPIVOTDATA("Students",'[1]Race &amp; Ethnicity'!$A$4,"SchoolYear","2034-35","RaceEthnicity","Two or More Races","Projection","Estimate (Two or more races graduates after SY 2029-30","StateName","Alabama")+GETPIVOTDATA("Students",'[1]Race &amp; Ethnicity'!$A$4,"SchoolYear","2034-35","RaceEthnicity","White","Projection","Projection","StateName","Alabama")</f>
        <v>#REF!</v>
      </c>
      <c r="BW9" t="e">
        <f>GETPIVOTDATA("Students",'[1]Race &amp; Ethnicity'!$A$4,"SchoolYear","2035-36","RaceEthnicity","American Indian/Alaska Native","Projection","Projection","StateName","Alabama")+GETPIVOTDATA("Students",'[1]Race &amp; Ethnicity'!$A$4,"SchoolYear","2035-36","RaceEthnicity","Asian/Pacific Islander (Combined)","Projection","Projection","StateName","Alabama")+GETPIVOTDATA("Students",'[1]Race &amp; Ethnicity'!$A$4,"SchoolYear","2035-36","RaceEthnicity","Black","StateName","Alabama")+GETPIVOTDATA("Students",'[1]Race &amp; Ethnicity'!$A$4,"SchoolYear","2035-36","RaceEthnicity","Hispanic (any race)","Projection","Projection","StateName","Alabama")+GETPIVOTDATA("Students",'[1]Race &amp; Ethnicity'!$A$4,"SchoolYear","2035-36","RaceEthnicity","Two or More Races","Projection","Estimate (Two or more races graduates after SY 2029-30","StateName","Alabama")+GETPIVOTDATA("Students",'[1]Race &amp; Ethnicity'!$A$4,"SchoolYear","2035-36","RaceEthnicity","White","Projection","Projection","StateName","Alabama")</f>
        <v>#REF!</v>
      </c>
    </row>
    <row r="10" spans="1:76">
      <c r="A10" s="173" t="s">
        <v>34</v>
      </c>
      <c r="B10" s="98">
        <v>18910</v>
      </c>
      <c r="C10" s="95">
        <f t="shared" ref="C10:C24" si="6">((D10-B10)/2)+B10</f>
        <v>19119</v>
      </c>
      <c r="D10" s="97">
        <v>19328</v>
      </c>
      <c r="E10" s="97">
        <v>19109</v>
      </c>
      <c r="F10" s="97">
        <v>22824</v>
      </c>
      <c r="G10" s="97">
        <v>25394</v>
      </c>
      <c r="H10" s="95">
        <f t="shared" si="5"/>
        <v>25528.799999999999</v>
      </c>
      <c r="I10" s="97">
        <f t="shared" si="5"/>
        <v>25663.599999999999</v>
      </c>
      <c r="J10" s="97">
        <f t="shared" si="5"/>
        <v>25798.399999999998</v>
      </c>
      <c r="K10" s="97">
        <f t="shared" si="5"/>
        <v>25933.199999999997</v>
      </c>
      <c r="L10" s="97">
        <v>26068</v>
      </c>
      <c r="M10" s="97">
        <v>25965</v>
      </c>
      <c r="N10" s="99">
        <v>25892</v>
      </c>
      <c r="O10" s="97">
        <v>25705</v>
      </c>
      <c r="P10" s="99">
        <v>24384</v>
      </c>
      <c r="Q10" s="97">
        <v>26836</v>
      </c>
      <c r="R10" s="127">
        <v>27029</v>
      </c>
      <c r="S10" s="127">
        <v>27628</v>
      </c>
      <c r="T10" s="127">
        <v>28064</v>
      </c>
      <c r="U10" s="127">
        <v>28302</v>
      </c>
      <c r="V10" s="127">
        <v>29052</v>
      </c>
      <c r="W10" s="97">
        <v>29577</v>
      </c>
      <c r="X10" s="98">
        <v>29710</v>
      </c>
      <c r="Y10" s="98">
        <v>28447</v>
      </c>
      <c r="Z10" s="98">
        <v>27049</v>
      </c>
      <c r="AA10" s="98">
        <v>26342</v>
      </c>
      <c r="AB10" s="98">
        <v>26227</v>
      </c>
      <c r="AC10" s="97">
        <v>27101</v>
      </c>
      <c r="AD10" s="98">
        <v>27776</v>
      </c>
      <c r="AE10" s="98">
        <v>27920</v>
      </c>
      <c r="AF10" s="98">
        <v>26475</v>
      </c>
      <c r="AG10" s="98">
        <v>25668</v>
      </c>
      <c r="AH10" s="98">
        <v>25845</v>
      </c>
      <c r="AI10" s="97">
        <v>25655</v>
      </c>
      <c r="AJ10" s="97">
        <v>24990</v>
      </c>
      <c r="AK10" s="97">
        <v>24636</v>
      </c>
      <c r="AL10" s="97">
        <v>25094</v>
      </c>
      <c r="AM10" s="97">
        <v>25146</v>
      </c>
      <c r="AN10" s="97">
        <v>26855</v>
      </c>
      <c r="AO10" s="97">
        <v>26896</v>
      </c>
      <c r="AP10" s="97">
        <v>27335</v>
      </c>
      <c r="AQ10" s="97">
        <v>27100</v>
      </c>
      <c r="AR10" s="97">
        <v>26984</v>
      </c>
      <c r="AS10" s="97">
        <v>27555</v>
      </c>
      <c r="AT10" s="97">
        <v>27181</v>
      </c>
      <c r="AU10" s="97">
        <v>26621</v>
      </c>
      <c r="AV10" s="97">
        <v>28790</v>
      </c>
      <c r="AW10" s="97">
        <v>27166</v>
      </c>
      <c r="AX10" s="97">
        <v>28725</v>
      </c>
      <c r="AY10" s="97">
        <v>28057</v>
      </c>
      <c r="AZ10" s="97">
        <v>28276</v>
      </c>
      <c r="BA10" s="97">
        <v>28205</v>
      </c>
      <c r="BB10" s="97">
        <v>28419</v>
      </c>
      <c r="BC10" s="97">
        <v>28928</v>
      </c>
      <c r="BD10" s="99">
        <v>29912.718000000004</v>
      </c>
      <c r="BE10" s="99">
        <v>30379.767000000003</v>
      </c>
      <c r="BF10" s="99">
        <v>30938.94</v>
      </c>
      <c r="BG10" s="99">
        <v>31333</v>
      </c>
      <c r="BH10" s="99">
        <v>31849</v>
      </c>
      <c r="BI10" s="99">
        <v>32361</v>
      </c>
      <c r="BJ10" s="99">
        <f>33790-'NCES-Private Grads-all races'!BF9</f>
        <v>32280</v>
      </c>
      <c r="BK10" s="180">
        <v>29314.359244247291</v>
      </c>
      <c r="BL10" s="181">
        <v>31341.592296761657</v>
      </c>
      <c r="BM10" s="180">
        <v>30735.236500048501</v>
      </c>
      <c r="BN10" s="180">
        <v>29907.642978157593</v>
      </c>
      <c r="BO10" s="180">
        <v>28810.424017796024</v>
      </c>
      <c r="BP10" s="180">
        <v>28883.41774836303</v>
      </c>
      <c r="BQ10" s="180">
        <v>28768.899136346634</v>
      </c>
      <c r="BR10" s="180">
        <v>28381.052573605532</v>
      </c>
      <c r="BS10" s="180">
        <v>28857.947776306286</v>
      </c>
      <c r="BT10" s="177" t="e">
        <f>GETPIVOTDATA("Students",'[1]Race &amp; Ethnicity'!$A$4,"SchoolYear","2032-33","RaceEthnicity","American Indian/Alaska Native","Projection","Projection","StateName","Arkansas")+GETPIVOTDATA("Students",'[1]Race &amp; Ethnicity'!$A$4,"SchoolYear","2032-33","RaceEthnicity","Asian/Pacific Islander (Combined)","Projection","Projection","StateName","Arkansas")+GETPIVOTDATA("Students",'[1]Race &amp; Ethnicity'!$A$4,"SchoolYear","2032-33","RaceEthnicity","Black","Projection","Projection","StateName","Arkansas")+GETPIVOTDATA("Students",'[1]Race &amp; Ethnicity'!$A$4,"SchoolYear","2032-33","RaceEthnicity","Hispanic (any race)","Projection","Projection","StateName","Arkansas")+GETPIVOTDATA("Students",'[1]Race &amp; Ethnicity'!$A$4,"SchoolYear","2032-33","RaceEthnicity","Two or More Races","Projection","Estimate (Two or more races graduates after SY 2029-30","StateName","Arkansas")+GETPIVOTDATA("Students",'[1]Race &amp; Ethnicity'!$A$4,"SchoolYear","2032-33","RaceEthnicity","White","Projection","Projection","StateName","Arkansas")</f>
        <v>#REF!</v>
      </c>
      <c r="BU10" s="177" t="e">
        <f>GETPIVOTDATA("Students",'[1]Race &amp; Ethnicity'!$A$4,"SchoolYear","2033-34","RaceEthnicity","American Indian/Alaska Native","Projection","Projection","StateName","Arkansas")+GETPIVOTDATA("Students",'[1]Race &amp; Ethnicity'!$A$4,"SchoolYear","2033-34","RaceEthnicity","Asian/Pacific Islander (Combined)","Projection","Projection","StateName","Arkansas")+GETPIVOTDATA("Students",'[1]Race &amp; Ethnicity'!$A$4,"SchoolYear","2033-34","RaceEthnicity","Black","Projection","Projection","StateName","Arkansas")+GETPIVOTDATA("Students",'[1]Race &amp; Ethnicity'!$A$4,"SchoolYear","2033-34","RaceEthnicity","Hispanic (any race)","Projection","Projection","StateName","Arkansas")+GETPIVOTDATA("Students",'[1]Race &amp; Ethnicity'!$A$4,"SchoolYear","2033-34","RaceEthnicity","Two or More Races","Projection","Estimate (Two or more races graduates after SY 2029-30","StateName","Arkansas")+GETPIVOTDATA("Students",'[1]Race &amp; Ethnicity'!$A$4,"SchoolYear","2033-34","RaceEthnicity","White","Projection","Projection","StateName","Arkansas")</f>
        <v>#REF!</v>
      </c>
      <c r="BV10" t="e">
        <f>GETPIVOTDATA("Students",'[1]Race &amp; Ethnicity'!$A$4,"SchoolYear","2034-35","RaceEthnicity","American Indian/Alaska Native","Projection","Projection","StateName","Arkansas")+GETPIVOTDATA("Students",'[1]Race &amp; Ethnicity'!$A$4,"SchoolYear","2034-35","RaceEthnicity","Asian/Pacific Islander (Combined)","Projection","Projection","StateName","Arkansas")+GETPIVOTDATA("Students",'[1]Race &amp; Ethnicity'!$A$4,"SchoolYear","2034-35","RaceEthnicity","Black","Projection","Projection","StateName","Arkansas")+GETPIVOTDATA("Students",'[1]Race &amp; Ethnicity'!$A$4,"SchoolYear","2034-35","RaceEthnicity","Hispanic (any race)","Projection","Projection","StateName","Arkansas")+GETPIVOTDATA("Students",'[1]Race &amp; Ethnicity'!$A$4,"SchoolYear","2034-35","RaceEthnicity","Two or More Races","Projection","Estimate (Two or more races graduates after SY 2029-30","StateName","Arkansas")+GETPIVOTDATA("Students",'[1]Race &amp; Ethnicity'!$A$4,"SchoolYear","2034-35","RaceEthnicity","White","Projection","Projection","StateName","Arkansas")</f>
        <v>#REF!</v>
      </c>
      <c r="BW10" t="e">
        <f>GETPIVOTDATA("Students",'[1]Race &amp; Ethnicity'!$A$4,"SchoolYear","2035-36","RaceEthnicity","American Indian/Alaska Native","Projection","Projection","StateName","Arkansas")+GETPIVOTDATA("Students",'[1]Race &amp; Ethnicity'!$A$4,"SchoolYear","2035-36","RaceEthnicity","Asian/Pacific Islander (Combined)","Projection","Projection","StateName","Arkansas")+GETPIVOTDATA("Students",'[1]Race &amp; Ethnicity'!$A$4,"SchoolYear","2035-36","RaceEthnicity","Black","StateName","Arkansas")+GETPIVOTDATA("Students",'[1]Race &amp; Ethnicity'!$A$4,"SchoolYear","2035-36","RaceEthnicity","Hispanic (any race)","Projection","Projection","StateName","Arkansas")+GETPIVOTDATA("Students",'[1]Race &amp; Ethnicity'!$A$4,"SchoolYear","2035-36","RaceEthnicity","Two or More Races","Projection","Estimate (Two or more races graduates after SY 2029-30","StateName","Arkansas")+GETPIVOTDATA("Students",'[1]Race &amp; Ethnicity'!$A$4,"SchoolYear","2035-36","RaceEthnicity","White","Projection","Projection","StateName","Arkansas")</f>
        <v>#REF!</v>
      </c>
    </row>
    <row r="11" spans="1:76">
      <c r="A11" s="173" t="s">
        <v>35</v>
      </c>
      <c r="B11" s="98">
        <v>3490</v>
      </c>
      <c r="C11" s="95">
        <f t="shared" si="6"/>
        <v>3758</v>
      </c>
      <c r="D11" s="97">
        <v>4026</v>
      </c>
      <c r="E11" s="97">
        <v>4034</v>
      </c>
      <c r="F11" s="97">
        <v>4938</v>
      </c>
      <c r="G11" s="97">
        <v>5987</v>
      </c>
      <c r="H11" s="95">
        <f t="shared" si="5"/>
        <v>6186.6</v>
      </c>
      <c r="I11" s="97">
        <f t="shared" si="5"/>
        <v>6386.2000000000007</v>
      </c>
      <c r="J11" s="97">
        <f t="shared" si="5"/>
        <v>6585.8000000000011</v>
      </c>
      <c r="K11" s="97">
        <f t="shared" si="5"/>
        <v>6785.4000000000015</v>
      </c>
      <c r="L11" s="97">
        <v>6985</v>
      </c>
      <c r="M11" s="97">
        <v>7342</v>
      </c>
      <c r="N11" s="99">
        <v>7666</v>
      </c>
      <c r="O11" s="97">
        <v>7733</v>
      </c>
      <c r="P11" s="99">
        <v>8165</v>
      </c>
      <c r="Q11" s="97">
        <v>8235</v>
      </c>
      <c r="R11" s="127">
        <v>8212</v>
      </c>
      <c r="S11" s="127">
        <v>8164</v>
      </c>
      <c r="T11" s="127">
        <v>8166</v>
      </c>
      <c r="U11" s="127">
        <v>8090</v>
      </c>
      <c r="V11" s="127">
        <v>7582</v>
      </c>
      <c r="W11" s="97">
        <v>7349</v>
      </c>
      <c r="X11" s="98">
        <v>7144</v>
      </c>
      <c r="Y11" s="98">
        <v>6924</v>
      </c>
      <c r="Z11" s="98">
        <v>6410</v>
      </c>
      <c r="AA11" s="98">
        <v>5893</v>
      </c>
      <c r="AB11" s="98">
        <v>5791</v>
      </c>
      <c r="AC11" s="97">
        <v>5895</v>
      </c>
      <c r="AD11" s="98">
        <v>5963</v>
      </c>
      <c r="AE11" s="98">
        <v>6104</v>
      </c>
      <c r="AF11" s="98">
        <v>5550</v>
      </c>
      <c r="AG11" s="98">
        <v>5223</v>
      </c>
      <c r="AH11" s="98">
        <v>5325</v>
      </c>
      <c r="AI11" s="97">
        <v>5492</v>
      </c>
      <c r="AJ11" s="97">
        <v>5230</v>
      </c>
      <c r="AK11" s="97">
        <v>5234</v>
      </c>
      <c r="AL11" s="97">
        <v>5609</v>
      </c>
      <c r="AM11" s="97">
        <v>5953</v>
      </c>
      <c r="AN11" s="97">
        <v>6439</v>
      </c>
      <c r="AO11" s="97">
        <v>6484</v>
      </c>
      <c r="AP11" s="97">
        <v>6108</v>
      </c>
      <c r="AQ11" s="97">
        <v>6614</v>
      </c>
      <c r="AR11" s="97">
        <v>6482</v>
      </c>
      <c r="AS11" s="97">
        <v>6817</v>
      </c>
      <c r="AT11" s="97">
        <v>6951</v>
      </c>
      <c r="AU11" s="97">
        <v>6934</v>
      </c>
      <c r="AV11" s="97">
        <v>7275</v>
      </c>
      <c r="AW11" s="97">
        <v>7205</v>
      </c>
      <c r="AX11" s="97">
        <v>7388</v>
      </c>
      <c r="AY11" s="97">
        <v>7839</v>
      </c>
      <c r="AZ11" s="97">
        <v>8133</v>
      </c>
      <c r="BA11" s="97">
        <v>8043</v>
      </c>
      <c r="BB11" s="97">
        <v>8247</v>
      </c>
      <c r="BC11" s="97">
        <v>8070</v>
      </c>
      <c r="BD11" s="99">
        <v>8198.01</v>
      </c>
      <c r="BE11" s="99">
        <v>8288.6479999999992</v>
      </c>
      <c r="BF11" s="99">
        <v>8351.64</v>
      </c>
      <c r="BG11" s="99">
        <v>9223</v>
      </c>
      <c r="BH11" s="99">
        <v>9443</v>
      </c>
      <c r="BI11" s="99">
        <v>9420</v>
      </c>
      <c r="BJ11" s="99">
        <f>10620-'NCES-Private Grads-all races'!BF10</f>
        <v>9640</v>
      </c>
      <c r="BK11" s="180">
        <v>9199.4791469213596</v>
      </c>
      <c r="BL11" s="181">
        <v>9087.6713040255418</v>
      </c>
      <c r="BM11" s="180">
        <v>9213.5034500315542</v>
      </c>
      <c r="BN11" s="180">
        <v>8818.3617939049655</v>
      </c>
      <c r="BO11" s="180">
        <v>8656.638295860148</v>
      </c>
      <c r="BP11" s="180">
        <v>8561.6687631386358</v>
      </c>
      <c r="BQ11" s="180">
        <v>8369.1919044038241</v>
      </c>
      <c r="BR11" s="180">
        <v>8240.1837238901044</v>
      </c>
      <c r="BS11" s="180">
        <v>8349.587981628858</v>
      </c>
      <c r="BT11" s="177" t="e">
        <f>GETPIVOTDATA("Students",'[1]Race &amp; Ethnicity'!$A$4,"SchoolYear","2032-33","RaceEthnicity","American Indian/Alaska Native","Projection","Projection","StateName","Delaware")+GETPIVOTDATA("Students",'[1]Race &amp; Ethnicity'!$A$4,"SchoolYear","2032-33","RaceEthnicity","Asian/Pacific Islander (Combined)","Projection","Projection","StateName","Delaware")+GETPIVOTDATA("Students",'[1]Race &amp; Ethnicity'!$A$4,"SchoolYear","2032-33","RaceEthnicity","Black","Projection","Projection","StateName","Delaware")+GETPIVOTDATA("Students",'[1]Race &amp; Ethnicity'!$A$4,"SchoolYear","2032-33","RaceEthnicity","Hispanic (any race)","Projection","Projection","StateName","Delaware")+GETPIVOTDATA("Students",'[1]Race &amp; Ethnicity'!$A$4,"SchoolYear","2032-33","RaceEthnicity","Two or More Races","Projection","Estimate (Two or more races graduates after SY 2029-30","StateName","Delaware")+GETPIVOTDATA("Students",'[1]Race &amp; Ethnicity'!$A$4,"SchoolYear","2032-33","RaceEthnicity","White","Projection","Projection","StateName","Delaware")</f>
        <v>#REF!</v>
      </c>
      <c r="BU11" s="177" t="e">
        <f>GETPIVOTDATA("Students",'[1]Race &amp; Ethnicity'!$A$4,"SchoolYear","2033-34","RaceEthnicity","American Indian/Alaska Native","Projection","Projection","StateName","Delaware")+GETPIVOTDATA("Students",'[1]Race &amp; Ethnicity'!$A$4,"SchoolYear","2033-34","RaceEthnicity","Asian/Pacific Islander (Combined)","Projection","Projection","StateName","Delaware")+GETPIVOTDATA("Students",'[1]Race &amp; Ethnicity'!$A$4,"SchoolYear","2033-34","RaceEthnicity","Black","Projection","Projection","StateName","Delaware")+GETPIVOTDATA("Students",'[1]Race &amp; Ethnicity'!$A$4,"SchoolYear","2033-34","RaceEthnicity","Hispanic (any race)","Projection","Projection","StateName","Delaware")+GETPIVOTDATA("Students",'[1]Race &amp; Ethnicity'!$A$4,"SchoolYear","2033-34","RaceEthnicity","Two or More Races","Projection","Estimate (Two or more races graduates after SY 2029-30","StateName","Delaware")+GETPIVOTDATA("Students",'[1]Race &amp; Ethnicity'!$A$4,"SchoolYear","2033-34","RaceEthnicity","White","Projection","Projection","StateName","Delaware")</f>
        <v>#REF!</v>
      </c>
      <c r="BV11" t="e">
        <f>GETPIVOTDATA("Students",'[1]Race &amp; Ethnicity'!$A$4,"SchoolYear","2034-35","RaceEthnicity","American Indian/Alaska Native","Projection","Projection","StateName","Delaware")+GETPIVOTDATA("Students",'[1]Race &amp; Ethnicity'!$A$4,"SchoolYear","2034-35","RaceEthnicity","Asian/Pacific Islander (Combined)","Projection","Projection","StateName","Delaware")+GETPIVOTDATA("Students",'[1]Race &amp; Ethnicity'!$A$4,"SchoolYear","2034-35","RaceEthnicity","Black","Projection","Projection","StateName","Delaware")+GETPIVOTDATA("Students",'[1]Race &amp; Ethnicity'!$A$4,"SchoolYear","2034-35","RaceEthnicity","Hispanic (any race)","Projection","Projection","StateName","Delaware")+GETPIVOTDATA("Students",'[1]Race &amp; Ethnicity'!$A$4,"SchoolYear","2034-35","RaceEthnicity","Two or More Races","Projection","Estimate (Two or more races graduates after SY 2029-30","StateName","Delaware")+GETPIVOTDATA("Students",'[1]Race &amp; Ethnicity'!$A$4,"SchoolYear","2034-35","RaceEthnicity","White","Projection","Projection","StateName","Delaware")</f>
        <v>#REF!</v>
      </c>
      <c r="BW11" t="e">
        <f>GETPIVOTDATA("Students",'[1]Race &amp; Ethnicity'!$A$4,"SchoolYear","2035-36","RaceEthnicity","American Indian/Alaska Native","Projection","Projection","StateName","Delaware")+GETPIVOTDATA("Students",'[1]Race &amp; Ethnicity'!$A$4,"SchoolYear","2035-36","RaceEthnicity","Asian/Pacific Islander (Combined)","Projection","Projection","StateName","Delaware")+GETPIVOTDATA("Students",'[1]Race &amp; Ethnicity'!$A$4,"SchoolYear","2035-36","RaceEthnicity","Black","StateName","Delaware")+GETPIVOTDATA("Students",'[1]Race &amp; Ethnicity'!$A$4,"SchoolYear","2035-36","RaceEthnicity","Hispanic (any race)","Projection","Projection","StateName","Delaware")+GETPIVOTDATA("Students",'[1]Race &amp; Ethnicity'!$A$4,"SchoolYear","2035-36","RaceEthnicity","Two or More Races","Projection","Estimate (Two or more races graduates after SY 2029-30","StateName","Delaware")+GETPIVOTDATA("Students",'[1]Race &amp; Ethnicity'!$A$4,"SchoolYear","2035-36","RaceEthnicity","White","Projection","Projection","StateName","Delaware")</f>
        <v>#REF!</v>
      </c>
    </row>
    <row r="12" spans="1:76">
      <c r="A12" s="173" t="s">
        <v>36</v>
      </c>
      <c r="B12" s="98">
        <v>37296</v>
      </c>
      <c r="C12" s="95">
        <f t="shared" si="6"/>
        <v>40089</v>
      </c>
      <c r="D12" s="97">
        <v>42882</v>
      </c>
      <c r="E12" s="97">
        <v>44168</v>
      </c>
      <c r="F12" s="97">
        <v>53783</v>
      </c>
      <c r="G12" s="97">
        <v>61190</v>
      </c>
      <c r="H12" s="95">
        <f t="shared" si="5"/>
        <v>63047.6</v>
      </c>
      <c r="I12" s="97">
        <f t="shared" si="5"/>
        <v>64905.2</v>
      </c>
      <c r="J12" s="97">
        <f t="shared" si="5"/>
        <v>66762.8</v>
      </c>
      <c r="K12" s="97">
        <f t="shared" si="5"/>
        <v>68620.400000000009</v>
      </c>
      <c r="L12" s="97">
        <v>70478</v>
      </c>
      <c r="M12" s="97">
        <v>73150</v>
      </c>
      <c r="N12" s="99">
        <v>78574</v>
      </c>
      <c r="O12" s="97">
        <v>81773</v>
      </c>
      <c r="P12" s="99">
        <v>74830</v>
      </c>
      <c r="Q12" s="97">
        <v>86481</v>
      </c>
      <c r="R12" s="127">
        <v>89444</v>
      </c>
      <c r="S12" s="127">
        <v>88137</v>
      </c>
      <c r="T12" s="127">
        <v>91613</v>
      </c>
      <c r="U12" s="127">
        <v>87633</v>
      </c>
      <c r="V12" s="127">
        <v>87324</v>
      </c>
      <c r="W12" s="97">
        <v>88755</v>
      </c>
      <c r="X12" s="98">
        <v>90736</v>
      </c>
      <c r="Y12" s="98">
        <v>86871</v>
      </c>
      <c r="Z12" s="98">
        <v>85908</v>
      </c>
      <c r="AA12" s="98">
        <v>81140</v>
      </c>
      <c r="AB12" s="98">
        <v>83029</v>
      </c>
      <c r="AC12" s="97">
        <v>82184</v>
      </c>
      <c r="AD12" s="98">
        <v>89206</v>
      </c>
      <c r="AE12" s="98">
        <v>90759</v>
      </c>
      <c r="AF12" s="98">
        <v>88934</v>
      </c>
      <c r="AG12" s="98">
        <v>87419</v>
      </c>
      <c r="AH12" s="98">
        <v>93674</v>
      </c>
      <c r="AI12" s="97">
        <v>89428</v>
      </c>
      <c r="AJ12" s="97">
        <v>88032</v>
      </c>
      <c r="AK12" s="97">
        <v>89827</v>
      </c>
      <c r="AL12" s="97">
        <v>89242</v>
      </c>
      <c r="AM12" s="97">
        <v>95082</v>
      </c>
      <c r="AN12" s="97">
        <v>98498</v>
      </c>
      <c r="AO12" s="97">
        <v>102386</v>
      </c>
      <c r="AP12" s="97">
        <v>106708</v>
      </c>
      <c r="AQ12" s="97">
        <v>111112</v>
      </c>
      <c r="AR12" s="97">
        <v>119537</v>
      </c>
      <c r="AS12" s="97">
        <v>127484</v>
      </c>
      <c r="AT12" s="97">
        <v>131418</v>
      </c>
      <c r="AU12" s="97">
        <v>133318</v>
      </c>
      <c r="AV12" s="97">
        <v>134686</v>
      </c>
      <c r="AW12" s="97">
        <v>142284</v>
      </c>
      <c r="AX12" s="97">
        <v>149046</v>
      </c>
      <c r="AY12" s="97">
        <v>153461</v>
      </c>
      <c r="AZ12" s="97">
        <v>156130</v>
      </c>
      <c r="BA12" s="97">
        <v>155493</v>
      </c>
      <c r="BB12" s="97">
        <v>151964</v>
      </c>
      <c r="BC12" s="97">
        <v>158029</v>
      </c>
      <c r="BD12" s="99">
        <v>149334.07399999999</v>
      </c>
      <c r="BE12" s="99">
        <v>155790.652</v>
      </c>
      <c r="BF12" s="99">
        <v>159694.00200000001</v>
      </c>
      <c r="BG12" s="99">
        <v>176244</v>
      </c>
      <c r="BH12" s="99">
        <v>186194</v>
      </c>
      <c r="BI12" s="99">
        <v>190326</v>
      </c>
      <c r="BJ12" s="99">
        <f>211750-'NCES-Private Grads-all races'!BF11</f>
        <v>180540</v>
      </c>
      <c r="BK12" s="180">
        <v>171053.78623485821</v>
      </c>
      <c r="BL12" s="181">
        <v>176520.05671061901</v>
      </c>
      <c r="BM12" s="180">
        <v>171608.25969168675</v>
      </c>
      <c r="BN12" s="180">
        <v>163640.00185082984</v>
      </c>
      <c r="BO12" s="180">
        <v>158112.50856828626</v>
      </c>
      <c r="BP12" s="180">
        <v>157048.25496625452</v>
      </c>
      <c r="BQ12" s="180">
        <v>157234.41879644373</v>
      </c>
      <c r="BR12" s="180">
        <v>158984.57679212987</v>
      </c>
      <c r="BS12" s="180">
        <v>162277.03101830269</v>
      </c>
      <c r="BT12" s="177" t="e">
        <f>GETPIVOTDATA("Students",'[1]Race &amp; Ethnicity'!$A$4,"SchoolYear","2032-33","RaceEthnicity","American Indian/Alaska Native","Projection","Projection","StateName","Florida")+GETPIVOTDATA("Students",'[1]Race &amp; Ethnicity'!$A$4,"SchoolYear","2032-33","RaceEthnicity","Asian/Pacific Islander (Combined)","Projection","Projection","StateName","Florida")+GETPIVOTDATA("Students",'[1]Race &amp; Ethnicity'!$A$4,"SchoolYear","2032-33","RaceEthnicity","Black","Projection","Projection","StateName","Florida")+GETPIVOTDATA("Students",'[1]Race &amp; Ethnicity'!$A$4,"SchoolYear","2032-33","RaceEthnicity","Hispanic (any race)","Projection","Projection","StateName","Florida")+GETPIVOTDATA("Students",'[1]Race &amp; Ethnicity'!$A$4,"SchoolYear","2032-33","RaceEthnicity","Two or More Races","Projection","Estimate (Two or more races graduates after SY 2029-30","StateName","Florida")+GETPIVOTDATA("Students",'[1]Race &amp; Ethnicity'!$A$4,"SchoolYear","2032-33","RaceEthnicity","White","Projection","Projection","StateName","Florida")</f>
        <v>#REF!</v>
      </c>
      <c r="BU12" s="177" t="e">
        <f>GETPIVOTDATA("Students",'[1]Race &amp; Ethnicity'!$A$4,"SchoolYear","2033-34","RaceEthnicity","American Indian/Alaska Native","Projection","Projection","StateName","Florida")+GETPIVOTDATA("Students",'[1]Race &amp; Ethnicity'!$A$4,"SchoolYear","2033-34","RaceEthnicity","Asian/Pacific Islander (Combined)","Projection","Projection","StateName","Florida")+GETPIVOTDATA("Students",'[1]Race &amp; Ethnicity'!$A$4,"SchoolYear","2033-34","RaceEthnicity","Black","Projection","Projection","StateName","Florida")+GETPIVOTDATA("Students",'[1]Race &amp; Ethnicity'!$A$4,"SchoolYear","2033-34","RaceEthnicity","Hispanic (any race)","Projection","Projection","StateName","Florida")+GETPIVOTDATA("Students",'[1]Race &amp; Ethnicity'!$A$4,"SchoolYear","2033-34","RaceEthnicity","Two or More Races","Projection","Estimate (Two or more races graduates after SY 2029-30","StateName","Florida")+GETPIVOTDATA("Students",'[1]Race &amp; Ethnicity'!$A$4,"SchoolYear","2033-34","RaceEthnicity","White","Projection","Projection","StateName","Florida")</f>
        <v>#REF!</v>
      </c>
      <c r="BV12" t="e">
        <f>GETPIVOTDATA("Students",'[1]Race &amp; Ethnicity'!$A$4,"SchoolYear","2034-35","RaceEthnicity","American Indian/Alaska Native","Projection","Projection","StateName","Florida")+GETPIVOTDATA("Students",'[1]Race &amp; Ethnicity'!$A$4,"SchoolYear","2034-35","RaceEthnicity","Asian/Pacific Islander (Combined)","Projection","Projection","StateName","Florida")+GETPIVOTDATA("Students",'[1]Race &amp; Ethnicity'!$A$4,"SchoolYear","2034-35","RaceEthnicity","Black","Projection","Projection","StateName","Florida")+GETPIVOTDATA("Students",'[1]Race &amp; Ethnicity'!$A$4,"SchoolYear","2034-35","RaceEthnicity","Hispanic (any race)","Projection","Projection","StateName","Florida")+GETPIVOTDATA("Students",'[1]Race &amp; Ethnicity'!$A$4,"SchoolYear","2034-35","RaceEthnicity","Two or More Races","Projection","Estimate (Two or more races graduates after SY 2029-30","StateName","Florida")+GETPIVOTDATA("Students",'[1]Race &amp; Ethnicity'!$A$4,"SchoolYear","2034-35","RaceEthnicity","White","Projection","Projection","StateName","Florida")</f>
        <v>#REF!</v>
      </c>
      <c r="BW12" t="e">
        <f>GETPIVOTDATA("Students",'[1]Race &amp; Ethnicity'!$A$4,"SchoolYear","2035-36","RaceEthnicity","American Indian/Alaska Native","Projection","Projection","StateName","Florida")+GETPIVOTDATA("Students",'[1]Race &amp; Ethnicity'!$A$4,"SchoolYear","2035-36","RaceEthnicity","Asian/Pacific Islander (Combined)","Projection","Projection","StateName","Florida")+GETPIVOTDATA("Students",'[1]Race &amp; Ethnicity'!$A$4,"SchoolYear","2035-36","RaceEthnicity","Black","StateName","Florida")+GETPIVOTDATA("Students",'[1]Race &amp; Ethnicity'!$A$4,"SchoolYear","2035-36","RaceEthnicity","Hispanic (any race)","Projection","Projection","StateName","Florida")+GETPIVOTDATA("Students",'[1]Race &amp; Ethnicity'!$A$4,"SchoolYear","2035-36","RaceEthnicity","Two or More Races","Projection","Estimate (Two or more races graduates after SY 2029-30","StateName","Florida")+GETPIVOTDATA("Students",'[1]Race &amp; Ethnicity'!$A$4,"SchoolYear","2035-36","RaceEthnicity","White","Projection","Projection","StateName","Florida")</f>
        <v>#REF!</v>
      </c>
    </row>
    <row r="13" spans="1:76">
      <c r="A13" s="173" t="s">
        <v>37</v>
      </c>
      <c r="B13" s="98">
        <v>34127</v>
      </c>
      <c r="C13" s="95">
        <f t="shared" si="6"/>
        <v>35070.5</v>
      </c>
      <c r="D13" s="97">
        <v>36014</v>
      </c>
      <c r="E13" s="97">
        <v>36259</v>
      </c>
      <c r="F13" s="97">
        <v>43254</v>
      </c>
      <c r="G13" s="97">
        <v>51708</v>
      </c>
      <c r="H13" s="95">
        <f t="shared" si="5"/>
        <v>52738.2</v>
      </c>
      <c r="I13" s="97">
        <f t="shared" si="5"/>
        <v>53768.399999999994</v>
      </c>
      <c r="J13" s="97">
        <f t="shared" si="5"/>
        <v>54798.599999999991</v>
      </c>
      <c r="K13" s="97">
        <f t="shared" si="5"/>
        <v>55828.799999999988</v>
      </c>
      <c r="L13" s="97">
        <v>56859</v>
      </c>
      <c r="M13" s="97">
        <v>57082</v>
      </c>
      <c r="N13" s="99">
        <v>58358</v>
      </c>
      <c r="O13" s="97">
        <v>57755</v>
      </c>
      <c r="P13" s="99">
        <v>58026</v>
      </c>
      <c r="Q13" s="97">
        <v>59803</v>
      </c>
      <c r="R13" s="127">
        <v>61059</v>
      </c>
      <c r="S13" s="127">
        <v>62234</v>
      </c>
      <c r="T13" s="127">
        <v>61095</v>
      </c>
      <c r="U13" s="127">
        <v>62179</v>
      </c>
      <c r="V13" s="127">
        <v>61621</v>
      </c>
      <c r="W13" s="97">
        <v>62963</v>
      </c>
      <c r="X13" s="98">
        <v>64489</v>
      </c>
      <c r="Y13" s="98">
        <v>63293</v>
      </c>
      <c r="Z13" s="98">
        <v>60718</v>
      </c>
      <c r="AA13" s="98">
        <v>58654</v>
      </c>
      <c r="AB13" s="98">
        <v>59082</v>
      </c>
      <c r="AC13" s="97">
        <v>60018</v>
      </c>
      <c r="AD13" s="98">
        <v>61765</v>
      </c>
      <c r="AE13" s="98">
        <v>61937</v>
      </c>
      <c r="AF13" s="98">
        <v>56605</v>
      </c>
      <c r="AG13" s="98">
        <v>60088</v>
      </c>
      <c r="AH13" s="98">
        <v>57742</v>
      </c>
      <c r="AI13" s="97">
        <v>57602</v>
      </c>
      <c r="AJ13" s="97">
        <v>56356</v>
      </c>
      <c r="AK13" s="97">
        <v>56660</v>
      </c>
      <c r="AL13" s="97">
        <v>56271</v>
      </c>
      <c r="AM13" s="97">
        <v>58996</v>
      </c>
      <c r="AN13" s="97">
        <v>58525</v>
      </c>
      <c r="AO13" s="97">
        <v>59227</v>
      </c>
      <c r="AP13" s="97">
        <v>62563</v>
      </c>
      <c r="AQ13" s="97">
        <v>62499</v>
      </c>
      <c r="AR13" s="97">
        <v>65983</v>
      </c>
      <c r="AS13" s="97">
        <v>66890</v>
      </c>
      <c r="AT13" s="97">
        <v>68550</v>
      </c>
      <c r="AU13" s="97">
        <v>70834</v>
      </c>
      <c r="AV13" s="97">
        <v>73498</v>
      </c>
      <c r="AW13" s="97">
        <v>77829</v>
      </c>
      <c r="AX13" s="97">
        <v>83505</v>
      </c>
      <c r="AY13" s="97">
        <v>88003</v>
      </c>
      <c r="AZ13" s="97">
        <v>91561</v>
      </c>
      <c r="BA13" s="97">
        <v>92338</v>
      </c>
      <c r="BB13" s="97">
        <v>90582</v>
      </c>
      <c r="BC13" s="97">
        <v>92416</v>
      </c>
      <c r="BD13" s="99">
        <v>89459.199999999997</v>
      </c>
      <c r="BE13" s="99">
        <v>98414.895999999993</v>
      </c>
      <c r="BF13" s="99">
        <v>101040.47</v>
      </c>
      <c r="BG13" s="99">
        <v>109302</v>
      </c>
      <c r="BH13" s="99">
        <v>111299</v>
      </c>
      <c r="BI13" s="99">
        <v>112968</v>
      </c>
      <c r="BJ13" s="99">
        <f>122310-'NCES-Private Grads-all races'!BF12</f>
        <v>113160</v>
      </c>
      <c r="BK13" s="180">
        <v>102641.51417122936</v>
      </c>
      <c r="BL13" s="181">
        <v>105070.60636674115</v>
      </c>
      <c r="BM13" s="180">
        <v>103085.11387318616</v>
      </c>
      <c r="BN13" s="180">
        <v>99254.776260681581</v>
      </c>
      <c r="BO13" s="180">
        <v>93758.6439314132</v>
      </c>
      <c r="BP13" s="180">
        <v>92506.543929779233</v>
      </c>
      <c r="BQ13" s="180">
        <v>91132.947402348815</v>
      </c>
      <c r="BR13" s="180">
        <v>90172.669674002507</v>
      </c>
      <c r="BS13" s="180">
        <v>91685.831962165554</v>
      </c>
      <c r="BT13" s="177" t="e">
        <f>GETPIVOTDATA("Students",'[1]Race &amp; Ethnicity'!$A$4,"SchoolYear","2032-33","RaceEthnicity","American Indian/Alaska Native","Projection","Projection","StateName","Georgia")+GETPIVOTDATA("Students",'[1]Race &amp; Ethnicity'!$A$4,"SchoolYear","2032-33","RaceEthnicity","Asian/Pacific Islander (Combined)","Projection","Projection","StateName","Georgia")+GETPIVOTDATA("Students",'[1]Race &amp; Ethnicity'!$A$4,"SchoolYear","2032-33","RaceEthnicity","Black","Projection","Projection","StateName","Georgia")+GETPIVOTDATA("Students",'[1]Race &amp; Ethnicity'!$A$4,"SchoolYear","2032-33","RaceEthnicity","Hispanic (any race)","Projection","Projection","StateName","Georgia")+GETPIVOTDATA("Students",'[1]Race &amp; Ethnicity'!$A$4,"SchoolYear","2032-33","RaceEthnicity","Two or More Races","Projection","Estimate (Two or more races graduates after SY 2029-30","StateName","Georgia")+GETPIVOTDATA("Students",'[1]Race &amp; Ethnicity'!$A$4,"SchoolYear","2032-33","RaceEthnicity","White","Projection","Projection","StateName","Georgia")</f>
        <v>#REF!</v>
      </c>
      <c r="BU13" s="177" t="e">
        <f>GETPIVOTDATA("Students",'[1]Race &amp; Ethnicity'!$A$4,"SchoolYear","2033-34","RaceEthnicity","American Indian/Alaska Native","Projection","Projection","StateName","Georgia")+GETPIVOTDATA("Students",'[1]Race &amp; Ethnicity'!$A$4,"SchoolYear","2033-34","RaceEthnicity","Asian/Pacific Islander (Combined)","Projection","Projection","StateName","Georgia")+GETPIVOTDATA("Students",'[1]Race &amp; Ethnicity'!$A$4,"SchoolYear","2033-34","RaceEthnicity","Black","Projection","Projection","StateName","Georgia")+GETPIVOTDATA("Students",'[1]Race &amp; Ethnicity'!$A$4,"SchoolYear","2033-34","RaceEthnicity","Hispanic (any race)","Projection","Projection","StateName","Georgia")+GETPIVOTDATA("Students",'[1]Race &amp; Ethnicity'!$A$4,"SchoolYear","2033-34","RaceEthnicity","Two or More Races","Projection","Estimate (Two or more races graduates after SY 2029-30","StateName","Georgia")+GETPIVOTDATA("Students",'[1]Race &amp; Ethnicity'!$A$4,"SchoolYear","2033-34","RaceEthnicity","White","Projection","Projection","StateName","Georgia")</f>
        <v>#REF!</v>
      </c>
      <c r="BV13" t="e">
        <f>GETPIVOTDATA("Students",'[1]Race &amp; Ethnicity'!$A$4,"SchoolYear","2034-35","RaceEthnicity","American Indian/Alaska Native","Projection","Projection","StateName","Georgia")+GETPIVOTDATA("Students",'[1]Race &amp; Ethnicity'!$A$4,"SchoolYear","2034-35","RaceEthnicity","Asian/Pacific Islander (Combined)","Projection","Projection","StateName","Georgia")+GETPIVOTDATA("Students",'[1]Race &amp; Ethnicity'!$A$4,"SchoolYear","2034-35","RaceEthnicity","Black","Projection","Projection","StateName","Georgia")+GETPIVOTDATA("Students",'[1]Race &amp; Ethnicity'!$A$4,"SchoolYear","2034-35","RaceEthnicity","Hispanic (any race)","Projection","Projection","StateName","Georgia")+GETPIVOTDATA("Students",'[1]Race &amp; Ethnicity'!$A$4,"SchoolYear","2034-35","RaceEthnicity","Two or More Races","Projection","Estimate (Two or more races graduates after SY 2029-30","StateName","Georgia")+GETPIVOTDATA("Students",'[1]Race &amp; Ethnicity'!$A$4,"SchoolYear","2034-35","RaceEthnicity","White","Projection","Projection","StateName","Georgia")</f>
        <v>#REF!</v>
      </c>
      <c r="BW13" t="e">
        <f>GETPIVOTDATA("Students",'[1]Race &amp; Ethnicity'!$A$4,"SchoolYear","2035-36","RaceEthnicity","American Indian/Alaska Native","Projection","Projection","StateName","Georgia")+GETPIVOTDATA("Students",'[1]Race &amp; Ethnicity'!$A$4,"SchoolYear","2035-36","RaceEthnicity","Asian/Pacific Islander (Combined)","Projection","Projection","StateName","Georgia")+GETPIVOTDATA("Students",'[1]Race &amp; Ethnicity'!$A$4,"SchoolYear","2035-36","RaceEthnicity","Black","StateName","Georgia")+GETPIVOTDATA("Students",'[1]Race &amp; Ethnicity'!$A$4,"SchoolYear","2035-36","RaceEthnicity","Hispanic (any race)","Projection","Projection","StateName","Georgia")+GETPIVOTDATA("Students",'[1]Race &amp; Ethnicity'!$A$4,"SchoolYear","2035-36","RaceEthnicity","Two or More Races","Projection","Estimate (Two or more races graduates after SY 2029-30","StateName","Georgia")+GETPIVOTDATA("Students",'[1]Race &amp; Ethnicity'!$A$4,"SchoolYear","2035-36","RaceEthnicity","White","Projection","Projection","StateName","Georgia")</f>
        <v>#REF!</v>
      </c>
    </row>
    <row r="14" spans="1:76">
      <c r="A14" s="173" t="s">
        <v>38</v>
      </c>
      <c r="B14" s="98">
        <v>24911</v>
      </c>
      <c r="C14" s="95">
        <f t="shared" si="6"/>
        <v>24335</v>
      </c>
      <c r="D14" s="97">
        <v>23759</v>
      </c>
      <c r="E14" s="97">
        <v>24093</v>
      </c>
      <c r="F14" s="97">
        <v>30923</v>
      </c>
      <c r="G14" s="97">
        <v>35233</v>
      </c>
      <c r="H14" s="95">
        <f t="shared" si="5"/>
        <v>35681</v>
      </c>
      <c r="I14" s="97">
        <f t="shared" si="5"/>
        <v>36129</v>
      </c>
      <c r="J14" s="97">
        <f t="shared" si="5"/>
        <v>36577</v>
      </c>
      <c r="K14" s="97">
        <f t="shared" si="5"/>
        <v>37025</v>
      </c>
      <c r="L14" s="97">
        <v>37473</v>
      </c>
      <c r="M14" s="97">
        <v>38486</v>
      </c>
      <c r="N14" s="99">
        <v>40707</v>
      </c>
      <c r="O14" s="97">
        <v>40607</v>
      </c>
      <c r="P14" s="99">
        <v>41351</v>
      </c>
      <c r="Q14" s="97">
        <v>42368</v>
      </c>
      <c r="R14" s="66">
        <v>41761</v>
      </c>
      <c r="S14" s="66">
        <v>41755</v>
      </c>
      <c r="T14" s="66">
        <v>41611</v>
      </c>
      <c r="U14" s="66">
        <v>41402</v>
      </c>
      <c r="V14" s="66">
        <v>41203</v>
      </c>
      <c r="W14" s="97">
        <v>41714</v>
      </c>
      <c r="X14" s="98">
        <v>42531</v>
      </c>
      <c r="Y14" s="98">
        <v>40478</v>
      </c>
      <c r="Z14" s="98">
        <v>39645</v>
      </c>
      <c r="AA14" s="98">
        <v>37999</v>
      </c>
      <c r="AB14" s="98">
        <v>37288</v>
      </c>
      <c r="AC14" s="97">
        <v>36948</v>
      </c>
      <c r="AD14" s="98">
        <v>39484</v>
      </c>
      <c r="AE14" s="98">
        <v>38883</v>
      </c>
      <c r="AF14" s="98">
        <v>38005</v>
      </c>
      <c r="AG14" s="98">
        <v>35835</v>
      </c>
      <c r="AH14" s="98">
        <v>33896</v>
      </c>
      <c r="AI14" s="97">
        <v>36361</v>
      </c>
      <c r="AJ14" s="97">
        <v>38454</v>
      </c>
      <c r="AK14" s="97">
        <v>37626</v>
      </c>
      <c r="AL14" s="97">
        <v>36641</v>
      </c>
      <c r="AM14" s="97">
        <v>36941</v>
      </c>
      <c r="AN14" s="97">
        <v>37270</v>
      </c>
      <c r="AO14" s="97">
        <v>37048</v>
      </c>
      <c r="AP14" s="97">
        <v>36830</v>
      </c>
      <c r="AQ14" s="97">
        <v>36957</v>
      </c>
      <c r="AR14" s="97">
        <v>36337</v>
      </c>
      <c r="AS14" s="97">
        <v>37654</v>
      </c>
      <c r="AT14" s="97">
        <v>37787</v>
      </c>
      <c r="AU14" s="97">
        <v>38399</v>
      </c>
      <c r="AV14" s="97">
        <v>38449</v>
      </c>
      <c r="AW14" s="97">
        <v>39099</v>
      </c>
      <c r="AX14" s="97">
        <v>39339</v>
      </c>
      <c r="AY14" s="97">
        <v>41851</v>
      </c>
      <c r="AZ14" s="97">
        <v>42664</v>
      </c>
      <c r="BA14" s="97">
        <v>43031</v>
      </c>
      <c r="BB14" s="97">
        <v>42642</v>
      </c>
      <c r="BC14" s="97">
        <v>42888</v>
      </c>
      <c r="BD14" s="99">
        <v>42273</v>
      </c>
      <c r="BE14" s="99">
        <v>42447.68</v>
      </c>
      <c r="BF14" s="99">
        <v>43206.675999999992</v>
      </c>
      <c r="BG14" s="99">
        <v>44755</v>
      </c>
      <c r="BH14" s="99">
        <v>46018</v>
      </c>
      <c r="BI14" s="99">
        <v>46121</v>
      </c>
      <c r="BJ14" s="99">
        <f>50250-'NCES-Private Grads-all races'!BF13</f>
        <v>45150</v>
      </c>
      <c r="BK14" s="180">
        <v>41298.380277465076</v>
      </c>
      <c r="BL14" s="181">
        <v>42184.677860357886</v>
      </c>
      <c r="BM14" s="180">
        <v>42054.439080280594</v>
      </c>
      <c r="BN14" s="180">
        <v>41359.797289261194</v>
      </c>
      <c r="BO14" s="180">
        <v>39909.867438899193</v>
      </c>
      <c r="BP14" s="180">
        <v>39588.367685686302</v>
      </c>
      <c r="BQ14" s="180">
        <v>39909.090158823492</v>
      </c>
      <c r="BR14" s="180">
        <v>39911.59738742101</v>
      </c>
      <c r="BS14" s="180">
        <v>40241.054374049047</v>
      </c>
      <c r="BT14" s="177" t="e">
        <f>GETPIVOTDATA("Students",'[1]Race &amp; Ethnicity'!$A$4,"SchoolYear","2032-33","RaceEthnicity","American Indian/Alaska Native","Projection","Projection","StateName","Kentucky")+GETPIVOTDATA("Students",'[1]Race &amp; Ethnicity'!$A$4,"SchoolYear","2032-33","RaceEthnicity","Asian/Pacific Islander (Combined)","Projection","Projection","StateName","Kentucky")+GETPIVOTDATA("Students",'[1]Race &amp; Ethnicity'!$A$4,"SchoolYear","2032-33","RaceEthnicity","Black","Projection","Projection","StateName","Kentucky")+GETPIVOTDATA("Students",'[1]Race &amp; Ethnicity'!$A$4,"SchoolYear","2032-33","RaceEthnicity","Hispanic (any race)","Projection","Projection","StateName","Kentucky")+GETPIVOTDATA("Students",'[1]Race &amp; Ethnicity'!$A$4,"SchoolYear","2032-33","RaceEthnicity","Two or More Races","Projection","Estimate (Two or more races graduates after SY 2029-30","StateName","Kentucky")+GETPIVOTDATA("Students",'[1]Race &amp; Ethnicity'!$A$4,"SchoolYear","2032-33","RaceEthnicity","White","Projection","Projection","StateName","Kentucky")</f>
        <v>#REF!</v>
      </c>
      <c r="BU14" s="177" t="e">
        <f>GETPIVOTDATA("Students",'[1]Race &amp; Ethnicity'!$A$4,"SchoolYear","2033-34","RaceEthnicity","American Indian/Alaska Native","Projection","Projection","StateName","Kentucky")+GETPIVOTDATA("Students",'[1]Race &amp; Ethnicity'!$A$4,"SchoolYear","2033-34","RaceEthnicity","Asian/Pacific Islander (Combined)","Projection","Projection","StateName","Kentucky")+GETPIVOTDATA("Students",'[1]Race &amp; Ethnicity'!$A$4,"SchoolYear","2033-34","RaceEthnicity","Black","Projection","Projection","StateName","Kentucky")+GETPIVOTDATA("Students",'[1]Race &amp; Ethnicity'!$A$4,"SchoolYear","2033-34","RaceEthnicity","Hispanic (any race)","Projection","Projection","StateName","Kentucky")+GETPIVOTDATA("Students",'[1]Race &amp; Ethnicity'!$A$4,"SchoolYear","2033-34","RaceEthnicity","Two or More Races","Projection","Estimate (Two or more races graduates after SY 2029-30","StateName","Kentucky")+GETPIVOTDATA("Students",'[1]Race &amp; Ethnicity'!$A$4,"SchoolYear","2033-34","RaceEthnicity","White","Projection","Projection","StateName","Kentucky")</f>
        <v>#REF!</v>
      </c>
      <c r="BV14" t="e">
        <f>GETPIVOTDATA("Students",'[1]Race &amp; Ethnicity'!$A$4,"SchoolYear","2034-35","RaceEthnicity","American Indian/Alaska Native","Projection","Projection","StateName","Kentucky")+GETPIVOTDATA("Students",'[1]Race &amp; Ethnicity'!$A$4,"SchoolYear","2034-35","RaceEthnicity","Asian/Pacific Islander (Combined)","Projection","Projection","StateName","Kentucky")+GETPIVOTDATA("Students",'[1]Race &amp; Ethnicity'!$A$4,"SchoolYear","2034-35","RaceEthnicity","Black","Projection","Projection","StateName","Kentucky")+GETPIVOTDATA("Students",'[1]Race &amp; Ethnicity'!$A$4,"SchoolYear","2034-35","RaceEthnicity","Hispanic (any race)","Projection","Projection","StateName","Kentucky")+GETPIVOTDATA("Students",'[1]Race &amp; Ethnicity'!$A$4,"SchoolYear","2034-35","RaceEthnicity","Two or More Races","Projection","Estimate (Two or more races graduates after SY 2029-30","StateName","Kentucky")+GETPIVOTDATA("Students",'[1]Race &amp; Ethnicity'!$A$4,"SchoolYear","2034-35","RaceEthnicity","White","Projection","Projection","StateName","Kentucky")</f>
        <v>#REF!</v>
      </c>
      <c r="BW14" t="e">
        <f>GETPIVOTDATA("Students",'[1]Race &amp; Ethnicity'!$A$4,"SchoolYear","2035-36","RaceEthnicity","American Indian/Alaska Native","Projection","Projection","StateName","Kentucky")+GETPIVOTDATA("Students",'[1]Race &amp; Ethnicity'!$A$4,"SchoolYear","2035-36","RaceEthnicity","Asian/Pacific Islander (Combined)","Projection","Projection","StateName","Kentucky")+GETPIVOTDATA("Students",'[1]Race &amp; Ethnicity'!$A$4,"SchoolYear","2035-36","RaceEthnicity","Black","StateName","Kentucky")+GETPIVOTDATA("Students",'[1]Race &amp; Ethnicity'!$A$4,"SchoolYear","2035-36","RaceEthnicity","Hispanic (any race)","Projection","Projection","StateName","Kentucky")+GETPIVOTDATA("Students",'[1]Race &amp; Ethnicity'!$A$4,"SchoolYear","2035-36","RaceEthnicity","Two or More Races","Projection","Estimate (Two or more races graduates after SY 2029-30","StateName","Kentucky")+GETPIVOTDATA("Students",'[1]Race &amp; Ethnicity'!$A$4,"SchoolYear","2035-36","RaceEthnicity","White","Projection","Projection","StateName","Kentucky")</f>
        <v>#REF!</v>
      </c>
    </row>
    <row r="15" spans="1:76">
      <c r="A15" s="173" t="s">
        <v>39</v>
      </c>
      <c r="B15" s="98">
        <v>26238</v>
      </c>
      <c r="C15" s="95">
        <f t="shared" si="6"/>
        <v>27365</v>
      </c>
      <c r="D15" s="97">
        <v>28492</v>
      </c>
      <c r="E15" s="97">
        <v>28823</v>
      </c>
      <c r="F15" s="97">
        <v>35122</v>
      </c>
      <c r="G15" s="97">
        <v>39269</v>
      </c>
      <c r="H15" s="95">
        <f t="shared" si="5"/>
        <v>40143.4</v>
      </c>
      <c r="I15" s="97">
        <f t="shared" si="5"/>
        <v>41017.800000000003</v>
      </c>
      <c r="J15" s="97">
        <f t="shared" si="5"/>
        <v>41892.200000000004</v>
      </c>
      <c r="K15" s="97">
        <f t="shared" si="5"/>
        <v>42766.600000000006</v>
      </c>
      <c r="L15" s="97">
        <v>43641</v>
      </c>
      <c r="M15" s="97">
        <v>44446</v>
      </c>
      <c r="N15" s="99">
        <v>45563</v>
      </c>
      <c r="O15" s="97">
        <v>45704</v>
      </c>
      <c r="P15" s="99">
        <v>46808</v>
      </c>
      <c r="Q15" s="97">
        <v>47691</v>
      </c>
      <c r="R15" s="127">
        <v>47446</v>
      </c>
      <c r="S15" s="127">
        <v>48219</v>
      </c>
      <c r="T15" s="127">
        <v>47183</v>
      </c>
      <c r="U15" s="127">
        <v>46861</v>
      </c>
      <c r="V15" s="127">
        <v>46297</v>
      </c>
      <c r="W15" s="97">
        <v>46199</v>
      </c>
      <c r="X15" s="98">
        <v>39895</v>
      </c>
      <c r="Y15" s="98">
        <v>39539</v>
      </c>
      <c r="Z15" s="98">
        <v>39400</v>
      </c>
      <c r="AA15" s="98">
        <v>39742</v>
      </c>
      <c r="AB15" s="98">
        <v>39965</v>
      </c>
      <c r="AC15" s="97">
        <v>39084</v>
      </c>
      <c r="AD15" s="98">
        <v>39058</v>
      </c>
      <c r="AE15" s="98">
        <v>37198</v>
      </c>
      <c r="AF15" s="98">
        <v>36053</v>
      </c>
      <c r="AG15" s="98">
        <v>33489</v>
      </c>
      <c r="AH15" s="98">
        <v>32247</v>
      </c>
      <c r="AI15" s="97">
        <v>33682</v>
      </c>
      <c r="AJ15" s="97">
        <v>34822</v>
      </c>
      <c r="AK15" s="97">
        <v>36480</v>
      </c>
      <c r="AL15" s="97">
        <v>36467</v>
      </c>
      <c r="AM15" s="97">
        <v>36495</v>
      </c>
      <c r="AN15" s="97">
        <v>38030</v>
      </c>
      <c r="AO15" s="97">
        <v>37802</v>
      </c>
      <c r="AP15" s="97">
        <v>38430</v>
      </c>
      <c r="AQ15" s="97">
        <v>38314</v>
      </c>
      <c r="AR15" s="97">
        <v>37905</v>
      </c>
      <c r="AS15" s="97">
        <v>37610</v>
      </c>
      <c r="AT15" s="97">
        <v>37019</v>
      </c>
      <c r="AU15" s="97">
        <v>36009</v>
      </c>
      <c r="AV15" s="97">
        <v>33275</v>
      </c>
      <c r="AW15" s="97">
        <v>34274</v>
      </c>
      <c r="AX15" s="97">
        <v>34401</v>
      </c>
      <c r="AY15" s="97">
        <v>35622</v>
      </c>
      <c r="AZ15" s="97">
        <v>36573</v>
      </c>
      <c r="BA15" s="97">
        <v>35844</v>
      </c>
      <c r="BB15" s="97">
        <v>36675</v>
      </c>
      <c r="BC15" s="97">
        <v>37508</v>
      </c>
      <c r="BD15" s="99">
        <v>37814.74</v>
      </c>
      <c r="BE15" s="99">
        <v>37175.200000000004</v>
      </c>
      <c r="BF15" s="99">
        <v>36575.723999999995</v>
      </c>
      <c r="BG15" s="99">
        <v>40291</v>
      </c>
      <c r="BH15" s="99">
        <v>43362</v>
      </c>
      <c r="BI15" s="99">
        <v>42918</v>
      </c>
      <c r="BJ15" s="99">
        <f>51800-'NCES-Private Grads-all races'!BF14</f>
        <v>43030</v>
      </c>
      <c r="BK15" s="180">
        <v>39558.232312692096</v>
      </c>
      <c r="BL15" s="181">
        <v>40949.023701392034</v>
      </c>
      <c r="BM15" s="180">
        <v>40036.652288021731</v>
      </c>
      <c r="BN15" s="180">
        <v>39947.890245513947</v>
      </c>
      <c r="BO15" s="180">
        <v>38652.561959579427</v>
      </c>
      <c r="BP15" s="180">
        <v>38270.925006437137</v>
      </c>
      <c r="BQ15" s="180">
        <v>38661.848903352751</v>
      </c>
      <c r="BR15" s="180">
        <v>38983.659387598826</v>
      </c>
      <c r="BS15" s="180">
        <v>39809.953124527106</v>
      </c>
      <c r="BT15" s="177" t="e">
        <f>GETPIVOTDATA("Students",'[1]Race &amp; Ethnicity'!$A$4,"SchoolYear","2032-33","RaceEthnicity","American Indian/Alaska Native","Projection","Projection","StateName","Louisiana")+GETPIVOTDATA("Students",'[1]Race &amp; Ethnicity'!$A$4,"SchoolYear","2032-33","RaceEthnicity","Asian/Pacific Islander (Combined)","Projection","Projection","StateName","Louisiana")+GETPIVOTDATA("Students",'[1]Race &amp; Ethnicity'!$A$4,"SchoolYear","2032-33","RaceEthnicity","Black","Projection","Projection","StateName","Louisiana")+GETPIVOTDATA("Students",'[1]Race &amp; Ethnicity'!$A$4,"SchoolYear","2032-33","RaceEthnicity","Hispanic (any race)","Projection","Projection","StateName","Louisiana")+GETPIVOTDATA("Students",'[1]Race &amp; Ethnicity'!$A$4,"SchoolYear","2032-33","RaceEthnicity","Two or More Races","Projection","Estimate (Two or more races graduates after SY 2029-30","StateName","Louisiana")+GETPIVOTDATA("Students",'[1]Race &amp; Ethnicity'!$A$4,"SchoolYear","2032-33","RaceEthnicity","White","Projection","Projection","StateName","Louisiana")</f>
        <v>#REF!</v>
      </c>
      <c r="BU15" s="177" t="e">
        <f>GETPIVOTDATA("Students",'[1]Race &amp; Ethnicity'!$A$4,"SchoolYear","2033-34","RaceEthnicity","American Indian/Alaska Native","Projection","Projection","StateName","Louisiana")+GETPIVOTDATA("Students",'[1]Race &amp; Ethnicity'!$A$4,"SchoolYear","2033-34","RaceEthnicity","Asian/Pacific Islander (Combined)","Projection","Projection","StateName","Louisiana")+GETPIVOTDATA("Students",'[1]Race &amp; Ethnicity'!$A$4,"SchoolYear","2033-34","RaceEthnicity","Black","Projection","Projection","StateName","Louisiana")+GETPIVOTDATA("Students",'[1]Race &amp; Ethnicity'!$A$4,"SchoolYear","2033-34","RaceEthnicity","Hispanic (any race)","Projection","Projection","StateName","Louisiana")+GETPIVOTDATA("Students",'[1]Race &amp; Ethnicity'!$A$4,"SchoolYear","2033-34","RaceEthnicity","Two or More Races","Projection","Estimate (Two or more races graduates after SY 2029-30","StateName","Louisiana")+GETPIVOTDATA("Students",'[1]Race &amp; Ethnicity'!$A$4,"SchoolYear","2033-34","RaceEthnicity","White","Projection","Projection","StateName","Louisiana")</f>
        <v>#REF!</v>
      </c>
      <c r="BV15" t="e">
        <f>GETPIVOTDATA("Students",'[1]Race &amp; Ethnicity'!$A$4,"SchoolYear","2034-35","RaceEthnicity","American Indian/Alaska Native","Projection","Projection","StateName","Louisiana")+GETPIVOTDATA("Students",'[1]Race &amp; Ethnicity'!$A$4,"SchoolYear","2034-35","RaceEthnicity","Asian/Pacific Islander (Combined)","Projection","Projection","StateName","Louisiana")+GETPIVOTDATA("Students",'[1]Race &amp; Ethnicity'!$A$4,"SchoolYear","2034-35","RaceEthnicity","Black","Projection","Projection","StateName","Louisiana")+GETPIVOTDATA("Students",'[1]Race &amp; Ethnicity'!$A$4,"SchoolYear","2034-35","RaceEthnicity","Hispanic (any race)","Projection","Projection","StateName","Louisiana")+GETPIVOTDATA("Students",'[1]Race &amp; Ethnicity'!$A$4,"SchoolYear","2034-35","RaceEthnicity","Two or More Races","Projection","Estimate (Two or more races graduates after SY 2029-30","StateName","Louisiana")+GETPIVOTDATA("Students",'[1]Race &amp; Ethnicity'!$A$4,"SchoolYear","2034-35","RaceEthnicity","White","Projection","Projection","StateName","Louisiana")</f>
        <v>#REF!</v>
      </c>
      <c r="BW15" t="e">
        <f>GETPIVOTDATA("Students",'[1]Race &amp; Ethnicity'!$A$4,"SchoolYear","2035-36","RaceEthnicity","American Indian/Alaska Native","Projection","Projection","StateName","Louisiana")+GETPIVOTDATA("Students",'[1]Race &amp; Ethnicity'!$A$4,"SchoolYear","2035-36","RaceEthnicity","Asian/Pacific Islander (Combined)","Projection","Projection","StateName","Louisiana")+GETPIVOTDATA("Students",'[1]Race &amp; Ethnicity'!$A$4,"SchoolYear","2035-36","RaceEthnicity","Black","StateName","Louisiana")+GETPIVOTDATA("Students",'[1]Race &amp; Ethnicity'!$A$4,"SchoolYear","2035-36","RaceEthnicity","Hispanic (any race)","Projection","Projection","StateName","Louisiana")+GETPIVOTDATA("Students",'[1]Race &amp; Ethnicity'!$A$4,"SchoolYear","2035-36","RaceEthnicity","Two or More Races","Projection","Estimate (Two or more races graduates after SY 2029-30","StateName","Louisiana")+GETPIVOTDATA("Students",'[1]Race &amp; Ethnicity'!$A$4,"SchoolYear","2035-36","RaceEthnicity","White","Projection","Projection","StateName","Louisiana")</f>
        <v>#REF!</v>
      </c>
    </row>
    <row r="16" spans="1:76">
      <c r="A16" s="173" t="s">
        <v>40</v>
      </c>
      <c r="B16" s="98">
        <v>23854</v>
      </c>
      <c r="C16" s="95">
        <f t="shared" si="6"/>
        <v>25146</v>
      </c>
      <c r="D16" s="97">
        <v>26438</v>
      </c>
      <c r="E16" s="97">
        <v>28815</v>
      </c>
      <c r="F16" s="97">
        <v>34494</v>
      </c>
      <c r="G16" s="97">
        <v>41405</v>
      </c>
      <c r="H16" s="95">
        <f t="shared" si="5"/>
        <v>42416.4</v>
      </c>
      <c r="I16" s="97">
        <f t="shared" si="5"/>
        <v>43427.8</v>
      </c>
      <c r="J16" s="97">
        <f t="shared" si="5"/>
        <v>44439.200000000004</v>
      </c>
      <c r="K16" s="97">
        <f t="shared" si="5"/>
        <v>45450.600000000006</v>
      </c>
      <c r="L16" s="97">
        <v>46462</v>
      </c>
      <c r="M16" s="97">
        <v>48219</v>
      </c>
      <c r="N16" s="99">
        <v>50370</v>
      </c>
      <c r="O16" s="97">
        <v>52813</v>
      </c>
      <c r="P16" s="99">
        <v>54128</v>
      </c>
      <c r="Q16" s="97">
        <v>55408</v>
      </c>
      <c r="R16" s="127">
        <v>56063</v>
      </c>
      <c r="S16" s="127">
        <v>55503</v>
      </c>
      <c r="T16" s="127">
        <v>55455</v>
      </c>
      <c r="U16" s="127">
        <v>55114</v>
      </c>
      <c r="V16" s="127">
        <v>54270</v>
      </c>
      <c r="W16" s="97">
        <v>54050</v>
      </c>
      <c r="X16" s="98">
        <v>54621</v>
      </c>
      <c r="Y16" s="98">
        <v>52446</v>
      </c>
      <c r="Z16" s="98">
        <v>50684</v>
      </c>
      <c r="AA16" s="98">
        <v>48299</v>
      </c>
      <c r="AB16" s="98">
        <v>46700</v>
      </c>
      <c r="AC16" s="97">
        <v>46107</v>
      </c>
      <c r="AD16" s="98">
        <v>47175</v>
      </c>
      <c r="AE16" s="98">
        <v>45791</v>
      </c>
      <c r="AF16" s="98">
        <v>41566</v>
      </c>
      <c r="AG16" s="98">
        <v>39014</v>
      </c>
      <c r="AH16" s="98">
        <v>39720</v>
      </c>
      <c r="AI16" s="97">
        <v>39523</v>
      </c>
      <c r="AJ16" s="97">
        <v>39091</v>
      </c>
      <c r="AK16" s="97">
        <v>41387</v>
      </c>
      <c r="AL16" s="97">
        <v>41785</v>
      </c>
      <c r="AM16" s="97">
        <v>42856</v>
      </c>
      <c r="AN16" s="97">
        <v>44555</v>
      </c>
      <c r="AO16" s="97">
        <v>46214</v>
      </c>
      <c r="AP16" s="97">
        <v>47849</v>
      </c>
      <c r="AQ16" s="97">
        <v>49222</v>
      </c>
      <c r="AR16" s="97">
        <v>50881</v>
      </c>
      <c r="AS16" s="97">
        <v>51864</v>
      </c>
      <c r="AT16" s="97">
        <v>52870</v>
      </c>
      <c r="AU16" s="97">
        <v>54170</v>
      </c>
      <c r="AV16" s="97">
        <v>55536</v>
      </c>
      <c r="AW16" s="97">
        <v>57564</v>
      </c>
      <c r="AX16" s="97">
        <v>59171</v>
      </c>
      <c r="AY16" s="97">
        <v>58304</v>
      </c>
      <c r="AZ16" s="97">
        <v>59078</v>
      </c>
      <c r="BA16" s="97">
        <v>58745</v>
      </c>
      <c r="BB16" s="97">
        <v>58811</v>
      </c>
      <c r="BC16" s="97">
        <v>58896</v>
      </c>
      <c r="BD16" s="99">
        <v>56071.008000000009</v>
      </c>
      <c r="BE16" s="99">
        <v>55484.25</v>
      </c>
      <c r="BF16" s="99">
        <v>55578.695999999996</v>
      </c>
      <c r="BG16" s="99">
        <v>57258</v>
      </c>
      <c r="BH16" s="99">
        <v>58017</v>
      </c>
      <c r="BI16" s="99">
        <v>57409</v>
      </c>
      <c r="BJ16" s="99">
        <f>70710-'NCES-Private Grads-all races'!BF15</f>
        <v>59650</v>
      </c>
      <c r="BK16" s="180">
        <v>62039.052873689667</v>
      </c>
      <c r="BL16" s="181">
        <v>64134.139692324439</v>
      </c>
      <c r="BM16" s="180">
        <v>62345.730077548586</v>
      </c>
      <c r="BN16" s="180">
        <v>60539.211270897555</v>
      </c>
      <c r="BO16" s="180">
        <v>59600.30869838332</v>
      </c>
      <c r="BP16" s="180">
        <v>59079.760534937246</v>
      </c>
      <c r="BQ16" s="180">
        <v>59007.221130836238</v>
      </c>
      <c r="BR16" s="180">
        <v>58152.963948354874</v>
      </c>
      <c r="BS16" s="180">
        <v>59734.686587213953</v>
      </c>
      <c r="BT16" s="177" t="e">
        <f>GETPIVOTDATA("Students",'[1]Race &amp; Ethnicity'!$A$4,"SchoolYear","2032-33","RaceEthnicity","American Indian/Alaska Native","Projection","Projection","StateName","Maryland")+GETPIVOTDATA("Students",'[1]Race &amp; Ethnicity'!$A$4,"SchoolYear","2032-33","RaceEthnicity","Asian/Pacific Islander (Combined)","Projection","Projection","StateName","Maryland")+GETPIVOTDATA("Students",'[1]Race &amp; Ethnicity'!$A$4,"SchoolYear","2032-33","RaceEthnicity","Black","Projection","Projection","StateName","Maryland")+GETPIVOTDATA("Students",'[1]Race &amp; Ethnicity'!$A$4,"SchoolYear","2032-33","RaceEthnicity","Hispanic (any race)","Projection","Projection","StateName","Maryland")+GETPIVOTDATA("Students",'[1]Race &amp; Ethnicity'!$A$4,"SchoolYear","2032-33","RaceEthnicity","Two or More Races","Projection","Estimate (Two or more races graduates after SY 2029-30","StateName","Maryland")+GETPIVOTDATA("Students",'[1]Race &amp; Ethnicity'!$A$4,"SchoolYear","2032-33","RaceEthnicity","White","Projection","Projection","StateName","Maryland")</f>
        <v>#REF!</v>
      </c>
      <c r="BU16" s="177" t="e">
        <f>GETPIVOTDATA("Students",'[1]Race &amp; Ethnicity'!$A$4,"SchoolYear","2033-34","RaceEthnicity","American Indian/Alaska Native","Projection","Projection","StateName","Maryland")+GETPIVOTDATA("Students",'[1]Race &amp; Ethnicity'!$A$4,"SchoolYear","2033-34","RaceEthnicity","Asian/Pacific Islander (Combined)","Projection","Projection","StateName","Maryland")+GETPIVOTDATA("Students",'[1]Race &amp; Ethnicity'!$A$4,"SchoolYear","2033-34","RaceEthnicity","Black","Projection","Projection","StateName","Maryland")+GETPIVOTDATA("Students",'[1]Race &amp; Ethnicity'!$A$4,"SchoolYear","2033-34","RaceEthnicity","Hispanic (any race)","Projection","Projection","StateName","Maryland")+GETPIVOTDATA("Students",'[1]Race &amp; Ethnicity'!$A$4,"SchoolYear","2033-34","RaceEthnicity","Two or More Races","Projection","Estimate (Two or more races graduates after SY 2029-30","StateName","Maryland")+GETPIVOTDATA("Students",'[1]Race &amp; Ethnicity'!$A$4,"SchoolYear","2033-34","RaceEthnicity","White","Projection","Projection","StateName","Maryland")</f>
        <v>#REF!</v>
      </c>
      <c r="BV16" t="e">
        <f>GETPIVOTDATA("Students",'[1]Race &amp; Ethnicity'!$A$4,"SchoolYear","2034-35","RaceEthnicity","American Indian/Alaska Native","Projection","Projection","StateName","Maryland")+GETPIVOTDATA("Students",'[1]Race &amp; Ethnicity'!$A$4,"SchoolYear","2034-35","RaceEthnicity","Asian/Pacific Islander (Combined)","Projection","Projection","StateName","Maryland")+GETPIVOTDATA("Students",'[1]Race &amp; Ethnicity'!$A$4,"SchoolYear","2034-35","RaceEthnicity","Black","Projection","Projection","StateName","Maryland")+GETPIVOTDATA("Students",'[1]Race &amp; Ethnicity'!$A$4,"SchoolYear","2034-35","RaceEthnicity","Hispanic (any race)","Projection","Projection","StateName","Maryland")+GETPIVOTDATA("Students",'[1]Race &amp; Ethnicity'!$A$4,"SchoolYear","2034-35","RaceEthnicity","Two or More Races","Projection","Estimate (Two or more races graduates after SY 2029-30","StateName","Maryland")+GETPIVOTDATA("Students",'[1]Race &amp; Ethnicity'!$A$4,"SchoolYear","2034-35","RaceEthnicity","White","Projection","Projection","StateName","Maryland")</f>
        <v>#REF!</v>
      </c>
      <c r="BW16" t="e">
        <f>GETPIVOTDATA("Students",'[1]Race &amp; Ethnicity'!$A$4,"SchoolYear","2035-36","RaceEthnicity","American Indian/Alaska Native","Projection","Projection","StateName","Maryland")+GETPIVOTDATA("Students",'[1]Race &amp; Ethnicity'!$A$4,"SchoolYear","2035-36","RaceEthnicity","Asian/Pacific Islander (Combined)","Projection","Projection","StateName","Maryland")+GETPIVOTDATA("Students",'[1]Race &amp; Ethnicity'!$A$4,"SchoolYear","2035-36","RaceEthnicity","Black","StateName","Maryland")+GETPIVOTDATA("Students",'[1]Race &amp; Ethnicity'!$A$4,"SchoolYear","2035-36","RaceEthnicity","Hispanic (any race)","Projection","Projection","StateName","Maryland")+GETPIVOTDATA("Students",'[1]Race &amp; Ethnicity'!$A$4,"SchoolYear","2035-36","RaceEthnicity","Two or More Races","Projection","Estimate (Two or more races graduates after SY 2029-30","StateName","Maryland")+GETPIVOTDATA("Students",'[1]Race &amp; Ethnicity'!$A$4,"SchoolYear","2035-36","RaceEthnicity","White","Projection","Projection","StateName","Maryland")</f>
        <v>#REF!</v>
      </c>
    </row>
    <row r="17" spans="1:75">
      <c r="A17" s="173" t="s">
        <v>41</v>
      </c>
      <c r="B17" s="98">
        <v>19473</v>
      </c>
      <c r="C17" s="95">
        <f t="shared" si="6"/>
        <v>20783.5</v>
      </c>
      <c r="D17" s="97">
        <v>22094</v>
      </c>
      <c r="E17" s="97">
        <v>20841</v>
      </c>
      <c r="F17" s="97">
        <v>23709</v>
      </c>
      <c r="G17" s="97">
        <v>26690</v>
      </c>
      <c r="H17" s="95">
        <f t="shared" si="5"/>
        <v>27282.6</v>
      </c>
      <c r="I17" s="97">
        <f t="shared" si="5"/>
        <v>27875.199999999997</v>
      </c>
      <c r="J17" s="97">
        <f t="shared" si="5"/>
        <v>28467.799999999996</v>
      </c>
      <c r="K17" s="97">
        <f t="shared" si="5"/>
        <v>29060.399999999994</v>
      </c>
      <c r="L17" s="97">
        <v>29653</v>
      </c>
      <c r="M17" s="97">
        <v>26729</v>
      </c>
      <c r="N17" s="99">
        <v>26529</v>
      </c>
      <c r="O17" s="97">
        <v>26128</v>
      </c>
      <c r="P17" s="99">
        <v>25664</v>
      </c>
      <c r="Q17" s="97">
        <v>27243</v>
      </c>
      <c r="R17" s="127">
        <v>27617</v>
      </c>
      <c r="S17" s="127">
        <v>27639</v>
      </c>
      <c r="T17" s="127">
        <v>28186</v>
      </c>
      <c r="U17" s="127">
        <v>28168</v>
      </c>
      <c r="V17" s="127">
        <v>27586</v>
      </c>
      <c r="W17" s="97">
        <v>28083</v>
      </c>
      <c r="X17" s="98">
        <v>28023</v>
      </c>
      <c r="Y17" s="98">
        <v>27271</v>
      </c>
      <c r="Z17" s="98">
        <v>26324</v>
      </c>
      <c r="AA17" s="98">
        <v>25315</v>
      </c>
      <c r="AB17" s="98">
        <v>25134</v>
      </c>
      <c r="AC17" s="97">
        <v>26201</v>
      </c>
      <c r="AD17" s="98">
        <v>27896</v>
      </c>
      <c r="AE17" s="98">
        <v>24241</v>
      </c>
      <c r="AF17" s="98">
        <v>25182</v>
      </c>
      <c r="AG17" s="98">
        <v>23665</v>
      </c>
      <c r="AH17" s="98">
        <v>22912</v>
      </c>
      <c r="AI17" s="97">
        <v>23597</v>
      </c>
      <c r="AJ17" s="97">
        <v>23379</v>
      </c>
      <c r="AK17" s="97">
        <v>23837</v>
      </c>
      <c r="AL17" s="97">
        <v>23032</v>
      </c>
      <c r="AM17" s="97">
        <v>23388</v>
      </c>
      <c r="AN17" s="97">
        <v>24502</v>
      </c>
      <c r="AO17" s="97">
        <v>24198</v>
      </c>
      <c r="AP17" s="97">
        <v>24232</v>
      </c>
      <c r="AQ17" s="97">
        <v>23748</v>
      </c>
      <c r="AR17" s="97">
        <v>23740</v>
      </c>
      <c r="AS17" s="97">
        <v>23810</v>
      </c>
      <c r="AT17" s="97">
        <v>23735</v>
      </c>
      <c r="AU17" s="97">
        <v>23523</v>
      </c>
      <c r="AV17" s="97">
        <v>23848</v>
      </c>
      <c r="AW17" s="97">
        <v>24186</v>
      </c>
      <c r="AX17" s="97">
        <v>24795</v>
      </c>
      <c r="AY17" s="97">
        <v>24505</v>
      </c>
      <c r="AZ17" s="97">
        <v>25478</v>
      </c>
      <c r="BA17" s="97">
        <v>27321</v>
      </c>
      <c r="BB17" s="97">
        <v>26158</v>
      </c>
      <c r="BC17" s="97">
        <v>26502</v>
      </c>
      <c r="BD17" s="99">
        <v>25911.415999999997</v>
      </c>
      <c r="BE17" s="99">
        <v>26940.420000000002</v>
      </c>
      <c r="BF17" s="99">
        <v>27954.018</v>
      </c>
      <c r="BG17" s="99">
        <v>28490</v>
      </c>
      <c r="BH17" s="99">
        <v>29599</v>
      </c>
      <c r="BI17" s="99">
        <v>29133</v>
      </c>
      <c r="BJ17" s="99">
        <f>31310-'NCES-Private Grads-all races'!BF16</f>
        <v>28110</v>
      </c>
      <c r="BK17" s="180">
        <v>25354.792805008688</v>
      </c>
      <c r="BL17" s="181">
        <v>26856.063320020945</v>
      </c>
      <c r="BM17" s="180">
        <v>25770.260685373447</v>
      </c>
      <c r="BN17" s="180">
        <v>24530.491527277234</v>
      </c>
      <c r="BO17" s="180">
        <v>22853.210705717687</v>
      </c>
      <c r="BP17" s="180">
        <v>22692.720048534164</v>
      </c>
      <c r="BQ17" s="180">
        <v>22083.835097215517</v>
      </c>
      <c r="BR17" s="180">
        <v>22079.168530790979</v>
      </c>
      <c r="BS17" s="180">
        <v>22124.105759211732</v>
      </c>
      <c r="BT17" s="177" t="e">
        <f>GETPIVOTDATA("Students",'[1]Race &amp; Ethnicity'!$A$4,"SchoolYear","2032-33","RaceEthnicity","American Indian/Alaska Native","Projection","Projection","StateName","Mississippi")+GETPIVOTDATA("Students",'[1]Race &amp; Ethnicity'!$A$4,"SchoolYear","2032-33","RaceEthnicity","Asian/Pacific Islander (Combined)","Projection","Projection","StateName","Mississippi")+GETPIVOTDATA("Students",'[1]Race &amp; Ethnicity'!$A$4,"SchoolYear","2032-33","RaceEthnicity","Black","Projection","Projection","StateName","Mississippi")+GETPIVOTDATA("Students",'[1]Race &amp; Ethnicity'!$A$4,"SchoolYear","2032-33","RaceEthnicity","Hispanic (any race)","Projection","Projection","StateName","Mississippi")+GETPIVOTDATA("Students",'[1]Race &amp; Ethnicity'!$A$4,"SchoolYear","2032-33","RaceEthnicity","Two or More Races","Projection","Estimate (Two or more races graduates after SY 2029-30","StateName","Mississippi")+GETPIVOTDATA("Students",'[1]Race &amp; Ethnicity'!$A$4,"SchoolYear","2032-33","RaceEthnicity","White","Projection","Projection","StateName","Mississippi")</f>
        <v>#REF!</v>
      </c>
      <c r="BU17" s="177" t="e">
        <f>GETPIVOTDATA("Students",'[1]Race &amp; Ethnicity'!$A$4,"SchoolYear","2033-34","RaceEthnicity","American Indian/Alaska Native","Projection","Projection","StateName","Mississippi")+GETPIVOTDATA("Students",'[1]Race &amp; Ethnicity'!$A$4,"SchoolYear","2033-34","RaceEthnicity","Asian/Pacific Islander (Combined)","Projection","Projection","StateName","Mississippi")+GETPIVOTDATA("Students",'[1]Race &amp; Ethnicity'!$A$4,"SchoolYear","2033-34","RaceEthnicity","Black","Projection","Projection","StateName","Mississippi")+GETPIVOTDATA("Students",'[1]Race &amp; Ethnicity'!$A$4,"SchoolYear","2033-34","RaceEthnicity","Hispanic (any race)","Projection","Projection","StateName","Mississippi")+GETPIVOTDATA("Students",'[1]Race &amp; Ethnicity'!$A$4,"SchoolYear","2033-34","RaceEthnicity","Two or More Races","Projection","Estimate (Two or more races graduates after SY 2029-30","StateName","Mississippi")+GETPIVOTDATA("Students",'[1]Race &amp; Ethnicity'!$A$4,"SchoolYear","2033-34","RaceEthnicity","White","Projection","Projection","StateName","Mississippi")</f>
        <v>#REF!</v>
      </c>
      <c r="BV17" t="e">
        <f>GETPIVOTDATA("Students",'[1]Race &amp; Ethnicity'!$A$4,"SchoolYear","2034-35","RaceEthnicity","American Indian/Alaska Native","Projection","Projection","StateName","Mississippi")+GETPIVOTDATA("Students",'[1]Race &amp; Ethnicity'!$A$4,"SchoolYear","2034-35","RaceEthnicity","Asian/Pacific Islander (Combined)","Projection","Projection","StateName","Mississippi")+GETPIVOTDATA("Students",'[1]Race &amp; Ethnicity'!$A$4,"SchoolYear","2034-35","RaceEthnicity","Black","Projection","Projection","StateName","Mississippi")+GETPIVOTDATA("Students",'[1]Race &amp; Ethnicity'!$A$4,"SchoolYear","2034-35","RaceEthnicity","Hispanic (any race)","Projection","Projection","StateName","Mississippi")+GETPIVOTDATA("Students",'[1]Race &amp; Ethnicity'!$A$4,"SchoolYear","2034-35","RaceEthnicity","Two or More Races","Projection","Estimate (Two or more races graduates after SY 2029-30","StateName","Mississippi")+GETPIVOTDATA("Students",'[1]Race &amp; Ethnicity'!$A$4,"SchoolYear","2034-35","RaceEthnicity","White","Projection","Projection","StateName","Mississippi")</f>
        <v>#REF!</v>
      </c>
      <c r="BW17" t="e">
        <f>GETPIVOTDATA("Students",'[1]Race &amp; Ethnicity'!$A$4,"SchoolYear","2035-36","RaceEthnicity","American Indian/Alaska Native","Projection","Projection","StateName","Mississippi")+GETPIVOTDATA("Students",'[1]Race &amp; Ethnicity'!$A$4,"SchoolYear","2035-36","RaceEthnicity","Asian/Pacific Islander (Combined)","Projection","Projection","StateName","Mississippi")+GETPIVOTDATA("Students",'[1]Race &amp; Ethnicity'!$A$4,"SchoolYear","2035-36","RaceEthnicity","Black","StateName","Mississippi")+GETPIVOTDATA("Students",'[1]Race &amp; Ethnicity'!$A$4,"SchoolYear","2035-36","RaceEthnicity","Hispanic (any race)","Projection","Projection","StateName","Mississippi")+GETPIVOTDATA("Students",'[1]Race &amp; Ethnicity'!$A$4,"SchoolYear","2035-36","RaceEthnicity","Two or More Races","Projection","Estimate (Two or more races graduates after SY 2029-30","StateName","Mississippi")+GETPIVOTDATA("Students",'[1]Race &amp; Ethnicity'!$A$4,"SchoolYear","2035-36","RaceEthnicity","White","Projection","Projection","StateName","Mississippi")</f>
        <v>#REF!</v>
      </c>
    </row>
    <row r="18" spans="1:75">
      <c r="A18" s="173" t="s">
        <v>42</v>
      </c>
      <c r="B18" s="98">
        <v>45271</v>
      </c>
      <c r="C18" s="95">
        <f t="shared" si="6"/>
        <v>46669.5</v>
      </c>
      <c r="D18" s="97">
        <v>48068</v>
      </c>
      <c r="E18" s="97">
        <v>48456</v>
      </c>
      <c r="F18" s="97">
        <v>53408</v>
      </c>
      <c r="G18" s="97">
        <v>67520</v>
      </c>
      <c r="H18" s="95">
        <f t="shared" si="5"/>
        <v>67793.2</v>
      </c>
      <c r="I18" s="97">
        <f t="shared" si="5"/>
        <v>68066.399999999994</v>
      </c>
      <c r="J18" s="97">
        <f t="shared" si="5"/>
        <v>68339.599999999991</v>
      </c>
      <c r="K18" s="97">
        <f t="shared" si="5"/>
        <v>68612.799999999988</v>
      </c>
      <c r="L18" s="97">
        <v>68886</v>
      </c>
      <c r="M18" s="97">
        <v>68821</v>
      </c>
      <c r="N18" s="99">
        <v>70242</v>
      </c>
      <c r="O18" s="97">
        <v>69322</v>
      </c>
      <c r="P18" s="99">
        <v>69062</v>
      </c>
      <c r="Q18" s="97">
        <v>70094</v>
      </c>
      <c r="R18" s="127">
        <v>70498</v>
      </c>
      <c r="S18" s="127">
        <v>71146</v>
      </c>
      <c r="T18" s="127">
        <v>70953</v>
      </c>
      <c r="U18" s="127">
        <v>72464</v>
      </c>
      <c r="V18" s="127">
        <v>70862</v>
      </c>
      <c r="W18" s="97">
        <v>69395</v>
      </c>
      <c r="X18" s="98">
        <v>71210</v>
      </c>
      <c r="Y18" s="98">
        <v>68783</v>
      </c>
      <c r="Z18" s="98">
        <v>66803</v>
      </c>
      <c r="AA18" s="98">
        <v>67245</v>
      </c>
      <c r="AB18" s="98">
        <v>65865</v>
      </c>
      <c r="AC18" s="97">
        <v>65421</v>
      </c>
      <c r="AD18" s="98">
        <v>67836</v>
      </c>
      <c r="AE18" s="98">
        <v>69970</v>
      </c>
      <c r="AF18" s="98">
        <v>64782</v>
      </c>
      <c r="AG18" s="98">
        <v>62792</v>
      </c>
      <c r="AH18" s="98">
        <v>61157</v>
      </c>
      <c r="AI18" s="97">
        <v>60460</v>
      </c>
      <c r="AJ18" s="97">
        <v>57738</v>
      </c>
      <c r="AK18" s="97">
        <v>59540</v>
      </c>
      <c r="AL18" s="97">
        <v>57014</v>
      </c>
      <c r="AM18" s="97">
        <v>57886</v>
      </c>
      <c r="AN18" s="97">
        <v>59292</v>
      </c>
      <c r="AO18" s="97">
        <v>60081</v>
      </c>
      <c r="AP18" s="97">
        <v>62140</v>
      </c>
      <c r="AQ18" s="97">
        <v>63288</v>
      </c>
      <c r="AR18" s="97">
        <v>65955</v>
      </c>
      <c r="AS18" s="97">
        <v>69696</v>
      </c>
      <c r="AT18" s="97">
        <v>72126</v>
      </c>
      <c r="AU18" s="97">
        <v>75010</v>
      </c>
      <c r="AV18" s="97">
        <v>76710</v>
      </c>
      <c r="AW18" s="97">
        <v>76031</v>
      </c>
      <c r="AX18" s="97">
        <v>83307</v>
      </c>
      <c r="AY18" s="97">
        <v>86712</v>
      </c>
      <c r="AZ18" s="97">
        <v>88704</v>
      </c>
      <c r="BA18" s="97">
        <v>89892</v>
      </c>
      <c r="BB18" s="97">
        <v>93977</v>
      </c>
      <c r="BC18" s="97">
        <v>94339</v>
      </c>
      <c r="BD18" s="99">
        <v>92050.046000000002</v>
      </c>
      <c r="BE18" s="99">
        <v>94564.887999999992</v>
      </c>
      <c r="BF18" s="99">
        <v>97690.634000000005</v>
      </c>
      <c r="BG18" s="99">
        <v>102946</v>
      </c>
      <c r="BH18" s="99">
        <v>106750</v>
      </c>
      <c r="BI18" s="99">
        <v>108368</v>
      </c>
      <c r="BJ18" s="99">
        <f>114580-'NCES-Private Grads-all races'!BF17</f>
        <v>106840</v>
      </c>
      <c r="BK18" s="180">
        <v>100087.84350376068</v>
      </c>
      <c r="BL18" s="181">
        <v>102604.50000146092</v>
      </c>
      <c r="BM18" s="180">
        <v>103160.52483510881</v>
      </c>
      <c r="BN18" s="180">
        <v>99358.515920786609</v>
      </c>
      <c r="BO18" s="180">
        <v>96084.162339112867</v>
      </c>
      <c r="BP18" s="180">
        <v>94477.236441304151</v>
      </c>
      <c r="BQ18" s="180">
        <v>94058.010974221601</v>
      </c>
      <c r="BR18" s="180">
        <v>93445.915006855037</v>
      </c>
      <c r="BS18" s="180">
        <v>94946.817193165567</v>
      </c>
      <c r="BT18" s="177" t="e">
        <f>GETPIVOTDATA("Students",'[1]Race &amp; Ethnicity'!$A$4,"SchoolYear","2032-33","RaceEthnicity","American Indian/Alaska Native","Projection","Projection","StateName","North Carolina")+GETPIVOTDATA("Students",'[1]Race &amp; Ethnicity'!$A$4,"SchoolYear","2032-33","RaceEthnicity","Asian/Pacific Islander (Combined)","Projection","Projection","StateName","North Carolina")+GETPIVOTDATA("Students",'[1]Race &amp; Ethnicity'!$A$4,"SchoolYear","2032-33","RaceEthnicity","Black","Projection","Projection","StateName","North Carolina")+GETPIVOTDATA("Students",'[1]Race &amp; Ethnicity'!$A$4,"SchoolYear","2032-33","RaceEthnicity","Hispanic (any race)","Projection","Projection","StateName","North Carolina")+GETPIVOTDATA("Students",'[1]Race &amp; Ethnicity'!$A$4,"SchoolYear","2032-33","RaceEthnicity","Two or More Races","Projection","Estimate (Two or more races graduates after SY 2029-30","StateName","North Carolina")+GETPIVOTDATA("Students",'[1]Race &amp; Ethnicity'!$A$4,"SchoolYear","2032-33","RaceEthnicity","White","Projection","Projection","StateName","North Carolina")</f>
        <v>#REF!</v>
      </c>
      <c r="BU18" s="177" t="e">
        <f>GETPIVOTDATA("Students",'[1]Race &amp; Ethnicity'!$A$4,"SchoolYear","2033-34","RaceEthnicity","American Indian/Alaska Native","Projection","Projection","StateName","North Carolina")+GETPIVOTDATA("Students",'[1]Race &amp; Ethnicity'!$A$4,"SchoolYear","2033-34","RaceEthnicity","Asian/Pacific Islander (Combined)","Projection","Projection","StateName","North Carolina")+GETPIVOTDATA("Students",'[1]Race &amp; Ethnicity'!$A$4,"SchoolYear","2033-34","RaceEthnicity","Black","Projection","Projection","StateName","North Carolina")+GETPIVOTDATA("Students",'[1]Race &amp; Ethnicity'!$A$4,"SchoolYear","2033-34","RaceEthnicity","Hispanic (any race)","Projection","Projection","StateName","North Carolina")+GETPIVOTDATA("Students",'[1]Race &amp; Ethnicity'!$A$4,"SchoolYear","2033-34","RaceEthnicity","Two or More Races","Projection","Estimate (Two or more races graduates after SY 2029-30","StateName","North Carolina")+GETPIVOTDATA("Students",'[1]Race &amp; Ethnicity'!$A$4,"SchoolYear","2033-34","RaceEthnicity","White","Projection","Projection","StateName","North Carolina")</f>
        <v>#REF!</v>
      </c>
      <c r="BV18" t="e">
        <f>GETPIVOTDATA("Students",'[1]Race &amp; Ethnicity'!$A$4,"SchoolYear","2034-35","RaceEthnicity","American Indian/Alaska Native","Projection","Projection","StateName","North Carolina")+GETPIVOTDATA("Students",'[1]Race &amp; Ethnicity'!$A$4,"SchoolYear","2034-35","RaceEthnicity","Asian/Pacific Islander (Combined)","Projection","Projection","StateName","North Carolina")+GETPIVOTDATA("Students",'[1]Race &amp; Ethnicity'!$A$4,"SchoolYear","2034-35","RaceEthnicity","Black","Projection","Projection","StateName","North Carolina")+GETPIVOTDATA("Students",'[1]Race &amp; Ethnicity'!$A$4,"SchoolYear","2034-35","RaceEthnicity","Hispanic (any race)","Projection","Projection","StateName","North Carolina")+GETPIVOTDATA("Students",'[1]Race &amp; Ethnicity'!$A$4,"SchoolYear","2034-35","RaceEthnicity","Two or More Races","Projection","Estimate (Two or more races graduates after SY 2029-30","StateName","North Carolina")+GETPIVOTDATA("Students",'[1]Race &amp; Ethnicity'!$A$4,"SchoolYear","2034-35","RaceEthnicity","White","Projection","Projection","StateName","North Carolina")</f>
        <v>#REF!</v>
      </c>
      <c r="BW18" t="e">
        <f>GETPIVOTDATA("Students",'[1]Race &amp; Ethnicity'!$A$4,"SchoolYear","2035-36","RaceEthnicity","American Indian/Alaska Native","Projection","Projection","StateName","North Carolina")+GETPIVOTDATA("Students",'[1]Race &amp; Ethnicity'!$A$4,"SchoolYear","2035-36","RaceEthnicity","Asian/Pacific Islander (Combined)","Projection","Projection","StateName","North Carolina")+GETPIVOTDATA("Students",'[1]Race &amp; Ethnicity'!$A$4,"SchoolYear","2035-36","RaceEthnicity","Black","StateName","North Carolina")+GETPIVOTDATA("Students",'[1]Race &amp; Ethnicity'!$A$4,"SchoolYear","2035-36","RaceEthnicity","Hispanic (any race)","Projection","Projection","StateName","North Carolina")+GETPIVOTDATA("Students",'[1]Race &amp; Ethnicity'!$A$4,"SchoolYear","2035-36","RaceEthnicity","Two or More Races","Projection","Estimate (Two or more races graduates after SY 2029-30","StateName","North Carolina")+GETPIVOTDATA("Students",'[1]Race &amp; Ethnicity'!$A$4,"SchoolYear","2035-36","RaceEthnicity","White","Projection","Projection","StateName","North Carolina")</f>
        <v>#REF!</v>
      </c>
    </row>
    <row r="19" spans="1:75">
      <c r="A19" s="173" t="s">
        <v>43</v>
      </c>
      <c r="B19" s="98">
        <v>26478</v>
      </c>
      <c r="C19" s="95">
        <f t="shared" si="6"/>
        <v>26765</v>
      </c>
      <c r="D19" s="97">
        <v>27052</v>
      </c>
      <c r="E19" s="97">
        <v>26249</v>
      </c>
      <c r="F19" s="97">
        <v>29939</v>
      </c>
      <c r="G19" s="97">
        <v>35668</v>
      </c>
      <c r="H19" s="95">
        <f t="shared" si="5"/>
        <v>35793</v>
      </c>
      <c r="I19" s="97">
        <f t="shared" si="5"/>
        <v>35918</v>
      </c>
      <c r="J19" s="97">
        <f t="shared" si="5"/>
        <v>36043</v>
      </c>
      <c r="K19" s="97">
        <f t="shared" si="5"/>
        <v>36168</v>
      </c>
      <c r="L19" s="97">
        <v>36293</v>
      </c>
      <c r="M19" s="97">
        <v>38062</v>
      </c>
      <c r="N19" s="99">
        <v>38409</v>
      </c>
      <c r="O19" s="97">
        <v>37349</v>
      </c>
      <c r="P19" s="99">
        <v>36770</v>
      </c>
      <c r="Q19" s="97">
        <v>37809</v>
      </c>
      <c r="R19" s="127">
        <v>37663</v>
      </c>
      <c r="S19" s="127">
        <v>38577</v>
      </c>
      <c r="T19" s="127">
        <v>39005</v>
      </c>
      <c r="U19" s="127">
        <v>39225</v>
      </c>
      <c r="V19" s="127">
        <v>39305</v>
      </c>
      <c r="W19" s="97">
        <v>38875</v>
      </c>
      <c r="X19" s="98">
        <v>38347</v>
      </c>
      <c r="Y19" s="98">
        <v>36799</v>
      </c>
      <c r="Z19" s="98">
        <v>35254</v>
      </c>
      <c r="AA19" s="98">
        <v>34626</v>
      </c>
      <c r="AB19" s="98">
        <v>34452</v>
      </c>
      <c r="AC19" s="97">
        <v>35514</v>
      </c>
      <c r="AD19" s="98">
        <v>36145</v>
      </c>
      <c r="AE19" s="98">
        <v>36773</v>
      </c>
      <c r="AF19" s="98">
        <v>35606</v>
      </c>
      <c r="AG19" s="98">
        <v>33007</v>
      </c>
      <c r="AH19" s="98">
        <v>32670</v>
      </c>
      <c r="AI19" s="97">
        <v>30542</v>
      </c>
      <c r="AJ19" s="97">
        <v>31872</v>
      </c>
      <c r="AK19" s="97">
        <v>33319</v>
      </c>
      <c r="AL19" s="97">
        <v>33060</v>
      </c>
      <c r="AM19" s="97">
        <v>33536</v>
      </c>
      <c r="AN19" s="97">
        <v>35213</v>
      </c>
      <c r="AO19" s="97">
        <v>36556</v>
      </c>
      <c r="AP19" s="97">
        <v>37646</v>
      </c>
      <c r="AQ19" s="97">
        <v>37458</v>
      </c>
      <c r="AR19" s="97">
        <v>36852</v>
      </c>
      <c r="AS19" s="97">
        <v>36694</v>
      </c>
      <c r="AT19" s="97">
        <v>36799</v>
      </c>
      <c r="AU19" s="97">
        <v>36227</v>
      </c>
      <c r="AV19" s="97">
        <v>36497</v>
      </c>
      <c r="AW19" s="97">
        <v>37100</v>
      </c>
      <c r="AX19" s="97">
        <v>37630</v>
      </c>
      <c r="AY19" s="97">
        <v>37219</v>
      </c>
      <c r="AZ19" s="97">
        <v>38503</v>
      </c>
      <c r="BA19" s="97">
        <v>37744</v>
      </c>
      <c r="BB19" s="97">
        <v>37305</v>
      </c>
      <c r="BC19" s="97">
        <v>37033</v>
      </c>
      <c r="BD19" s="99">
        <v>36239.967000000004</v>
      </c>
      <c r="BE19" s="99">
        <v>37344.449999999997</v>
      </c>
      <c r="BF19" s="99">
        <v>39008.063999999998</v>
      </c>
      <c r="BG19" s="99">
        <v>42202</v>
      </c>
      <c r="BH19" s="99">
        <v>41825</v>
      </c>
      <c r="BI19" s="99">
        <v>43464</v>
      </c>
      <c r="BJ19" s="99">
        <f>45120-'NCES-Private Grads-all races'!BF18</f>
        <v>43150</v>
      </c>
      <c r="BK19" s="180">
        <v>41944.113373750959</v>
      </c>
      <c r="BL19" s="181">
        <v>43491.45826535693</v>
      </c>
      <c r="BM19" s="180">
        <v>43280.582679971587</v>
      </c>
      <c r="BN19" s="180">
        <v>43060.521773407381</v>
      </c>
      <c r="BO19" s="180">
        <v>41956.722115620141</v>
      </c>
      <c r="BP19" s="180">
        <v>41143.301130589018</v>
      </c>
      <c r="BQ19" s="180">
        <v>41590.873227363591</v>
      </c>
      <c r="BR19" s="180">
        <v>42084.902808300198</v>
      </c>
      <c r="BS19" s="180">
        <v>42050.927697450948</v>
      </c>
      <c r="BT19" s="177" t="e">
        <f>GETPIVOTDATA("Students",'[1]Race &amp; Ethnicity'!$A$4,"SchoolYear","2032-33","RaceEthnicity","American Indian/Alaska Native","Projection","Projection","StateName","Oklahoma")+GETPIVOTDATA("Students",'[1]Race &amp; Ethnicity'!$A$4,"SchoolYear","2032-33","RaceEthnicity","Asian/Pacific Islander (Combined)","Projection","Projection","StateName","Oklahoma")+GETPIVOTDATA("Students",'[1]Race &amp; Ethnicity'!$A$4,"SchoolYear","2032-33","RaceEthnicity","Black","Projection","Projection","StateName","Oklahoma")+GETPIVOTDATA("Students",'[1]Race &amp; Ethnicity'!$A$4,"SchoolYear","2032-33","RaceEthnicity","Hispanic (any race)","Projection","Projection","StateName","Oklahoma")+GETPIVOTDATA("Students",'[1]Race &amp; Ethnicity'!$A$4,"SchoolYear","2032-33","RaceEthnicity","Two or More Races","Projection","Estimate (Two or more races graduates after SY 2029-30","StateName","Oklahoma")+GETPIVOTDATA("Students",'[1]Race &amp; Ethnicity'!$A$4,"SchoolYear","2032-33","RaceEthnicity","White","Projection","Projection","StateName","Oklahoma")</f>
        <v>#REF!</v>
      </c>
      <c r="BU19" s="177" t="e">
        <f>GETPIVOTDATA("Students",'[1]Race &amp; Ethnicity'!$A$4,"SchoolYear","2033-34","RaceEthnicity","American Indian/Alaska Native","Projection","Projection","StateName","Oklahoma")+GETPIVOTDATA("Students",'[1]Race &amp; Ethnicity'!$A$4,"SchoolYear","2033-34","RaceEthnicity","Asian/Pacific Islander (Combined)","Projection","Projection","StateName","Oklahoma")+GETPIVOTDATA("Students",'[1]Race &amp; Ethnicity'!$A$4,"SchoolYear","2033-34","RaceEthnicity","Black","Projection","Projection","StateName","Oklahoma")+GETPIVOTDATA("Students",'[1]Race &amp; Ethnicity'!$A$4,"SchoolYear","2033-34","RaceEthnicity","Hispanic (any race)","Projection","Projection","StateName","Oklahoma")+GETPIVOTDATA("Students",'[1]Race &amp; Ethnicity'!$A$4,"SchoolYear","2033-34","RaceEthnicity","Two or More Races","Projection","Estimate (Two or more races graduates after SY 2029-30","StateName","Oklahoma")+GETPIVOTDATA("Students",'[1]Race &amp; Ethnicity'!$A$4,"SchoolYear","2033-34","RaceEthnicity","White","Projection","Projection","StateName","Oklahoma")</f>
        <v>#REF!</v>
      </c>
      <c r="BV19" t="e">
        <f>GETPIVOTDATA("Students",'[1]Race &amp; Ethnicity'!$A$4,"SchoolYear","2034-35","RaceEthnicity","American Indian/Alaska Native","Projection","Projection","StateName","Oklahoma")+GETPIVOTDATA("Students",'[1]Race &amp; Ethnicity'!$A$4,"SchoolYear","2034-35","RaceEthnicity","Asian/Pacific Islander (Combined)","Projection","Projection","StateName","Oklahoma")+GETPIVOTDATA("Students",'[1]Race &amp; Ethnicity'!$A$4,"SchoolYear","2034-35","RaceEthnicity","Black","Projection","Projection","StateName","Oklahoma")+GETPIVOTDATA("Students",'[1]Race &amp; Ethnicity'!$A$4,"SchoolYear","2034-35","RaceEthnicity","Hispanic (any race)","Projection","Projection","StateName","Oklahoma")+GETPIVOTDATA("Students",'[1]Race &amp; Ethnicity'!$A$4,"SchoolYear","2034-35","RaceEthnicity","Two or More Races","Projection","Estimate (Two or more races graduates after SY 2029-30","StateName","Oklahoma")+GETPIVOTDATA("Students",'[1]Race &amp; Ethnicity'!$A$4,"SchoolYear","2034-35","RaceEthnicity","White","Projection","Projection","StateName","Oklahoma")</f>
        <v>#REF!</v>
      </c>
      <c r="BW19" t="e">
        <f>GETPIVOTDATA("Students",'[1]Race &amp; Ethnicity'!$A$4,"SchoolYear","2035-36","RaceEthnicity","American Indian/Alaska Native","Projection","Projection","StateName","Oklahoma")+GETPIVOTDATA("Students",'[1]Race &amp; Ethnicity'!$A$4,"SchoolYear","2035-36","RaceEthnicity","Asian/Pacific Islander (Combined)","Projection","Projection","StateName","Oklahoma")+GETPIVOTDATA("Students",'[1]Race &amp; Ethnicity'!$A$4,"SchoolYear","2035-36","RaceEthnicity","Black","StateName","Oklahoma")+GETPIVOTDATA("Students",'[1]Race &amp; Ethnicity'!$A$4,"SchoolYear","2035-36","RaceEthnicity","Hispanic (any race)","Projection","Projection","StateName","Oklahoma")+GETPIVOTDATA("Students",'[1]Race &amp; Ethnicity'!$A$4,"SchoolYear","2035-36","RaceEthnicity","Two or More Races","Projection","Estimate (Two or more races graduates after SY 2029-30","StateName","Oklahoma")+GETPIVOTDATA("Students",'[1]Race &amp; Ethnicity'!$A$4,"SchoolYear","2035-36","RaceEthnicity","White","Projection","Projection","StateName","Oklahoma")</f>
        <v>#REF!</v>
      </c>
    </row>
    <row r="20" spans="1:75">
      <c r="A20" s="173" t="s">
        <v>44</v>
      </c>
      <c r="B20" s="98">
        <v>22291</v>
      </c>
      <c r="C20" s="95">
        <f t="shared" si="6"/>
        <v>23110</v>
      </c>
      <c r="D20" s="97">
        <v>23929</v>
      </c>
      <c r="E20" s="97">
        <v>24310</v>
      </c>
      <c r="F20" s="97">
        <v>27889</v>
      </c>
      <c r="G20" s="97">
        <v>33192</v>
      </c>
      <c r="H20" s="95">
        <f t="shared" si="5"/>
        <v>33541.599999999999</v>
      </c>
      <c r="I20" s="97">
        <f t="shared" si="5"/>
        <v>33891.199999999997</v>
      </c>
      <c r="J20" s="97">
        <f t="shared" si="5"/>
        <v>34240.799999999996</v>
      </c>
      <c r="K20" s="97">
        <f t="shared" si="5"/>
        <v>34590.399999999994</v>
      </c>
      <c r="L20" s="97">
        <v>34940</v>
      </c>
      <c r="M20" s="97">
        <v>35992</v>
      </c>
      <c r="N20" s="99">
        <v>37071</v>
      </c>
      <c r="O20" s="97">
        <v>36150</v>
      </c>
      <c r="P20" s="100">
        <v>38837</v>
      </c>
      <c r="Q20" s="97">
        <v>38312</v>
      </c>
      <c r="R20" s="127">
        <v>38073</v>
      </c>
      <c r="S20" s="127">
        <v>37780</v>
      </c>
      <c r="T20" s="127">
        <v>38735</v>
      </c>
      <c r="U20" s="127">
        <v>38079</v>
      </c>
      <c r="V20" s="127">
        <v>38697</v>
      </c>
      <c r="W20" s="97">
        <v>38347</v>
      </c>
      <c r="X20" s="98">
        <v>38647</v>
      </c>
      <c r="Y20" s="98">
        <v>37570</v>
      </c>
      <c r="Z20" s="98">
        <v>36800</v>
      </c>
      <c r="AA20" s="98">
        <v>34500</v>
      </c>
      <c r="AB20" s="98">
        <v>34500</v>
      </c>
      <c r="AC20" s="97">
        <v>36000</v>
      </c>
      <c r="AD20" s="98">
        <v>36113</v>
      </c>
      <c r="AE20" s="98">
        <v>37020</v>
      </c>
      <c r="AF20" s="98">
        <v>32483</v>
      </c>
      <c r="AG20" s="98">
        <v>32999</v>
      </c>
      <c r="AH20" s="98">
        <v>30698</v>
      </c>
      <c r="AI20" s="97">
        <v>31297</v>
      </c>
      <c r="AJ20" s="97">
        <v>30603</v>
      </c>
      <c r="AK20" s="97">
        <v>30680</v>
      </c>
      <c r="AL20" s="97">
        <v>30182</v>
      </c>
      <c r="AM20" s="97">
        <v>30829</v>
      </c>
      <c r="AN20" s="97">
        <v>31373</v>
      </c>
      <c r="AO20" s="97">
        <v>31495</v>
      </c>
      <c r="AP20" s="97">
        <v>31617</v>
      </c>
      <c r="AQ20" s="97">
        <v>30026</v>
      </c>
      <c r="AR20" s="97">
        <v>31302</v>
      </c>
      <c r="AS20" s="97">
        <v>32482</v>
      </c>
      <c r="AT20" s="97">
        <v>33235</v>
      </c>
      <c r="AU20" s="97">
        <v>33439</v>
      </c>
      <c r="AV20" s="97">
        <v>34970</v>
      </c>
      <c r="AW20" s="97">
        <v>35108</v>
      </c>
      <c r="AX20" s="97">
        <v>35303</v>
      </c>
      <c r="AY20" s="97">
        <v>39114</v>
      </c>
      <c r="AZ20" s="97">
        <v>40438</v>
      </c>
      <c r="BA20" s="97">
        <v>40708</v>
      </c>
      <c r="BB20" s="97">
        <v>41442</v>
      </c>
      <c r="BC20" s="97">
        <v>42246</v>
      </c>
      <c r="BD20" s="99">
        <v>41564.690999999999</v>
      </c>
      <c r="BE20" s="99">
        <v>43378.06</v>
      </c>
      <c r="BF20" s="99">
        <v>44884.84</v>
      </c>
      <c r="BG20" s="99">
        <v>48566</v>
      </c>
      <c r="BH20" s="99">
        <v>50623</v>
      </c>
      <c r="BI20" s="99">
        <v>49290</v>
      </c>
      <c r="BJ20" s="99">
        <f>52840-'NCES-Private Grads-all races'!BF19</f>
        <v>49330</v>
      </c>
      <c r="BK20" s="180">
        <v>45892.676274277299</v>
      </c>
      <c r="BL20" s="181">
        <v>47740.153997783818</v>
      </c>
      <c r="BM20" s="180">
        <v>48016.063645275652</v>
      </c>
      <c r="BN20" s="180">
        <v>46049.034548116113</v>
      </c>
      <c r="BO20" s="180">
        <v>44210.058600288823</v>
      </c>
      <c r="BP20" s="180">
        <v>43381.688323393631</v>
      </c>
      <c r="BQ20" s="180">
        <v>43326.239366534814</v>
      </c>
      <c r="BR20" s="180">
        <v>43073.702285313375</v>
      </c>
      <c r="BS20" s="180">
        <v>43684.833282714419</v>
      </c>
      <c r="BT20" s="177" t="e">
        <f>GETPIVOTDATA("Students",'[1]Race &amp; Ethnicity'!$A$4,"SchoolYear","2032-33","RaceEthnicity","American Indian/Alaska Native","Projection","Projection","StateName","South Carolina")+GETPIVOTDATA("Students",'[1]Race &amp; Ethnicity'!$A$4,"SchoolYear","2032-33","RaceEthnicity","Asian/Pacific Islander (Combined)","Projection","Projection","StateName","South Carolina")+GETPIVOTDATA("Students",'[1]Race &amp; Ethnicity'!$A$4,"SchoolYear","2032-33","RaceEthnicity","Black","Projection","Projection","StateName","South Carolina")+GETPIVOTDATA("Students",'[1]Race &amp; Ethnicity'!$A$4,"SchoolYear","2032-33","RaceEthnicity","Hispanic (any race)","Projection","Projection","StateName","South Carolina")+GETPIVOTDATA("Students",'[1]Race &amp; Ethnicity'!$A$4,"SchoolYear","2032-33","RaceEthnicity","Two or More Races","Projection","Estimate (Two or more races graduates after SY 2029-30","StateName","South Carolina")+GETPIVOTDATA("Students",'[1]Race &amp; Ethnicity'!$A$4,"SchoolYear","2032-33","RaceEthnicity","White","Projection","Projection","StateName","South Carolina")</f>
        <v>#REF!</v>
      </c>
      <c r="BU20" s="177" t="e">
        <f>GETPIVOTDATA("Students",'[1]Race &amp; Ethnicity'!$A$4,"SchoolYear","2033-34","RaceEthnicity","American Indian/Alaska Native","Projection","Projection","StateName","South Carolina")+GETPIVOTDATA("Students",'[1]Race &amp; Ethnicity'!$A$4,"SchoolYear","2033-34","RaceEthnicity","Asian/Pacific Islander (Combined)","Projection","Projection","StateName","South Carolina")+GETPIVOTDATA("Students",'[1]Race &amp; Ethnicity'!$A$4,"SchoolYear","2033-34","RaceEthnicity","Black","Projection","Projection","StateName","South Carolina")+GETPIVOTDATA("Students",'[1]Race &amp; Ethnicity'!$A$4,"SchoolYear","2033-34","RaceEthnicity","Hispanic (any race)","Projection","Projection","StateName","South Carolina")+GETPIVOTDATA("Students",'[1]Race &amp; Ethnicity'!$A$4,"SchoolYear","2033-34","RaceEthnicity","Two or More Races","Projection","Estimate (Two or more races graduates after SY 2029-30","StateName","South Carolina")+GETPIVOTDATA("Students",'[1]Race &amp; Ethnicity'!$A$4,"SchoolYear","2033-34","RaceEthnicity","White","Projection","Projection","StateName","South Carolina")</f>
        <v>#REF!</v>
      </c>
      <c r="BV20" t="e">
        <f>GETPIVOTDATA("Students",'[1]Race &amp; Ethnicity'!$A$4,"SchoolYear","2034-35","RaceEthnicity","American Indian/Alaska Native","Projection","Projection","StateName","South Carolina")+GETPIVOTDATA("Students",'[1]Race &amp; Ethnicity'!$A$4,"SchoolYear","2034-35","RaceEthnicity","Asian/Pacific Islander (Combined)","Projection","Projection","StateName","South Carolina")+GETPIVOTDATA("Students",'[1]Race &amp; Ethnicity'!$A$4,"SchoolYear","2034-35","RaceEthnicity","Black","Projection","Projection","StateName","South Carolina")+GETPIVOTDATA("Students",'[1]Race &amp; Ethnicity'!$A$4,"SchoolYear","2034-35","RaceEthnicity","Hispanic (any race)","Projection","Projection","StateName","South Carolina")+GETPIVOTDATA("Students",'[1]Race &amp; Ethnicity'!$A$4,"SchoolYear","2034-35","RaceEthnicity","Two or More Races","Projection","Estimate (Two or more races graduates after SY 2029-30","StateName","South Carolina")+GETPIVOTDATA("Students",'[1]Race &amp; Ethnicity'!$A$4,"SchoolYear","2034-35","RaceEthnicity","White","Projection","Projection","StateName","South Carolina")</f>
        <v>#REF!</v>
      </c>
      <c r="BW20" t="e">
        <f>GETPIVOTDATA("Students",'[1]Race &amp; Ethnicity'!$A$4,"SchoolYear","2035-36","RaceEthnicity","American Indian/Alaska Native","Projection","Projection","StateName","South Carolina")+GETPIVOTDATA("Students",'[1]Race &amp; Ethnicity'!$A$4,"SchoolYear","2035-36","RaceEthnicity","Asian/Pacific Islander (Combined)","Projection","Projection","StateName","South Carolina")+GETPIVOTDATA("Students",'[1]Race &amp; Ethnicity'!$A$4,"SchoolYear","2035-36","RaceEthnicity","Black","StateName","South Carolina")+GETPIVOTDATA("Students",'[1]Race &amp; Ethnicity'!$A$4,"SchoolYear","2035-36","RaceEthnicity","Hispanic (any race)","Projection","Projection","StateName","South Carolina")+GETPIVOTDATA("Students",'[1]Race &amp; Ethnicity'!$A$4,"SchoolYear","2035-36","RaceEthnicity","Two or More Races","Projection","Estimate (Two or more races graduates after SY 2029-30","StateName","South Carolina")+GETPIVOTDATA("Students",'[1]Race &amp; Ethnicity'!$A$4,"SchoolYear","2035-36","RaceEthnicity","White","Projection","Projection","StateName","South Carolina")</f>
        <v>#REF!</v>
      </c>
    </row>
    <row r="21" spans="1:75">
      <c r="A21" s="173" t="s">
        <v>45</v>
      </c>
      <c r="B21" s="98">
        <v>32593</v>
      </c>
      <c r="C21" s="95">
        <f t="shared" si="6"/>
        <v>33147</v>
      </c>
      <c r="D21" s="97">
        <v>33701</v>
      </c>
      <c r="E21" s="97">
        <v>34407</v>
      </c>
      <c r="F21" s="97">
        <v>40104</v>
      </c>
      <c r="G21" s="97">
        <v>46541</v>
      </c>
      <c r="H21" s="95">
        <f t="shared" si="5"/>
        <v>47032.800000000003</v>
      </c>
      <c r="I21" s="97">
        <f t="shared" si="5"/>
        <v>47524.600000000006</v>
      </c>
      <c r="J21" s="97">
        <f t="shared" si="5"/>
        <v>48016.400000000009</v>
      </c>
      <c r="K21" s="97">
        <f t="shared" si="5"/>
        <v>48508.200000000012</v>
      </c>
      <c r="L21" s="97">
        <v>49000</v>
      </c>
      <c r="M21" s="97">
        <v>50500</v>
      </c>
      <c r="N21" s="99">
        <v>51622</v>
      </c>
      <c r="O21" s="97">
        <v>52115</v>
      </c>
      <c r="P21" s="99">
        <v>49641</v>
      </c>
      <c r="Q21" s="97">
        <v>49363</v>
      </c>
      <c r="R21" s="127">
        <v>50118</v>
      </c>
      <c r="S21" s="127">
        <v>49290</v>
      </c>
      <c r="T21" s="127">
        <v>47515</v>
      </c>
      <c r="U21" s="127">
        <v>47403</v>
      </c>
      <c r="V21" s="127">
        <v>49845</v>
      </c>
      <c r="W21" s="97">
        <v>50648</v>
      </c>
      <c r="X21" s="98">
        <v>51447</v>
      </c>
      <c r="Y21" s="98">
        <v>46704</v>
      </c>
      <c r="Z21" s="98">
        <v>44711</v>
      </c>
      <c r="AA21" s="98">
        <v>43293</v>
      </c>
      <c r="AB21" s="98">
        <v>43263</v>
      </c>
      <c r="AC21" s="97">
        <v>44731</v>
      </c>
      <c r="AD21" s="98">
        <v>47904</v>
      </c>
      <c r="AE21" s="98">
        <v>48553</v>
      </c>
      <c r="AF21" s="98">
        <v>46094</v>
      </c>
      <c r="AG21" s="98">
        <v>44847</v>
      </c>
      <c r="AH21" s="98">
        <v>45138</v>
      </c>
      <c r="AI21" s="97">
        <v>44166</v>
      </c>
      <c r="AJ21" s="97">
        <v>40643</v>
      </c>
      <c r="AK21" s="97">
        <v>43556</v>
      </c>
      <c r="AL21" s="97">
        <v>43792</v>
      </c>
      <c r="AM21" s="97">
        <v>41617</v>
      </c>
      <c r="AN21" s="97">
        <v>39866</v>
      </c>
      <c r="AO21" s="97">
        <v>40823</v>
      </c>
      <c r="AP21" s="97">
        <v>41568</v>
      </c>
      <c r="AQ21" s="97">
        <v>40642</v>
      </c>
      <c r="AR21" s="97">
        <v>40894</v>
      </c>
      <c r="AS21" s="97">
        <v>44113</v>
      </c>
      <c r="AT21" s="97">
        <v>46096</v>
      </c>
      <c r="AU21" s="97">
        <v>47967</v>
      </c>
      <c r="AV21" s="97">
        <v>50880</v>
      </c>
      <c r="AW21" s="97">
        <v>54502</v>
      </c>
      <c r="AX21" s="97">
        <v>57486</v>
      </c>
      <c r="AY21" s="97">
        <v>60368</v>
      </c>
      <c r="AZ21" s="97">
        <v>62408</v>
      </c>
      <c r="BA21" s="97">
        <v>61862</v>
      </c>
      <c r="BB21" s="97">
        <v>62454</v>
      </c>
      <c r="BC21" s="97">
        <v>61323</v>
      </c>
      <c r="BD21" s="99">
        <v>60606.616000000002</v>
      </c>
      <c r="BE21" s="99">
        <v>61480.775999999998</v>
      </c>
      <c r="BF21" s="99">
        <v>63165.105000000003</v>
      </c>
      <c r="BG21" s="99">
        <v>64824</v>
      </c>
      <c r="BH21" s="99">
        <v>64742</v>
      </c>
      <c r="BI21" s="99">
        <v>64946</v>
      </c>
      <c r="BJ21" s="99">
        <f>72130-'NCES-Private Grads-all races'!BF20</f>
        <v>64690</v>
      </c>
      <c r="BK21" s="180">
        <v>63779.955253209766</v>
      </c>
      <c r="BL21" s="181">
        <v>64590.170453363025</v>
      </c>
      <c r="BM21" s="180">
        <v>64983.321626543904</v>
      </c>
      <c r="BN21" s="180">
        <v>62457.003189319679</v>
      </c>
      <c r="BO21" s="180">
        <v>60207.051501027257</v>
      </c>
      <c r="BP21" s="180">
        <v>60166.999766637964</v>
      </c>
      <c r="BQ21" s="180">
        <v>60729.673454251533</v>
      </c>
      <c r="BR21" s="180">
        <v>60564.56735209476</v>
      </c>
      <c r="BS21" s="180">
        <v>61785.430539993016</v>
      </c>
      <c r="BT21" s="177" t="e">
        <f>GETPIVOTDATA("Students",'[1]Race &amp; Ethnicity'!$A$4,"SchoolYear","2032-33","RaceEthnicity","American Indian/Alaska Native","Projection","Projection","StateName","Tennessee")+GETPIVOTDATA("Students",'[1]Race &amp; Ethnicity'!$A$4,"SchoolYear","2032-33","RaceEthnicity","Asian/Pacific Islander (Combined)","Projection","Projection","StateName","Tennessee")+GETPIVOTDATA("Students",'[1]Race &amp; Ethnicity'!$A$4,"SchoolYear","2032-33","RaceEthnicity","Black","Projection","Projection","StateName","Tennessee")+GETPIVOTDATA("Students",'[1]Race &amp; Ethnicity'!$A$4,"SchoolYear","2032-33","RaceEthnicity","Hispanic (any race)","Projection","Projection","StateName","Tennessee")+GETPIVOTDATA("Students",'[1]Race &amp; Ethnicity'!$A$4,"SchoolYear","2032-33","RaceEthnicity","Two or More Races","Projection","Estimate (Two or more races graduates after SY 2029-30","StateName","Tennessee")+GETPIVOTDATA("Students",'[1]Race &amp; Ethnicity'!$A$4,"SchoolYear","2032-33","RaceEthnicity","White","Projection","Projection","StateName","Tennessee")</f>
        <v>#REF!</v>
      </c>
      <c r="BU21" s="177" t="e">
        <f>GETPIVOTDATA("Students",'[1]Race &amp; Ethnicity'!$A$4,"SchoolYear","2033-34","RaceEthnicity","American Indian/Alaska Native","Projection","Projection","StateName","Tennessee")+GETPIVOTDATA("Students",'[1]Race &amp; Ethnicity'!$A$4,"SchoolYear","2033-34","RaceEthnicity","Asian/Pacific Islander (Combined)","Projection","Projection","StateName","Tennessee")+GETPIVOTDATA("Students",'[1]Race &amp; Ethnicity'!$A$4,"SchoolYear","2033-34","RaceEthnicity","Black","Projection","Projection","StateName","Tennessee")+GETPIVOTDATA("Students",'[1]Race &amp; Ethnicity'!$A$4,"SchoolYear","2033-34","RaceEthnicity","Hispanic (any race)","Projection","Projection","StateName","Tennessee")+GETPIVOTDATA("Students",'[1]Race &amp; Ethnicity'!$A$4,"SchoolYear","2033-34","RaceEthnicity","Two or More Races","Projection","Estimate (Two or more races graduates after SY 2029-30","StateName","Tennessee")+GETPIVOTDATA("Students",'[1]Race &amp; Ethnicity'!$A$4,"SchoolYear","2033-34","RaceEthnicity","White","Projection","Projection","StateName","Tennessee")</f>
        <v>#REF!</v>
      </c>
      <c r="BV21" t="e">
        <f>GETPIVOTDATA("Students",'[1]Race &amp; Ethnicity'!$A$4,"SchoolYear","2034-35","RaceEthnicity","American Indian/Alaska Native","Projection","Projection","StateName","Tennessee")+GETPIVOTDATA("Students",'[1]Race &amp; Ethnicity'!$A$4,"SchoolYear","2034-35","RaceEthnicity","Asian/Pacific Islander (Combined)","Projection","Projection","StateName","Tennessee")+GETPIVOTDATA("Students",'[1]Race &amp; Ethnicity'!$A$4,"SchoolYear","2034-35","RaceEthnicity","Black","Projection","Projection","StateName","Tennessee")+GETPIVOTDATA("Students",'[1]Race &amp; Ethnicity'!$A$4,"SchoolYear","2034-35","RaceEthnicity","Hispanic (any race)","Projection","Projection","StateName","Tennessee")+GETPIVOTDATA("Students",'[1]Race &amp; Ethnicity'!$A$4,"SchoolYear","2034-35","RaceEthnicity","Two or More Races","Projection","Estimate (Two or more races graduates after SY 2029-30","StateName","Tennessee")+GETPIVOTDATA("Students",'[1]Race &amp; Ethnicity'!$A$4,"SchoolYear","2034-35","RaceEthnicity","White","Projection","Projection","StateName","Tennessee")</f>
        <v>#REF!</v>
      </c>
      <c r="BW21" t="e">
        <f>GETPIVOTDATA("Students",'[1]Race &amp; Ethnicity'!$A$4,"SchoolYear","2035-36","RaceEthnicity","American Indian/Alaska Native","Projection","Projection","StateName","Tennessee")+GETPIVOTDATA("Students",'[1]Race &amp; Ethnicity'!$A$4,"SchoolYear","2035-36","RaceEthnicity","Asian/Pacific Islander (Combined)","Projection","Projection","StateName","Tennessee")+GETPIVOTDATA("Students",'[1]Race &amp; Ethnicity'!$A$4,"SchoolYear","2035-36","RaceEthnicity","Black","StateName","Tennessee")+GETPIVOTDATA("Students",'[1]Race &amp; Ethnicity'!$A$4,"SchoolYear","2035-36","RaceEthnicity","Hispanic (any race)","Projection","Projection","StateName","Tennessee")+GETPIVOTDATA("Students",'[1]Race &amp; Ethnicity'!$A$4,"SchoolYear","2035-36","RaceEthnicity","Two or More Races","Projection","Estimate (Two or more races graduates after SY 2029-30","StateName","Tennessee")+GETPIVOTDATA("Students",'[1]Race &amp; Ethnicity'!$A$4,"SchoolYear","2035-36","RaceEthnicity","White","Projection","Projection","StateName","Tennessee")</f>
        <v>#REF!</v>
      </c>
    </row>
    <row r="22" spans="1:75">
      <c r="A22" s="173" t="s">
        <v>46</v>
      </c>
      <c r="B22" s="98">
        <v>76500</v>
      </c>
      <c r="C22" s="95">
        <f t="shared" si="6"/>
        <v>81509</v>
      </c>
      <c r="D22" s="97">
        <v>86518</v>
      </c>
      <c r="E22" s="97">
        <v>87640</v>
      </c>
      <c r="F22" s="97">
        <v>97158</v>
      </c>
      <c r="G22" s="97">
        <v>121759</v>
      </c>
      <c r="H22" s="95">
        <f t="shared" si="5"/>
        <v>125216.4</v>
      </c>
      <c r="I22" s="97">
        <f t="shared" si="5"/>
        <v>128673.79999999999</v>
      </c>
      <c r="J22" s="97">
        <f t="shared" si="5"/>
        <v>132131.19999999998</v>
      </c>
      <c r="K22" s="97">
        <f t="shared" si="5"/>
        <v>135588.59999999998</v>
      </c>
      <c r="L22" s="97">
        <v>139046</v>
      </c>
      <c r="M22" s="97">
        <v>148105</v>
      </c>
      <c r="N22" s="99">
        <v>153653</v>
      </c>
      <c r="O22" s="97">
        <v>153529</v>
      </c>
      <c r="P22" s="99">
        <v>156984</v>
      </c>
      <c r="Q22" s="97">
        <v>159487</v>
      </c>
      <c r="R22" s="127">
        <v>159855</v>
      </c>
      <c r="S22" s="127">
        <v>163574</v>
      </c>
      <c r="T22" s="127">
        <v>167983</v>
      </c>
      <c r="U22" s="127">
        <v>168518</v>
      </c>
      <c r="V22" s="127">
        <v>171449</v>
      </c>
      <c r="W22" s="97">
        <v>171665</v>
      </c>
      <c r="X22" s="98">
        <v>172085</v>
      </c>
      <c r="Y22" s="98">
        <v>168897</v>
      </c>
      <c r="Z22" s="98">
        <v>161580</v>
      </c>
      <c r="AA22" s="98">
        <v>159234</v>
      </c>
      <c r="AB22" s="98">
        <v>161150</v>
      </c>
      <c r="AC22" s="97">
        <v>168430</v>
      </c>
      <c r="AD22" s="98">
        <v>171436</v>
      </c>
      <c r="AE22" s="98">
        <v>176951</v>
      </c>
      <c r="AF22" s="98">
        <v>172480</v>
      </c>
      <c r="AG22" s="98">
        <v>174306</v>
      </c>
      <c r="AH22" s="98">
        <v>162270</v>
      </c>
      <c r="AI22" s="97">
        <v>160546</v>
      </c>
      <c r="AJ22" s="97">
        <v>163191</v>
      </c>
      <c r="AK22" s="97">
        <v>170322</v>
      </c>
      <c r="AL22" s="97">
        <v>171844</v>
      </c>
      <c r="AM22" s="97">
        <v>181794</v>
      </c>
      <c r="AN22" s="97">
        <v>197186</v>
      </c>
      <c r="AO22" s="97">
        <v>203393</v>
      </c>
      <c r="AP22" s="97">
        <v>212925</v>
      </c>
      <c r="AQ22" s="97">
        <v>215316</v>
      </c>
      <c r="AR22" s="97">
        <v>225167</v>
      </c>
      <c r="AS22" s="97">
        <v>238111</v>
      </c>
      <c r="AT22" s="97">
        <v>244165</v>
      </c>
      <c r="AU22" s="97">
        <v>239717</v>
      </c>
      <c r="AV22" s="97">
        <v>240485</v>
      </c>
      <c r="AW22" s="97">
        <v>241193</v>
      </c>
      <c r="AX22" s="97">
        <v>252121</v>
      </c>
      <c r="AY22" s="97">
        <v>264275</v>
      </c>
      <c r="AZ22" s="97">
        <v>280894</v>
      </c>
      <c r="BA22" s="97">
        <v>290470</v>
      </c>
      <c r="BB22" s="97">
        <v>292531</v>
      </c>
      <c r="BC22" s="97">
        <v>301390</v>
      </c>
      <c r="BD22" s="99">
        <v>294291.538</v>
      </c>
      <c r="BE22" s="99">
        <v>302267.14</v>
      </c>
      <c r="BF22" s="99">
        <v>312459.44399999996</v>
      </c>
      <c r="BG22" s="99">
        <v>334424</v>
      </c>
      <c r="BH22" s="99">
        <v>347893</v>
      </c>
      <c r="BI22" s="99">
        <v>355615</v>
      </c>
      <c r="BJ22" s="99">
        <f>374620-'NCES-Private Grads-all races'!BF21</f>
        <v>355590</v>
      </c>
      <c r="BK22" s="180">
        <v>353780.00480171677</v>
      </c>
      <c r="BL22" s="181">
        <v>363394.83309107966</v>
      </c>
      <c r="BM22" s="180">
        <v>363024.96957638388</v>
      </c>
      <c r="BN22" s="180">
        <v>359907.8616603642</v>
      </c>
      <c r="BO22" s="180">
        <v>345454.38719075959</v>
      </c>
      <c r="BP22" s="180">
        <v>337048.62616495689</v>
      </c>
      <c r="BQ22" s="180">
        <v>342038.66657386796</v>
      </c>
      <c r="BR22" s="180">
        <v>346358.0076452606</v>
      </c>
      <c r="BS22" s="180">
        <v>357463.80158944655</v>
      </c>
      <c r="BT22" s="177" t="e">
        <f>GETPIVOTDATA("Students",'[1]Race &amp; Ethnicity'!$A$4,"SchoolYear","2032-33","RaceEthnicity","American Indian/Alaska Native","Projection","Projection","StateName","Texas")+GETPIVOTDATA("Students",'[1]Race &amp; Ethnicity'!$A$4,"SchoolYear","2032-33","RaceEthnicity","Asian/Pacific Islander (Combined)","Projection","Projection","StateName","Texas")+GETPIVOTDATA("Students",'[1]Race &amp; Ethnicity'!$A$4,"SchoolYear","2032-33","RaceEthnicity","Black","Projection","Projection","StateName","Texas")+GETPIVOTDATA("Students",'[1]Race &amp; Ethnicity'!$A$4,"SchoolYear","2032-33","RaceEthnicity","Hispanic (any race)","Projection","Projection","StateName","Texas")+GETPIVOTDATA("Students",'[1]Race &amp; Ethnicity'!$A$4,"SchoolYear","2032-33","RaceEthnicity","Two or More Races","Projection","Estimate (Two or more races graduates after SY 2029-30","StateName","Texas")+GETPIVOTDATA("Students",'[1]Race &amp; Ethnicity'!$A$4,"SchoolYear","2032-33","RaceEthnicity","White","Projection","Projection","StateName","Texas")</f>
        <v>#REF!</v>
      </c>
      <c r="BU22" s="177" t="e">
        <f>GETPIVOTDATA("Students",'[1]Race &amp; Ethnicity'!$A$4,"SchoolYear","2033-34","RaceEthnicity","American Indian/Alaska Native","Projection","Projection","StateName","Texas")+GETPIVOTDATA("Students",'[1]Race &amp; Ethnicity'!$A$4,"SchoolYear","2033-34","RaceEthnicity","Asian/Pacific Islander (Combined)","Projection","Projection","StateName","Texas")+GETPIVOTDATA("Students",'[1]Race &amp; Ethnicity'!$A$4,"SchoolYear","2033-34","RaceEthnicity","Black","Projection","Projection","StateName","Texas")+GETPIVOTDATA("Students",'[1]Race &amp; Ethnicity'!$A$4,"SchoolYear","2033-34","RaceEthnicity","Hispanic (any race)","Projection","Projection","StateName","Texas")+GETPIVOTDATA("Students",'[1]Race &amp; Ethnicity'!$A$4,"SchoolYear","2033-34","RaceEthnicity","Two or More Races","Projection","Estimate (Two or more races graduates after SY 2029-30","StateName","Texas")+GETPIVOTDATA("Students",'[1]Race &amp; Ethnicity'!$A$4,"SchoolYear","2033-34","RaceEthnicity","White","Projection","Projection","StateName","Texas")</f>
        <v>#REF!</v>
      </c>
      <c r="BV22" t="e">
        <f>GETPIVOTDATA("Students",'[1]Race &amp; Ethnicity'!$A$4,"SchoolYear","2034-35","RaceEthnicity","American Indian/Alaska Native","Projection","Projection","StateName","Texas")+GETPIVOTDATA("Students",'[1]Race &amp; Ethnicity'!$A$4,"SchoolYear","2034-35","RaceEthnicity","Asian/Pacific Islander (Combined)","Projection","Projection","StateName","Texas")+GETPIVOTDATA("Students",'[1]Race &amp; Ethnicity'!$A$4,"SchoolYear","2034-35","RaceEthnicity","Black","Projection","Projection","StateName","Texas")+GETPIVOTDATA("Students",'[1]Race &amp; Ethnicity'!$A$4,"SchoolYear","2034-35","RaceEthnicity","Hispanic (any race)","Projection","Projection","StateName","Texas")+GETPIVOTDATA("Students",'[1]Race &amp; Ethnicity'!$A$4,"SchoolYear","2034-35","RaceEthnicity","Two or More Races","Projection","Estimate (Two or more races graduates after SY 2029-30","StateName","Texas")+GETPIVOTDATA("Students",'[1]Race &amp; Ethnicity'!$A$4,"SchoolYear","2034-35","RaceEthnicity","White","Projection","Projection","StateName","Texas")</f>
        <v>#REF!</v>
      </c>
      <c r="BW22" t="e">
        <f>GETPIVOTDATA("Students",'[1]Race &amp; Ethnicity'!$A$4,"SchoolYear","2035-36","RaceEthnicity","American Indian/Alaska Native","Projection","Projection","StateName","Texas")+GETPIVOTDATA("Students",'[1]Race &amp; Ethnicity'!$A$4,"SchoolYear","2035-36","RaceEthnicity","Asian/Pacific Islander (Combined)","Projection","Projection","StateName","Texas")+GETPIVOTDATA("Students",'[1]Race &amp; Ethnicity'!$A$4,"SchoolYear","2035-36","RaceEthnicity","Black","StateName","Texas")+GETPIVOTDATA("Students",'[1]Race &amp; Ethnicity'!$A$4,"SchoolYear","2035-36","RaceEthnicity","Hispanic (any race)","Projection","Projection","StateName","Texas")+GETPIVOTDATA("Students",'[1]Race &amp; Ethnicity'!$A$4,"SchoolYear","2035-36","RaceEthnicity","Two or More Races","Projection","Estimate (Two or more races graduates after SY 2029-30","StateName","Texas")+GETPIVOTDATA("Students",'[1]Race &amp; Ethnicity'!$A$4,"SchoolYear","2035-36","RaceEthnicity","White","Projection","Projection","StateName","Texas")</f>
        <v>#REF!</v>
      </c>
    </row>
    <row r="23" spans="1:75">
      <c r="A23" s="173" t="s">
        <v>48</v>
      </c>
      <c r="B23" s="98">
        <v>30262</v>
      </c>
      <c r="C23" s="95">
        <f t="shared" si="6"/>
        <v>32247</v>
      </c>
      <c r="D23" s="97">
        <v>34232</v>
      </c>
      <c r="E23" s="97">
        <v>34197</v>
      </c>
      <c r="F23" s="97">
        <v>39173</v>
      </c>
      <c r="G23" s="97">
        <v>49438</v>
      </c>
      <c r="H23" s="95">
        <f t="shared" si="5"/>
        <v>51262.8</v>
      </c>
      <c r="I23" s="97">
        <f t="shared" si="5"/>
        <v>53087.600000000006</v>
      </c>
      <c r="J23" s="97">
        <f t="shared" si="5"/>
        <v>54912.400000000009</v>
      </c>
      <c r="K23" s="97">
        <f t="shared" si="5"/>
        <v>56737.200000000012</v>
      </c>
      <c r="L23" s="97">
        <v>58562</v>
      </c>
      <c r="M23" s="97">
        <v>59672</v>
      </c>
      <c r="N23" s="99">
        <v>62372</v>
      </c>
      <c r="O23" s="97">
        <v>62589</v>
      </c>
      <c r="P23" s="99">
        <v>63846</v>
      </c>
      <c r="Q23" s="97">
        <v>65570</v>
      </c>
      <c r="R23" s="127">
        <v>66061</v>
      </c>
      <c r="S23" s="127">
        <v>66738</v>
      </c>
      <c r="T23" s="127">
        <v>66270</v>
      </c>
      <c r="U23" s="127">
        <v>67027</v>
      </c>
      <c r="V23" s="127">
        <v>66621</v>
      </c>
      <c r="W23" s="97">
        <v>67126</v>
      </c>
      <c r="X23" s="98">
        <v>67809</v>
      </c>
      <c r="Y23" s="98">
        <v>65571</v>
      </c>
      <c r="Z23" s="98">
        <v>62177</v>
      </c>
      <c r="AA23" s="98">
        <v>60959</v>
      </c>
      <c r="AB23" s="98">
        <v>63113</v>
      </c>
      <c r="AC23" s="97">
        <v>65008</v>
      </c>
      <c r="AD23" s="98">
        <v>65688</v>
      </c>
      <c r="AE23" s="98">
        <v>65004</v>
      </c>
      <c r="AF23" s="98">
        <v>60605</v>
      </c>
      <c r="AG23" s="98">
        <v>58441</v>
      </c>
      <c r="AH23" s="98">
        <v>57338</v>
      </c>
      <c r="AI23" s="97">
        <v>56948</v>
      </c>
      <c r="AJ23" s="97">
        <v>56140</v>
      </c>
      <c r="AK23" s="97">
        <v>58260</v>
      </c>
      <c r="AL23" s="97">
        <v>58166</v>
      </c>
      <c r="AM23" s="97">
        <v>60587</v>
      </c>
      <c r="AN23" s="97">
        <v>62738</v>
      </c>
      <c r="AO23" s="97">
        <v>63875</v>
      </c>
      <c r="AP23" s="97">
        <v>65596</v>
      </c>
      <c r="AQ23" s="97">
        <v>66067</v>
      </c>
      <c r="AR23" s="97">
        <v>66519</v>
      </c>
      <c r="AS23" s="97">
        <v>72943</v>
      </c>
      <c r="AT23" s="97">
        <v>72042</v>
      </c>
      <c r="AU23" s="97">
        <v>73667</v>
      </c>
      <c r="AV23" s="97">
        <v>69597</v>
      </c>
      <c r="AW23" s="97">
        <v>73997</v>
      </c>
      <c r="AX23" s="97">
        <v>77369</v>
      </c>
      <c r="AY23" s="97">
        <v>79651</v>
      </c>
      <c r="AZ23" s="97">
        <v>81511</v>
      </c>
      <c r="BA23" s="97">
        <v>82895</v>
      </c>
      <c r="BB23" s="97">
        <v>83336</v>
      </c>
      <c r="BC23" s="97">
        <v>83279</v>
      </c>
      <c r="BD23" s="99">
        <v>80743.274000000005</v>
      </c>
      <c r="BE23" s="99">
        <v>80057.512000000002</v>
      </c>
      <c r="BF23" s="99">
        <v>82502.853000000003</v>
      </c>
      <c r="BG23" s="99">
        <v>85339</v>
      </c>
      <c r="BH23" s="99">
        <v>88211</v>
      </c>
      <c r="BI23" s="99">
        <v>88300</v>
      </c>
      <c r="BJ23" s="99">
        <f>94510-'NCES-Private Grads-all races'!BF22</f>
        <v>86880</v>
      </c>
      <c r="BK23" s="180">
        <v>88411.166050902044</v>
      </c>
      <c r="BL23" s="181">
        <v>90658.711406049217</v>
      </c>
      <c r="BM23" s="180">
        <v>88650.856630942246</v>
      </c>
      <c r="BN23" s="180">
        <v>87137.768042828277</v>
      </c>
      <c r="BO23" s="180">
        <v>85353.16389242727</v>
      </c>
      <c r="BP23" s="180">
        <v>85038.23197810704</v>
      </c>
      <c r="BQ23" s="180">
        <v>85460.80236857108</v>
      </c>
      <c r="BR23" s="180">
        <v>84726.907320882674</v>
      </c>
      <c r="BS23" s="180">
        <v>85656.249118230669</v>
      </c>
      <c r="BT23" s="177" t="e">
        <f>GETPIVOTDATA("Students",'[1]Race &amp; Ethnicity'!$A$4,"SchoolYear","2032-33","RaceEthnicity","American Indian/Alaska Native","Projection","Projection","StateName","Virginia")+GETPIVOTDATA("Students",'[1]Race &amp; Ethnicity'!$A$4,"SchoolYear","2032-33","RaceEthnicity","Asian/Pacific Islander (Combined)","Projection","Projection","StateName","Virginia")+GETPIVOTDATA("Students",'[1]Race &amp; Ethnicity'!$A$4,"SchoolYear","2032-33","RaceEthnicity","Black","Projection","Projection","StateName","Virginia")+GETPIVOTDATA("Students",'[1]Race &amp; Ethnicity'!$A$4,"SchoolYear","2032-33","RaceEthnicity","Hispanic (any race)","Projection","Projection","StateName","Virginia")+GETPIVOTDATA("Students",'[1]Race &amp; Ethnicity'!$A$4,"SchoolYear","2032-33","RaceEthnicity","Two or More Races","Projection","Estimate (Two or more races graduates after SY 2029-30","StateName","Virginia")+GETPIVOTDATA("Students",'[1]Race &amp; Ethnicity'!$A$4,"SchoolYear","2032-33","RaceEthnicity","White","Projection","Projection","StateName","Virginia")</f>
        <v>#REF!</v>
      </c>
      <c r="BU23" s="177" t="e">
        <f>GETPIVOTDATA("Students",'[1]Race &amp; Ethnicity'!$A$4,"SchoolYear","2033-34","RaceEthnicity","American Indian/Alaska Native","Projection","Projection","StateName","Virginia")+GETPIVOTDATA("Students",'[1]Race &amp; Ethnicity'!$A$4,"SchoolYear","2033-34","RaceEthnicity","Asian/Pacific Islander (Combined)","Projection","Projection","StateName","Virginia")+GETPIVOTDATA("Students",'[1]Race &amp; Ethnicity'!$A$4,"SchoolYear","2033-34","RaceEthnicity","Black","Projection","Projection","StateName","Virginia")+GETPIVOTDATA("Students",'[1]Race &amp; Ethnicity'!$A$4,"SchoolYear","2033-34","RaceEthnicity","Hispanic (any race)","Projection","Projection","StateName","Virginia")+GETPIVOTDATA("Students",'[1]Race &amp; Ethnicity'!$A$4,"SchoolYear","2033-34","RaceEthnicity","Two or More Races","Projection","Estimate (Two or more races graduates after SY 2029-30","StateName","Virginia")+GETPIVOTDATA("Students",'[1]Race &amp; Ethnicity'!$A$4,"SchoolYear","2033-34","RaceEthnicity","White","Projection","Projection","StateName","Virginia")</f>
        <v>#REF!</v>
      </c>
      <c r="BV23" t="e">
        <f>GETPIVOTDATA("Students",'[1]Race &amp; Ethnicity'!$A$4,"SchoolYear","2034-35","RaceEthnicity","American Indian/Alaska Native","Projection","Projection","StateName","Virginia")+GETPIVOTDATA("Students",'[1]Race &amp; Ethnicity'!$A$4,"SchoolYear","2034-35","RaceEthnicity","Asian/Pacific Islander (Combined)","Projection","Projection","StateName","Virginia")+GETPIVOTDATA("Students",'[1]Race &amp; Ethnicity'!$A$4,"SchoolYear","2034-35","RaceEthnicity","Black","Projection","Projection","StateName","Virginia")+GETPIVOTDATA("Students",'[1]Race &amp; Ethnicity'!$A$4,"SchoolYear","2034-35","RaceEthnicity","Hispanic (any race)","Projection","Projection","StateName","Virginia")+GETPIVOTDATA("Students",'[1]Race &amp; Ethnicity'!$A$4,"SchoolYear","2034-35","RaceEthnicity","Two or More Races","Projection","Estimate (Two or more races graduates after SY 2029-30","StateName","Virginia")+GETPIVOTDATA("Students",'[1]Race &amp; Ethnicity'!$A$4,"SchoolYear","2034-35","RaceEthnicity","White","Projection","Projection","StateName","Virginia")</f>
        <v>#REF!</v>
      </c>
      <c r="BW23" t="e">
        <f>GETPIVOTDATA("Students",'[1]Race &amp; Ethnicity'!$A$4,"SchoolYear","2035-36","RaceEthnicity","American Indian/Alaska Native","Projection","Projection","StateName","Virginia")+GETPIVOTDATA("Students",'[1]Race &amp; Ethnicity'!$A$4,"SchoolYear","2035-36","RaceEthnicity","Asian/Pacific Islander (Combined)","Projection","Projection","StateName","Virginia")+GETPIVOTDATA("Students",'[1]Race &amp; Ethnicity'!$A$4,"SchoolYear","2035-36","RaceEthnicity","Black","StateName","Virginia")+GETPIVOTDATA("Students",'[1]Race &amp; Ethnicity'!$A$4,"SchoolYear","2035-36","RaceEthnicity","Hispanic (any race)","Projection","Projection","StateName","Virginia")+GETPIVOTDATA("Students",'[1]Race &amp; Ethnicity'!$A$4,"SchoolYear","2035-36","RaceEthnicity","Two or More Races","Projection","Estimate (Two or more races graduates after SY 2029-30","StateName","Virginia")+GETPIVOTDATA("Students",'[1]Race &amp; Ethnicity'!$A$4,"SchoolYear","2035-36","RaceEthnicity","White","Projection","Projection","StateName","Virginia")</f>
        <v>#REF!</v>
      </c>
    </row>
    <row r="24" spans="1:75">
      <c r="A24" s="174" t="s">
        <v>49</v>
      </c>
      <c r="B24" s="434">
        <v>21758</v>
      </c>
      <c r="C24" s="116">
        <f t="shared" si="6"/>
        <v>20642.5</v>
      </c>
      <c r="D24" s="435">
        <v>19527</v>
      </c>
      <c r="E24" s="435">
        <v>19356</v>
      </c>
      <c r="F24" s="435">
        <v>23463</v>
      </c>
      <c r="G24" s="435">
        <v>26974</v>
      </c>
      <c r="H24" s="116">
        <f t="shared" si="5"/>
        <v>26807</v>
      </c>
      <c r="I24" s="435">
        <f t="shared" si="5"/>
        <v>26640</v>
      </c>
      <c r="J24" s="435">
        <f t="shared" si="5"/>
        <v>26473</v>
      </c>
      <c r="K24" s="435">
        <f t="shared" si="5"/>
        <v>26306</v>
      </c>
      <c r="L24" s="435">
        <v>26139</v>
      </c>
      <c r="M24" s="435">
        <v>25485</v>
      </c>
      <c r="N24" s="101">
        <v>22159</v>
      </c>
      <c r="O24" s="435">
        <v>24541</v>
      </c>
      <c r="P24" s="101">
        <v>25401</v>
      </c>
      <c r="Q24" s="435">
        <v>24631</v>
      </c>
      <c r="R24" s="436">
        <v>24879</v>
      </c>
      <c r="S24" s="436">
        <v>24719</v>
      </c>
      <c r="T24" s="436">
        <v>23986</v>
      </c>
      <c r="U24" s="436">
        <v>23570</v>
      </c>
      <c r="V24" s="436">
        <v>23369</v>
      </c>
      <c r="W24" s="435">
        <v>23580</v>
      </c>
      <c r="X24" s="434">
        <v>23589</v>
      </c>
      <c r="Y24" s="434">
        <v>23561</v>
      </c>
      <c r="Z24" s="434">
        <v>22613</v>
      </c>
      <c r="AA24" s="434">
        <v>22262</v>
      </c>
      <c r="AB24" s="434">
        <v>21870</v>
      </c>
      <c r="AC24" s="435">
        <v>22401</v>
      </c>
      <c r="AD24" s="434">
        <v>22406</v>
      </c>
      <c r="AE24" s="434">
        <v>22886</v>
      </c>
      <c r="AF24" s="434">
        <v>21854</v>
      </c>
      <c r="AG24" s="434">
        <v>21064</v>
      </c>
      <c r="AH24" s="434">
        <v>20054</v>
      </c>
      <c r="AI24" s="435">
        <v>20228</v>
      </c>
      <c r="AJ24" s="435">
        <v>19884</v>
      </c>
      <c r="AK24" s="435">
        <v>20131</v>
      </c>
      <c r="AL24" s="435">
        <v>20335</v>
      </c>
      <c r="AM24" s="435">
        <v>19573</v>
      </c>
      <c r="AN24" s="435">
        <v>20164</v>
      </c>
      <c r="AO24" s="435">
        <v>19889</v>
      </c>
      <c r="AP24" s="435">
        <v>19437</v>
      </c>
      <c r="AQ24" s="435">
        <v>18440</v>
      </c>
      <c r="AR24" s="435">
        <v>17128</v>
      </c>
      <c r="AS24" s="435">
        <v>17287</v>
      </c>
      <c r="AT24" s="435">
        <v>17339</v>
      </c>
      <c r="AU24" s="435">
        <v>17137</v>
      </c>
      <c r="AV24" s="435">
        <v>16763</v>
      </c>
      <c r="AW24" s="435">
        <v>17407</v>
      </c>
      <c r="AX24" s="435">
        <v>17489</v>
      </c>
      <c r="AY24" s="435">
        <v>17690</v>
      </c>
      <c r="AZ24" s="435">
        <v>17651</v>
      </c>
      <c r="BA24" s="435">
        <v>17311</v>
      </c>
      <c r="BB24" s="435">
        <v>17603</v>
      </c>
      <c r="BC24" s="435">
        <v>17924</v>
      </c>
      <c r="BD24" s="101">
        <v>16725.084999999999</v>
      </c>
      <c r="BE24" s="101">
        <v>17005.900000000001</v>
      </c>
      <c r="BF24" s="101">
        <v>16824.03</v>
      </c>
      <c r="BG24" s="101">
        <v>18049</v>
      </c>
      <c r="BH24" s="101">
        <v>18190</v>
      </c>
      <c r="BI24" s="101">
        <v>17914</v>
      </c>
      <c r="BJ24" s="101">
        <f>18510-'NCES-Private Grads-all races'!BF23</f>
        <v>17670</v>
      </c>
      <c r="BK24" s="182">
        <v>16572.248940522095</v>
      </c>
      <c r="BL24" s="179">
        <v>16998.978604700776</v>
      </c>
      <c r="BM24" s="182">
        <v>16957.294054342561</v>
      </c>
      <c r="BN24" s="182">
        <v>16831.638645894</v>
      </c>
      <c r="BO24" s="182">
        <v>16162.265744621953</v>
      </c>
      <c r="BP24" s="182">
        <v>16315.357608678432</v>
      </c>
      <c r="BQ24" s="182">
        <v>16302.759164219597</v>
      </c>
      <c r="BR24" s="182">
        <v>16353.006514832618</v>
      </c>
      <c r="BS24" s="182">
        <v>16007.104366323221</v>
      </c>
      <c r="BT24" s="177" t="e">
        <f>GETPIVOTDATA("Students",'[1]Race &amp; Ethnicity'!$A$4,"SchoolYear","2032-33","RaceEthnicity","American Indian/Alaska Native","Projection","Projection","StateName","West Virginia")+GETPIVOTDATA("Students",'[1]Race &amp; Ethnicity'!$A$4,"SchoolYear","2032-33","RaceEthnicity","Asian/Pacific Islander (Combined)","Projection","Projection","StateName","West Virginia")+GETPIVOTDATA("Students",'[1]Race &amp; Ethnicity'!$A$4,"SchoolYear","2032-33","RaceEthnicity","Black","Projection","Projection","StateName","West Virginia")+GETPIVOTDATA("Students",'[1]Race &amp; Ethnicity'!$A$4,"SchoolYear","2032-33","RaceEthnicity","Hispanic (any race)","Projection","Projection","StateName","West Virginia")+GETPIVOTDATA("Students",'[1]Race &amp; Ethnicity'!$A$4,"SchoolYear","2032-33","RaceEthnicity","Two or More Races","Projection","Estimate (Two or more races graduates after SY 2029-30","StateName","West Virginia")+GETPIVOTDATA("Students",'[1]Race &amp; Ethnicity'!$A$4,"SchoolYear","2032-33","RaceEthnicity","White","Projection","Projection","StateName","West Virginia")</f>
        <v>#REF!</v>
      </c>
      <c r="BU24" s="177" t="e">
        <f>GETPIVOTDATA("Students",'[1]Race &amp; Ethnicity'!$A$4,"SchoolYear","2033-34","RaceEthnicity","American Indian/Alaska Native","Projection","Projection","StateName","West Virginia")+GETPIVOTDATA("Students",'[1]Race &amp; Ethnicity'!$A$4,"SchoolYear","2033-34","RaceEthnicity","Asian/Pacific Islander (Combined)","Projection","Projection","StateName","West Virginia")+GETPIVOTDATA("Students",'[1]Race &amp; Ethnicity'!$A$4,"SchoolYear","2033-34","RaceEthnicity","Black","Projection","Projection","StateName","West Virginia")+GETPIVOTDATA("Students",'[1]Race &amp; Ethnicity'!$A$4,"SchoolYear","2033-34","RaceEthnicity","Hispanic (any race)","Projection","Projection","StateName","West Virginia")+GETPIVOTDATA("Students",'[1]Race &amp; Ethnicity'!$A$4,"SchoolYear","2033-34","RaceEthnicity","Two or More Races","Projection","Estimate (Two or more races graduates after SY 2029-30","StateName","West Virginia")+GETPIVOTDATA("Students",'[1]Race &amp; Ethnicity'!$A$4,"SchoolYear","2033-34","RaceEthnicity","White","Projection","Projection","StateName","West Virginia")</f>
        <v>#REF!</v>
      </c>
      <c r="BV24" t="e">
        <f>GETPIVOTDATA("Students",'[1]Race &amp; Ethnicity'!$A$4,"SchoolYear","2034-35","RaceEthnicity","American Indian/Alaska Native","Projection","Projection","StateName","West Virginia")+GETPIVOTDATA("Students",'[1]Race &amp; Ethnicity'!$A$4,"SchoolYear","2034-35","RaceEthnicity","Asian/Pacific Islander (Combined)","Projection","Projection","StateName","West Virginia")+GETPIVOTDATA("Students",'[1]Race &amp; Ethnicity'!$A$4,"SchoolYear","2034-35","RaceEthnicity","Black","Projection","Projection","StateName","West Virginia")+GETPIVOTDATA("Students",'[1]Race &amp; Ethnicity'!$A$4,"SchoolYear","2034-35","RaceEthnicity","Hispanic (any race)","Projection","Projection","StateName","West Virginia")+GETPIVOTDATA("Students",'[1]Race &amp; Ethnicity'!$A$4,"SchoolYear","2034-35","RaceEthnicity","Two or More Races","Projection","Estimate (Two or more races graduates after SY 2029-30","StateName","West Virginia")+GETPIVOTDATA("Students",'[1]Race &amp; Ethnicity'!$A$4,"SchoolYear","2034-35","RaceEthnicity","White","Projection","Projection","StateName","West Virginia")</f>
        <v>#REF!</v>
      </c>
      <c r="BW24" t="e">
        <f>GETPIVOTDATA("Students",'[1]Race &amp; Ethnicity'!$A$4,"SchoolYear","2035-36","RaceEthnicity","American Indian/Alaska Native","Projection","Projection","StateName","West Virginia")+GETPIVOTDATA("Students",'[1]Race &amp; Ethnicity'!$A$4,"SchoolYear","2035-36","RaceEthnicity","Asian/Pacific Islander (Combined)","Projection","Projection","StateName","West Virginia")+GETPIVOTDATA("Students",'[1]Race &amp; Ethnicity'!$A$4,"SchoolYear","2035-36","RaceEthnicity","Black","StateName","West Virginia")+GETPIVOTDATA("Students",'[1]Race &amp; Ethnicity'!$A$4,"SchoolYear","2035-36","RaceEthnicity","Hispanic (any race)","Projection","Projection","StateName","West Virginia")+GETPIVOTDATA("Students",'[1]Race &amp; Ethnicity'!$A$4,"SchoolYear","2035-36","RaceEthnicity","Two or More Races","Projection","Estimate (Two or more races graduates after SY 2029-30","StateName","West Virginia")+GETPIVOTDATA("Students",'[1]Race &amp; Ethnicity'!$A$4,"SchoolYear","2035-36","RaceEthnicity","White","Projection","Projection","StateName","West Virginia")</f>
        <v>#REF!</v>
      </c>
    </row>
    <row r="25" spans="1:75">
      <c r="A25" s="113" t="s">
        <v>327</v>
      </c>
      <c r="B25" s="95">
        <f t="shared" ref="B25:AG25" si="7">SUM(B28:B40)</f>
        <v>272999</v>
      </c>
      <c r="C25" s="95">
        <f t="shared" si="7"/>
        <v>287859.5</v>
      </c>
      <c r="D25" s="95">
        <f t="shared" si="7"/>
        <v>302720</v>
      </c>
      <c r="E25" s="95">
        <f t="shared" si="7"/>
        <v>312267</v>
      </c>
      <c r="F25" s="95">
        <f t="shared" si="7"/>
        <v>369706</v>
      </c>
      <c r="G25" s="95">
        <f t="shared" si="7"/>
        <v>422849</v>
      </c>
      <c r="H25" s="95">
        <f t="shared" si="7"/>
        <v>434020.8</v>
      </c>
      <c r="I25" s="95">
        <f t="shared" si="7"/>
        <v>445192.60000000003</v>
      </c>
      <c r="J25" s="95">
        <f t="shared" si="7"/>
        <v>456364.4</v>
      </c>
      <c r="K25" s="95">
        <f t="shared" si="7"/>
        <v>467536.19999999995</v>
      </c>
      <c r="L25" s="95">
        <f t="shared" si="7"/>
        <v>478708</v>
      </c>
      <c r="M25" s="95">
        <f t="shared" si="7"/>
        <v>486394</v>
      </c>
      <c r="N25" s="95">
        <f t="shared" si="7"/>
        <v>497750</v>
      </c>
      <c r="O25" s="95">
        <f t="shared" si="7"/>
        <v>494243</v>
      </c>
      <c r="P25" s="95">
        <f t="shared" si="7"/>
        <v>500014</v>
      </c>
      <c r="Q25" s="95">
        <f t="shared" si="7"/>
        <v>506974</v>
      </c>
      <c r="R25" s="95">
        <f t="shared" si="7"/>
        <v>506069</v>
      </c>
      <c r="S25" s="95">
        <f t="shared" si="7"/>
        <v>506883</v>
      </c>
      <c r="T25" s="95">
        <f t="shared" si="7"/>
        <v>505566</v>
      </c>
      <c r="U25" s="95">
        <f t="shared" si="7"/>
        <v>494620</v>
      </c>
      <c r="V25" s="95">
        <f t="shared" si="7"/>
        <v>490037</v>
      </c>
      <c r="W25" s="95">
        <f t="shared" si="7"/>
        <v>479419</v>
      </c>
      <c r="X25" s="95">
        <f t="shared" si="7"/>
        <v>476850</v>
      </c>
      <c r="Y25" s="95">
        <f t="shared" si="7"/>
        <v>462032</v>
      </c>
      <c r="Z25" s="95">
        <f t="shared" si="7"/>
        <v>453239</v>
      </c>
      <c r="AA25" s="95">
        <f t="shared" si="7"/>
        <v>444808</v>
      </c>
      <c r="AB25" s="95">
        <f t="shared" si="7"/>
        <v>448126</v>
      </c>
      <c r="AC25" s="95">
        <f t="shared" si="7"/>
        <v>468650</v>
      </c>
      <c r="AD25" s="95">
        <f t="shared" si="7"/>
        <v>488047</v>
      </c>
      <c r="AE25" s="95">
        <f t="shared" si="7"/>
        <v>480915</v>
      </c>
      <c r="AF25" s="95">
        <f t="shared" si="7"/>
        <v>461207</v>
      </c>
      <c r="AG25" s="95">
        <f t="shared" si="7"/>
        <v>451730</v>
      </c>
      <c r="AH25" s="95">
        <f t="shared" ref="AH25:BJ25" si="8">SUM(AH28:AH40)</f>
        <v>466044</v>
      </c>
      <c r="AI25" s="95">
        <f t="shared" si="8"/>
        <v>475806</v>
      </c>
      <c r="AJ25" s="95">
        <f t="shared" si="8"/>
        <v>485101</v>
      </c>
      <c r="AK25" s="95">
        <f t="shared" si="8"/>
        <v>492634</v>
      </c>
      <c r="AL25" s="95">
        <f t="shared" si="8"/>
        <v>496218</v>
      </c>
      <c r="AM25" s="95">
        <f t="shared" si="8"/>
        <v>522763</v>
      </c>
      <c r="AN25" s="95">
        <f t="shared" si="8"/>
        <v>546371</v>
      </c>
      <c r="AO25" s="95">
        <f t="shared" si="8"/>
        <v>567866</v>
      </c>
      <c r="AP25" s="95">
        <f t="shared" si="8"/>
        <v>590512</v>
      </c>
      <c r="AQ25" s="95">
        <f t="shared" si="8"/>
        <v>600099</v>
      </c>
      <c r="AR25" s="95">
        <f t="shared" si="8"/>
        <v>617772</v>
      </c>
      <c r="AS25" s="95">
        <f t="shared" si="8"/>
        <v>638982</v>
      </c>
      <c r="AT25" s="95">
        <f t="shared" si="8"/>
        <v>640782</v>
      </c>
      <c r="AU25" s="95">
        <f t="shared" si="8"/>
        <v>665730</v>
      </c>
      <c r="AV25" s="95">
        <f t="shared" si="8"/>
        <v>648153</v>
      </c>
      <c r="AW25" s="95">
        <f t="shared" si="8"/>
        <v>666560</v>
      </c>
      <c r="AX25" s="95">
        <f t="shared" si="8"/>
        <v>696055</v>
      </c>
      <c r="AY25" s="95">
        <f t="shared" si="8"/>
        <v>700236</v>
      </c>
      <c r="AZ25" s="95">
        <f t="shared" si="8"/>
        <v>740008</v>
      </c>
      <c r="BA25" s="95">
        <f t="shared" si="8"/>
        <v>749296</v>
      </c>
      <c r="BB25" s="95">
        <f t="shared" si="8"/>
        <v>757008</v>
      </c>
      <c r="BC25" s="95">
        <f t="shared" si="8"/>
        <v>761428</v>
      </c>
      <c r="BD25" s="95">
        <f t="shared" si="8"/>
        <v>733123.98199999996</v>
      </c>
      <c r="BE25" s="95">
        <f t="shared" si="8"/>
        <v>734552.8139999999</v>
      </c>
      <c r="BF25" s="95">
        <f t="shared" si="8"/>
        <v>751011.15100000019</v>
      </c>
      <c r="BG25" s="95">
        <f t="shared" si="8"/>
        <v>802682</v>
      </c>
      <c r="BH25" s="95">
        <f t="shared" si="8"/>
        <v>823165</v>
      </c>
      <c r="BI25" s="95">
        <f t="shared" si="8"/>
        <v>824654</v>
      </c>
      <c r="BJ25" s="185">
        <f t="shared" si="8"/>
        <v>816850</v>
      </c>
      <c r="BK25" s="180">
        <v>817017.64451128733</v>
      </c>
      <c r="BL25" s="180">
        <v>810330.77651440143</v>
      </c>
      <c r="BM25" s="180">
        <v>813078.37456418667</v>
      </c>
      <c r="BN25" s="180">
        <v>781865.45019249036</v>
      </c>
      <c r="BO25" s="180">
        <v>754927.86539985694</v>
      </c>
      <c r="BP25" s="180">
        <v>742282.65983726736</v>
      </c>
      <c r="BQ25" s="180">
        <v>744491.80123270582</v>
      </c>
      <c r="BR25" s="180">
        <v>737583.02905213006</v>
      </c>
      <c r="BS25" s="180">
        <v>748447.74168449128</v>
      </c>
    </row>
    <row r="26" spans="1:75" ht="12.95">
      <c r="A26" s="285" t="s">
        <v>50</v>
      </c>
      <c r="B26" s="98"/>
      <c r="C26" s="95"/>
      <c r="D26" s="97"/>
      <c r="E26" s="97"/>
      <c r="F26" s="97"/>
      <c r="G26" s="97"/>
      <c r="H26" s="95"/>
      <c r="I26" s="97"/>
      <c r="J26" s="97"/>
      <c r="K26" s="97"/>
      <c r="L26" s="97"/>
      <c r="M26" s="97"/>
      <c r="N26" s="99"/>
      <c r="O26" s="97"/>
      <c r="P26" s="99"/>
      <c r="Q26" s="97"/>
      <c r="R26" s="97"/>
      <c r="S26" s="97"/>
      <c r="T26" s="97"/>
      <c r="U26" s="97"/>
      <c r="V26" s="97"/>
      <c r="W26" s="97"/>
      <c r="X26" s="97"/>
      <c r="Y26" s="97"/>
      <c r="Z26" s="97"/>
      <c r="AA26" s="97"/>
      <c r="AB26" s="97"/>
      <c r="AC26" s="97"/>
      <c r="AD26" s="97"/>
      <c r="AE26" s="97"/>
      <c r="AF26" s="97"/>
      <c r="AG26" s="97"/>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9"/>
      <c r="BK26" s="287">
        <f t="shared" ref="BK26:BS26" si="9">+BK25-BK52-BK54</f>
        <v>798840.03554949351</v>
      </c>
      <c r="BL26" s="287">
        <f t="shared" si="9"/>
        <v>791584.35174854624</v>
      </c>
      <c r="BM26" s="287">
        <f t="shared" si="9"/>
        <v>794707.75579804031</v>
      </c>
      <c r="BN26" s="287">
        <f t="shared" si="9"/>
        <v>763512.02168451564</v>
      </c>
      <c r="BO26" s="287">
        <f t="shared" si="9"/>
        <v>736490.86344670504</v>
      </c>
      <c r="BP26" s="287">
        <f t="shared" si="9"/>
        <v>723334.2093519168</v>
      </c>
      <c r="BQ26" s="287">
        <f t="shared" si="9"/>
        <v>724765.81851354206</v>
      </c>
      <c r="BR26" s="287">
        <f t="shared" si="9"/>
        <v>717258.60493554547</v>
      </c>
      <c r="BS26" s="287">
        <f t="shared" si="9"/>
        <v>727467.05156694993</v>
      </c>
      <c r="BT26" s="287" t="e">
        <f>SUM(BT28:BT40)</f>
        <v>#REF!</v>
      </c>
      <c r="BU26" s="287" t="e">
        <f>SUM(BU28:BU40)</f>
        <v>#REF!</v>
      </c>
      <c r="BV26" s="287" t="e">
        <f>SUM(BV28:BV40)</f>
        <v>#REF!</v>
      </c>
      <c r="BW26" s="287" t="e">
        <f>SUM(BW28:BW40)</f>
        <v>#REF!</v>
      </c>
    </row>
    <row r="27" spans="1:75">
      <c r="A27" s="113" t="s">
        <v>129</v>
      </c>
      <c r="BK27" s="181"/>
      <c r="BL27" s="181"/>
      <c r="BM27" s="181"/>
      <c r="BN27" s="181"/>
      <c r="BO27" s="181"/>
      <c r="BP27" s="181"/>
      <c r="BQ27" s="181"/>
      <c r="BR27" s="181"/>
      <c r="BS27" s="181"/>
    </row>
    <row r="28" spans="1:75">
      <c r="A28" s="175" t="s">
        <v>51</v>
      </c>
      <c r="B28" s="98">
        <v>1095</v>
      </c>
      <c r="C28" s="95">
        <f t="shared" ref="C28:C40" si="10">((D28-B28)/2)+B28</f>
        <v>1259.5</v>
      </c>
      <c r="D28" s="97">
        <v>1424</v>
      </c>
      <c r="E28" s="97">
        <v>1565</v>
      </c>
      <c r="F28" s="97">
        <v>1855</v>
      </c>
      <c r="G28" s="97">
        <v>2258</v>
      </c>
      <c r="H28" s="95">
        <f t="shared" ref="H28:K40" si="11">(($L28-$G28)/5)+G28</f>
        <v>2465.8000000000002</v>
      </c>
      <c r="I28" s="97">
        <f t="shared" si="11"/>
        <v>2673.6000000000004</v>
      </c>
      <c r="J28" s="97">
        <f t="shared" si="11"/>
        <v>2881.4000000000005</v>
      </c>
      <c r="K28" s="97">
        <f t="shared" si="11"/>
        <v>3089.2000000000007</v>
      </c>
      <c r="L28" s="97">
        <v>3297</v>
      </c>
      <c r="M28" s="97">
        <v>3534</v>
      </c>
      <c r="N28" s="99">
        <v>3760</v>
      </c>
      <c r="O28" s="97">
        <v>3970</v>
      </c>
      <c r="P28" s="99">
        <v>4248</v>
      </c>
      <c r="Q28" s="97">
        <v>4220</v>
      </c>
      <c r="R28" s="127">
        <v>4223</v>
      </c>
      <c r="S28" s="127">
        <v>4526</v>
      </c>
      <c r="T28" s="127">
        <v>4832</v>
      </c>
      <c r="U28" s="127">
        <v>5038</v>
      </c>
      <c r="V28" s="127">
        <v>5223</v>
      </c>
      <c r="W28" s="97">
        <v>5343</v>
      </c>
      <c r="X28" s="98">
        <v>5477</v>
      </c>
      <c r="Y28" s="98">
        <v>5622</v>
      </c>
      <c r="Z28" s="98">
        <v>5457</v>
      </c>
      <c r="AA28" s="98">
        <v>5184</v>
      </c>
      <c r="AB28" s="98">
        <v>5464</v>
      </c>
      <c r="AC28" s="97">
        <v>5692</v>
      </c>
      <c r="AD28" s="98">
        <v>5907</v>
      </c>
      <c r="AE28" s="98">
        <v>5631</v>
      </c>
      <c r="AF28" s="98">
        <v>5386</v>
      </c>
      <c r="AG28" s="98">
        <v>5458</v>
      </c>
      <c r="AH28" s="98">
        <v>5535</v>
      </c>
      <c r="AI28" s="97">
        <v>5535</v>
      </c>
      <c r="AJ28" s="97">
        <v>5747</v>
      </c>
      <c r="AK28" s="97">
        <v>5765</v>
      </c>
      <c r="AL28" s="97">
        <v>5945</v>
      </c>
      <c r="AM28" s="97">
        <v>6133</v>
      </c>
      <c r="AN28" s="97">
        <v>6462</v>
      </c>
      <c r="AO28" s="97">
        <v>6810</v>
      </c>
      <c r="AP28" s="97">
        <v>6615</v>
      </c>
      <c r="AQ28" s="97">
        <v>6812</v>
      </c>
      <c r="AR28" s="97">
        <v>6945</v>
      </c>
      <c r="AS28" s="97">
        <v>7297</v>
      </c>
      <c r="AT28" s="97">
        <v>7236</v>
      </c>
      <c r="AU28" s="97">
        <v>6909</v>
      </c>
      <c r="AV28" s="97">
        <v>7361</v>
      </c>
      <c r="AW28" s="97">
        <v>7666</v>
      </c>
      <c r="AX28" s="97">
        <v>7855</v>
      </c>
      <c r="AY28" s="97">
        <v>8008</v>
      </c>
      <c r="AZ28" s="97">
        <v>8245</v>
      </c>
      <c r="BA28" s="97">
        <v>8064</v>
      </c>
      <c r="BB28" s="97">
        <v>7989</v>
      </c>
      <c r="BC28" s="97">
        <v>7860</v>
      </c>
      <c r="BD28" s="97">
        <v>7018.2809999999999</v>
      </c>
      <c r="BE28" s="97">
        <v>7315.0559999999987</v>
      </c>
      <c r="BF28" s="97">
        <v>7333.7569999999987</v>
      </c>
      <c r="BG28" s="97">
        <v>8384</v>
      </c>
      <c r="BH28" s="97">
        <v>8451</v>
      </c>
      <c r="BI28" s="97">
        <v>8471</v>
      </c>
      <c r="BJ28" s="99">
        <v>7950</v>
      </c>
      <c r="BK28" s="180">
        <v>7552.4252168001931</v>
      </c>
      <c r="BL28" s="181">
        <v>7733.6604531477178</v>
      </c>
      <c r="BM28" s="180">
        <v>8063.9158428347964</v>
      </c>
      <c r="BN28" s="180">
        <v>7962.2072813707045</v>
      </c>
      <c r="BO28" s="180">
        <v>8043.9853449223574</v>
      </c>
      <c r="BP28" s="180">
        <v>8015.3531192493301</v>
      </c>
      <c r="BQ28" s="180">
        <v>7844.3217181831733</v>
      </c>
      <c r="BR28" s="180">
        <v>8032.8005486435786</v>
      </c>
      <c r="BS28" s="180">
        <v>7991.5477709879278</v>
      </c>
      <c r="BT28" s="177" t="e">
        <f>GETPIVOTDATA("Students",'[1]Race &amp; Ethnicity'!$A$4,"SchoolYear","2032-33","RaceEthnicity","American Indian/Alaska Native","Projection","Projection","StateName","Alaska")+GETPIVOTDATA("Students",'[1]Race &amp; Ethnicity'!$A$4,"SchoolYear","2032-33","RaceEthnicity","Asian/Pacific Islander (Combined)","Projection","Projection","StateName","Alaska")+GETPIVOTDATA("Students",'[1]Race &amp; Ethnicity'!$A$4,"SchoolYear","2032-33","RaceEthnicity","Black","Projection","Projection","StateName","Alaska")+GETPIVOTDATA("Students",'[1]Race &amp; Ethnicity'!$A$4,"SchoolYear","2032-33","RaceEthnicity","Hispanic (any race)","Projection","Projection","StateName","Alaska")+GETPIVOTDATA("Students",'[1]Race &amp; Ethnicity'!$A$4,"SchoolYear","2032-33","RaceEthnicity","Two or More Races","Projection","Estimate (Two or more races graduates after SY 2029-30","StateName","Alaska")+GETPIVOTDATA("Students",'[1]Race &amp; Ethnicity'!$A$4,"SchoolYear","2032-33","RaceEthnicity","White","Projection","Projection","StateName","Alaska")</f>
        <v>#REF!</v>
      </c>
      <c r="BU28" s="177" t="e">
        <f>GETPIVOTDATA("Students",'[1]Race &amp; Ethnicity'!$A$4,"SchoolYear","2033-34","RaceEthnicity","American Indian/Alaska Native","Projection","Projection","StateName","Alaska")+GETPIVOTDATA("Students",'[1]Race &amp; Ethnicity'!$A$4,"SchoolYear","2033-34","RaceEthnicity","Asian/Pacific Islander (Combined)","Projection","Projection","StateName","Alaska")+GETPIVOTDATA("Students",'[1]Race &amp; Ethnicity'!$A$4,"SchoolYear","2033-34","RaceEthnicity","Black","Projection","Projection","StateName","Alaska")+GETPIVOTDATA("Students",'[1]Race &amp; Ethnicity'!$A$4,"SchoolYear","2033-34","RaceEthnicity","Hispanic (any race)","Projection","Projection","StateName","Alaska")+GETPIVOTDATA("Students",'[1]Race &amp; Ethnicity'!$A$4,"SchoolYear","2033-34","RaceEthnicity","Two or More Races","Projection","Estimate (Two or more races graduates after SY 2029-30","StateName","Alaska")+GETPIVOTDATA("Students",'[1]Race &amp; Ethnicity'!$A$4,"SchoolYear","2033-34","RaceEthnicity","White","Projection","Projection","StateName","Alaska")</f>
        <v>#REF!</v>
      </c>
      <c r="BV28" t="e">
        <f>GETPIVOTDATA("Students",'[1]Race &amp; Ethnicity'!$A$4,"SchoolYear","2034-35","RaceEthnicity","American Indian/Alaska Native","Projection","Projection","StateName","Alaska")+GETPIVOTDATA("Students",'[1]Race &amp; Ethnicity'!$A$4,"SchoolYear","2034-35","RaceEthnicity","Asian/Pacific Islander (Combined)","Projection","Projection","StateName","Alaska")+GETPIVOTDATA("Students",'[1]Race &amp; Ethnicity'!$A$4,"SchoolYear","2034-35","RaceEthnicity","Black","Projection","Projection","StateName","Alaska")+GETPIVOTDATA("Students",'[1]Race &amp; Ethnicity'!$A$4,"SchoolYear","2034-35","RaceEthnicity","Hispanic (any race)","Projection","Projection","StateName","Alaska")+GETPIVOTDATA("Students",'[1]Race &amp; Ethnicity'!$A$4,"SchoolYear","2034-35","RaceEthnicity","Two or More Races","Projection","Estimate (Two or more races graduates after SY 2029-30","StateName","Alaska")+GETPIVOTDATA("Students",'[1]Race &amp; Ethnicity'!$A$4,"SchoolYear","2034-35","RaceEthnicity","White","Projection","Projection","StateName","Alaska")</f>
        <v>#REF!</v>
      </c>
    </row>
    <row r="29" spans="1:75">
      <c r="A29" s="175" t="s">
        <v>52</v>
      </c>
      <c r="B29" s="98">
        <v>10406</v>
      </c>
      <c r="C29" s="95">
        <f t="shared" si="10"/>
        <v>11452.5</v>
      </c>
      <c r="D29" s="97">
        <v>12499</v>
      </c>
      <c r="E29" s="97">
        <v>14392</v>
      </c>
      <c r="F29" s="97">
        <v>15785</v>
      </c>
      <c r="G29" s="97">
        <v>18920</v>
      </c>
      <c r="H29" s="95">
        <f t="shared" si="11"/>
        <v>19544</v>
      </c>
      <c r="I29" s="97">
        <f t="shared" si="11"/>
        <v>20168</v>
      </c>
      <c r="J29" s="97">
        <f t="shared" si="11"/>
        <v>20792</v>
      </c>
      <c r="K29" s="97">
        <f t="shared" si="11"/>
        <v>21416</v>
      </c>
      <c r="L29" s="97">
        <v>22040</v>
      </c>
      <c r="M29" s="97">
        <v>23407</v>
      </c>
      <c r="N29" s="99">
        <v>23953</v>
      </c>
      <c r="O29" s="97">
        <v>24012</v>
      </c>
      <c r="P29" s="99">
        <v>24924</v>
      </c>
      <c r="Q29" s="97">
        <v>25665</v>
      </c>
      <c r="R29" s="127">
        <v>26019</v>
      </c>
      <c r="S29" s="127">
        <v>29855</v>
      </c>
      <c r="T29" s="127">
        <v>30814</v>
      </c>
      <c r="U29" s="127">
        <v>30059</v>
      </c>
      <c r="V29" s="127">
        <v>28633</v>
      </c>
      <c r="W29" s="97">
        <v>28416</v>
      </c>
      <c r="X29" s="98">
        <v>28049</v>
      </c>
      <c r="Y29" s="98">
        <v>26530</v>
      </c>
      <c r="Z29" s="98">
        <v>28332</v>
      </c>
      <c r="AA29" s="98">
        <v>27877</v>
      </c>
      <c r="AB29" s="98">
        <v>27533</v>
      </c>
      <c r="AC29" s="97">
        <v>29549</v>
      </c>
      <c r="AD29" s="98">
        <v>29777</v>
      </c>
      <c r="AE29" s="98">
        <v>31919</v>
      </c>
      <c r="AF29" s="98">
        <v>32103</v>
      </c>
      <c r="AG29" s="98">
        <v>31282</v>
      </c>
      <c r="AH29" s="98">
        <v>31264</v>
      </c>
      <c r="AI29" s="97">
        <v>31747</v>
      </c>
      <c r="AJ29" s="97">
        <v>31799</v>
      </c>
      <c r="AK29" s="97">
        <v>30989</v>
      </c>
      <c r="AL29" s="97">
        <v>30008</v>
      </c>
      <c r="AM29" s="97">
        <v>34082</v>
      </c>
      <c r="AN29" s="97">
        <v>36361</v>
      </c>
      <c r="AO29" s="97">
        <v>35728</v>
      </c>
      <c r="AP29" s="97">
        <v>38304</v>
      </c>
      <c r="AQ29" s="97">
        <v>46733</v>
      </c>
      <c r="AR29" s="97">
        <v>47175</v>
      </c>
      <c r="AS29" s="97">
        <v>49986</v>
      </c>
      <c r="AT29" s="97">
        <v>45508</v>
      </c>
      <c r="AU29" s="97">
        <v>59498</v>
      </c>
      <c r="AV29" s="97">
        <v>54091</v>
      </c>
      <c r="AW29" s="97">
        <v>55954</v>
      </c>
      <c r="AX29" s="97">
        <v>61667</v>
      </c>
      <c r="AY29" s="97">
        <v>62374</v>
      </c>
      <c r="AZ29" s="97">
        <v>61145</v>
      </c>
      <c r="BA29" s="97">
        <v>64472</v>
      </c>
      <c r="BB29" s="97">
        <v>63208</v>
      </c>
      <c r="BC29" s="97">
        <v>62208</v>
      </c>
      <c r="BD29" s="97">
        <v>59999.063000000002</v>
      </c>
      <c r="BE29" s="97">
        <v>62146.008000000002</v>
      </c>
      <c r="BF29" s="97">
        <v>64461.780000000006</v>
      </c>
      <c r="BG29" s="97">
        <v>68564</v>
      </c>
      <c r="BH29" s="97">
        <v>71296</v>
      </c>
      <c r="BI29" s="97">
        <v>71757</v>
      </c>
      <c r="BJ29" s="99">
        <v>72660</v>
      </c>
      <c r="BK29" s="180">
        <v>68660.788252163489</v>
      </c>
      <c r="BL29" s="181">
        <v>70094.059963632375</v>
      </c>
      <c r="BM29" s="180">
        <v>69438.846140560694</v>
      </c>
      <c r="BN29" s="180">
        <v>64601.82573991661</v>
      </c>
      <c r="BO29" s="180">
        <v>60545.039105304852</v>
      </c>
      <c r="BP29" s="180">
        <v>58910.228742512634</v>
      </c>
      <c r="BQ29" s="180">
        <v>59691.348626042047</v>
      </c>
      <c r="BR29" s="180">
        <v>59278.187700592651</v>
      </c>
      <c r="BS29" s="180">
        <v>60136.532332861192</v>
      </c>
      <c r="BT29" s="177" t="e">
        <f>GETPIVOTDATA("Students",'[1]Race &amp; Ethnicity'!$A$4,"SchoolYear","2032-33","RaceEthnicity","American Indian/Alaska Native","Projection","Projection","StateName","Arizona")+GETPIVOTDATA("Students",'[1]Race &amp; Ethnicity'!$A$4,"SchoolYear","2032-33","RaceEthnicity","Asian/Pacific Islander (Combined)","Projection","Projection","StateName","Arizona")+GETPIVOTDATA("Students",'[1]Race &amp; Ethnicity'!$A$4,"SchoolYear","2032-33","RaceEthnicity","Black","Projection","Projection","StateName","Arizona")+GETPIVOTDATA("Students",'[1]Race &amp; Ethnicity'!$A$4,"SchoolYear","2032-33","RaceEthnicity","Hispanic (any race)","Projection","Projection","StateName","Arizona")+GETPIVOTDATA("Students",'[1]Race &amp; Ethnicity'!$A$4,"SchoolYear","2032-33","RaceEthnicity","Two or More Races","Projection","Estimate (Two or more races graduates after SY 2029-30","StateName","Arizona")+GETPIVOTDATA("Students",'[1]Race &amp; Ethnicity'!$A$4,"SchoolYear","2032-33","RaceEthnicity","White","Projection","Projection","StateName","Arizona")</f>
        <v>#REF!</v>
      </c>
      <c r="BU29" s="177" t="e">
        <f>GETPIVOTDATA("Students",'[1]Race &amp; Ethnicity'!$A$4,"SchoolYear","2033-34","RaceEthnicity","American Indian/Alaska Native","Projection","Projection","StateName","Arizona")+GETPIVOTDATA("Students",'[1]Race &amp; Ethnicity'!$A$4,"SchoolYear","2033-34","RaceEthnicity","Asian/Pacific Islander (Combined)","Projection","Projection","StateName","Arizona")+GETPIVOTDATA("Students",'[1]Race &amp; Ethnicity'!$A$4,"SchoolYear","2033-34","RaceEthnicity","Black","Projection","Projection","StateName","Arizona")+GETPIVOTDATA("Students",'[1]Race &amp; Ethnicity'!$A$4,"SchoolYear","2033-34","RaceEthnicity","Hispanic (any race)","Projection","Projection","StateName","Arizona")+GETPIVOTDATA("Students",'[1]Race &amp; Ethnicity'!$A$4,"SchoolYear","2033-34","RaceEthnicity","Two or More Races","Projection","Estimate (Two or more races graduates after SY 2029-30","StateName","Arizona")+GETPIVOTDATA("Students",'[1]Race &amp; Ethnicity'!$A$4,"SchoolYear","2033-34","RaceEthnicity","White","Projection","Projection","StateName","Arizona")</f>
        <v>#REF!</v>
      </c>
      <c r="BV29" t="e">
        <f>GETPIVOTDATA("Students",'[1]Race &amp; Ethnicity'!$A$4,"SchoolYear","2034-35","RaceEthnicity","American Indian/Alaska Native","Projection","Projection","StateName","Arizona")+GETPIVOTDATA("Students",'[1]Race &amp; Ethnicity'!$A$4,"SchoolYear","2034-35","RaceEthnicity","Asian/Pacific Islander (Combined)","Projection","Projection","StateName","Arizona")+GETPIVOTDATA("Students",'[1]Race &amp; Ethnicity'!$A$4,"SchoolYear","2034-35","RaceEthnicity","Black","Projection","Projection","StateName","Arizona")+GETPIVOTDATA("Students",'[1]Race &amp; Ethnicity'!$A$4,"SchoolYear","2034-35","RaceEthnicity","Hispanic (any race)","Projection","Projection","StateName","Arizona")+GETPIVOTDATA("Students",'[1]Race &amp; Ethnicity'!$A$4,"SchoolYear","2034-35","RaceEthnicity","Two or More Races","Projection","Estimate (Two or more races graduates after SY 2029-30","StateName","Arizona")+GETPIVOTDATA("Students",'[1]Race &amp; Ethnicity'!$A$4,"SchoolYear","2034-35","RaceEthnicity","White","Projection","Projection","StateName","Arizona")</f>
        <v>#REF!</v>
      </c>
      <c r="BW29" t="e">
        <f>GETPIVOTDATA("Students",'[1]Race &amp; Ethnicity'!$A$4,"SchoolYear","2035-36","RaceEthnicity","American Indian/Alaska Native","Projection","Projection","StateName","Arizona")+GETPIVOTDATA("Students",'[1]Race &amp; Ethnicity'!$A$4,"SchoolYear","2035-36","RaceEthnicity","Asian/Pacific Islander (Combined)","Projection","Projection","StateName","Arizona")+GETPIVOTDATA("Students",'[1]Race &amp; Ethnicity'!$A$4,"SchoolYear","2035-36","RaceEthnicity","Black","StateName","Arizona")+GETPIVOTDATA("Students",'[1]Race &amp; Ethnicity'!$A$4,"SchoolYear","2035-36","RaceEthnicity","Hispanic (any race)","Projection","Projection","StateName","Arizona")+GETPIVOTDATA("Students",'[1]Race &amp; Ethnicity'!$A$4,"SchoolYear","2035-36","RaceEthnicity","Two or More Races","Projection","Estimate (Two or more races graduates after SY 2029-30","StateName","Arizona")+GETPIVOTDATA("Students",'[1]Race &amp; Ethnicity'!$A$4,"SchoolYear","2035-36","RaceEthnicity","White","Projection","Projection","StateName","Arizona")</f>
        <v>#REF!</v>
      </c>
    </row>
    <row r="30" spans="1:75">
      <c r="A30" s="175" t="s">
        <v>53</v>
      </c>
      <c r="B30" s="98">
        <v>148871</v>
      </c>
      <c r="C30" s="95">
        <f t="shared" si="10"/>
        <v>157685.5</v>
      </c>
      <c r="D30" s="97">
        <v>166500</v>
      </c>
      <c r="E30" s="97">
        <v>173500</v>
      </c>
      <c r="F30" s="97">
        <v>210000</v>
      </c>
      <c r="G30" s="97">
        <v>226500</v>
      </c>
      <c r="H30" s="95">
        <f t="shared" si="11"/>
        <v>233381.6</v>
      </c>
      <c r="I30" s="97">
        <f t="shared" si="11"/>
        <v>240263.2</v>
      </c>
      <c r="J30" s="97">
        <f t="shared" si="11"/>
        <v>247144.80000000002</v>
      </c>
      <c r="K30" s="97">
        <f t="shared" si="11"/>
        <v>254026.40000000002</v>
      </c>
      <c r="L30" s="97">
        <v>260908</v>
      </c>
      <c r="M30" s="97">
        <v>262661</v>
      </c>
      <c r="N30" s="99">
        <v>270518</v>
      </c>
      <c r="O30" s="97">
        <v>268021</v>
      </c>
      <c r="P30" s="99">
        <v>268493</v>
      </c>
      <c r="Q30" s="97">
        <v>273411</v>
      </c>
      <c r="R30" s="127">
        <v>272500</v>
      </c>
      <c r="S30" s="127">
        <v>266143</v>
      </c>
      <c r="T30" s="127">
        <v>261698</v>
      </c>
      <c r="U30" s="127">
        <v>250708</v>
      </c>
      <c r="V30" s="127">
        <v>249217</v>
      </c>
      <c r="W30" s="97">
        <v>242172</v>
      </c>
      <c r="X30" s="98">
        <v>241343</v>
      </c>
      <c r="Y30" s="98">
        <v>236897</v>
      </c>
      <c r="Z30" s="98">
        <v>232199</v>
      </c>
      <c r="AA30" s="98">
        <v>225448</v>
      </c>
      <c r="AB30" s="98">
        <v>229026</v>
      </c>
      <c r="AC30" s="97">
        <v>237414</v>
      </c>
      <c r="AD30" s="98">
        <v>249617</v>
      </c>
      <c r="AE30" s="98">
        <v>244629</v>
      </c>
      <c r="AF30" s="98">
        <v>236291</v>
      </c>
      <c r="AG30" s="98">
        <v>234164</v>
      </c>
      <c r="AH30" s="98">
        <v>244594</v>
      </c>
      <c r="AI30" s="97">
        <v>249320</v>
      </c>
      <c r="AJ30" s="97">
        <v>253083</v>
      </c>
      <c r="AK30" s="97">
        <v>255200</v>
      </c>
      <c r="AL30" s="97">
        <v>259071</v>
      </c>
      <c r="AM30" s="97">
        <v>269071</v>
      </c>
      <c r="AN30" s="97">
        <v>282897</v>
      </c>
      <c r="AO30" s="97">
        <v>299221</v>
      </c>
      <c r="AP30" s="97">
        <v>309866</v>
      </c>
      <c r="AQ30" s="97">
        <v>315189</v>
      </c>
      <c r="AR30" s="97">
        <v>325895</v>
      </c>
      <c r="AS30" s="97">
        <v>341097</v>
      </c>
      <c r="AT30" s="97">
        <v>343480</v>
      </c>
      <c r="AU30" s="97">
        <v>355217</v>
      </c>
      <c r="AV30" s="97">
        <v>343515</v>
      </c>
      <c r="AW30" s="97">
        <v>356641</v>
      </c>
      <c r="AX30" s="97">
        <v>374561</v>
      </c>
      <c r="AY30" s="97">
        <v>372310</v>
      </c>
      <c r="AZ30" s="97">
        <v>404987</v>
      </c>
      <c r="BA30" s="97">
        <v>410467</v>
      </c>
      <c r="BB30" s="97">
        <v>418664</v>
      </c>
      <c r="BC30" s="97">
        <v>422125</v>
      </c>
      <c r="BD30" s="97">
        <v>399306.51</v>
      </c>
      <c r="BE30" s="97">
        <v>400661.83999999997</v>
      </c>
      <c r="BF30" s="97">
        <v>405899.88</v>
      </c>
      <c r="BG30" s="97">
        <v>429560</v>
      </c>
      <c r="BH30" s="97">
        <v>438739</v>
      </c>
      <c r="BI30" s="97">
        <v>438650</v>
      </c>
      <c r="BJ30" s="99">
        <v>432560</v>
      </c>
      <c r="BK30" s="180">
        <v>421903.11653396691</v>
      </c>
      <c r="BL30" s="181">
        <v>403905.57915363589</v>
      </c>
      <c r="BM30" s="180">
        <v>406223.16663107631</v>
      </c>
      <c r="BN30" s="180">
        <v>389614.05388837628</v>
      </c>
      <c r="BO30" s="180">
        <v>376759.43598917406</v>
      </c>
      <c r="BP30" s="180">
        <v>369655.08234315034</v>
      </c>
      <c r="BQ30" s="180">
        <v>369523.10063017538</v>
      </c>
      <c r="BR30" s="180">
        <v>364071.31983415055</v>
      </c>
      <c r="BS30" s="180">
        <v>370367.84278244321</v>
      </c>
      <c r="BT30" s="177" t="e">
        <f>GETPIVOTDATA("Students",'[1]Race &amp; Ethnicity'!$A$4,"SchoolYear","2032-33","RaceEthnicity","American Indian/Alaska Native","Projection","Projection","StateName","California")+GETPIVOTDATA("Students",'[1]Race &amp; Ethnicity'!$A$4,"SchoolYear","2032-33","RaceEthnicity","Asian/Pacific Islander (Combined)","Projection","Projection","StateName","California")+GETPIVOTDATA("Students",'[1]Race &amp; Ethnicity'!$A$4,"SchoolYear","2032-33","RaceEthnicity","Black","Projection","Projection","StateName","California")+GETPIVOTDATA("Students",'[1]Race &amp; Ethnicity'!$A$4,"SchoolYear","2032-33","RaceEthnicity","Hispanic (any race)","Projection","Projection","StateName","California")+GETPIVOTDATA("Students",'[1]Race &amp; Ethnicity'!$A$4,"SchoolYear","2032-33","RaceEthnicity","Two or More Races","Projection","Estimate (Two or more races graduates after SY 2029-30","StateName","California")+GETPIVOTDATA("Students",'[1]Race &amp; Ethnicity'!$A$4,"SchoolYear","2032-33","RaceEthnicity","White","Projection","Projection","StateName","California")</f>
        <v>#REF!</v>
      </c>
      <c r="BU30" s="177" t="e">
        <f>GETPIVOTDATA("Students",'[1]Race &amp; Ethnicity'!$A$4,"SchoolYear","2033-34","RaceEthnicity","American Indian/Alaska Native","Projection","Projection","StateName","California")+GETPIVOTDATA("Students",'[1]Race &amp; Ethnicity'!$A$4,"SchoolYear","2033-34","RaceEthnicity","Asian/Pacific Islander (Combined)","Projection","Projection","StateName","California")+GETPIVOTDATA("Students",'[1]Race &amp; Ethnicity'!$A$4,"SchoolYear","2033-34","RaceEthnicity","Black","Projection","Projection","StateName","California")+GETPIVOTDATA("Students",'[1]Race &amp; Ethnicity'!$A$4,"SchoolYear","2033-34","RaceEthnicity","Hispanic (any race)","Projection","Projection","StateName","California")+GETPIVOTDATA("Students",'[1]Race &amp; Ethnicity'!$A$4,"SchoolYear","2033-34","RaceEthnicity","Two or More Races","Projection","Estimate (Two or more races graduates after SY 2029-30","StateName","California")+GETPIVOTDATA("Students",'[1]Race &amp; Ethnicity'!$A$4,"SchoolYear","2033-34","RaceEthnicity","White","Projection","Projection","StateName","California")</f>
        <v>#REF!</v>
      </c>
      <c r="BV30" t="e">
        <f>GETPIVOTDATA("Students",'[1]Race &amp; Ethnicity'!$A$4,"SchoolYear","2034-35","RaceEthnicity","American Indian/Alaska Native","Projection","Projection","StateName","California")+GETPIVOTDATA("Students",'[1]Race &amp; Ethnicity'!$A$4,"SchoolYear","2034-35","RaceEthnicity","Asian/Pacific Islander (Combined)","Projection","Projection","StateName","California")+GETPIVOTDATA("Students",'[1]Race &amp; Ethnicity'!$A$4,"SchoolYear","2034-35","RaceEthnicity","Black","Projection","Projection","StateName","California")+GETPIVOTDATA("Students",'[1]Race &amp; Ethnicity'!$A$4,"SchoolYear","2034-35","RaceEthnicity","Hispanic (any race)","Projection","Projection","StateName","California")+GETPIVOTDATA("Students",'[1]Race &amp; Ethnicity'!$A$4,"SchoolYear","2034-35","RaceEthnicity","Two or More Races","Projection","Estimate (Two or more races graduates after SY 2029-30","StateName","California")+GETPIVOTDATA("Students",'[1]Race &amp; Ethnicity'!$A$4,"SchoolYear","2034-35","RaceEthnicity","White","Projection","Projection","StateName","California")</f>
        <v>#REF!</v>
      </c>
      <c r="BW30" t="e">
        <f>GETPIVOTDATA("Students",'[1]Race &amp; Ethnicity'!$A$4,"SchoolYear","2035-36","RaceEthnicity","American Indian/Alaska Native","Projection","Projection","StateName","California")+GETPIVOTDATA("Students",'[1]Race &amp; Ethnicity'!$A$4,"SchoolYear","2035-36","RaceEthnicity","Asian/Pacific Islander (Combined)","Projection","Projection","StateName","California")+GETPIVOTDATA("Students",'[1]Race &amp; Ethnicity'!$A$4,"SchoolYear","2035-36","RaceEthnicity","Black","StateName","California")+GETPIVOTDATA("Students",'[1]Race &amp; Ethnicity'!$A$4,"SchoolYear","2035-36","RaceEthnicity","Hispanic (any race)","Projection","Projection","StateName","California")+GETPIVOTDATA("Students",'[1]Race &amp; Ethnicity'!$A$4,"SchoolYear","2035-36","RaceEthnicity","Two or More Races","Projection","Estimate (Two or more races graduates after SY 2029-30","StateName","California")+GETPIVOTDATA("Students",'[1]Race &amp; Ethnicity'!$A$4,"SchoolYear","2035-36","RaceEthnicity","White","Projection","Projection","StateName","California")</f>
        <v>#REF!</v>
      </c>
    </row>
    <row r="31" spans="1:75">
      <c r="A31" s="175" t="s">
        <v>54</v>
      </c>
      <c r="B31" s="98">
        <v>15848</v>
      </c>
      <c r="C31" s="95">
        <f t="shared" si="10"/>
        <v>16607.5</v>
      </c>
      <c r="D31" s="97">
        <v>17367</v>
      </c>
      <c r="E31" s="97">
        <v>17753</v>
      </c>
      <c r="F31" s="97">
        <v>21914</v>
      </c>
      <c r="G31" s="97">
        <v>26749</v>
      </c>
      <c r="H31" s="95">
        <f t="shared" si="11"/>
        <v>27461.599999999999</v>
      </c>
      <c r="I31" s="97">
        <f t="shared" si="11"/>
        <v>28174.199999999997</v>
      </c>
      <c r="J31" s="97">
        <f t="shared" si="11"/>
        <v>28886.799999999996</v>
      </c>
      <c r="K31" s="97">
        <f t="shared" si="11"/>
        <v>29599.399999999994</v>
      </c>
      <c r="L31" s="97">
        <v>30312</v>
      </c>
      <c r="M31" s="97">
        <v>31910</v>
      </c>
      <c r="N31" s="99">
        <v>33454</v>
      </c>
      <c r="O31" s="97">
        <v>33358</v>
      </c>
      <c r="P31" s="99">
        <v>34353</v>
      </c>
      <c r="Q31" s="97">
        <v>34963</v>
      </c>
      <c r="R31" s="127">
        <v>35555</v>
      </c>
      <c r="S31" s="127">
        <v>36647</v>
      </c>
      <c r="T31" s="127">
        <v>37373</v>
      </c>
      <c r="U31" s="127">
        <v>37234</v>
      </c>
      <c r="V31" s="127">
        <v>36804</v>
      </c>
      <c r="W31" s="97">
        <v>35897</v>
      </c>
      <c r="X31" s="98">
        <v>35494</v>
      </c>
      <c r="Y31" s="98">
        <v>34875</v>
      </c>
      <c r="Z31" s="98">
        <v>32954</v>
      </c>
      <c r="AA31" s="98">
        <v>32255</v>
      </c>
      <c r="AB31" s="98">
        <v>32621</v>
      </c>
      <c r="AC31" s="97">
        <v>34200</v>
      </c>
      <c r="AD31" s="98">
        <v>35977</v>
      </c>
      <c r="AE31" s="98">
        <v>35520</v>
      </c>
      <c r="AF31" s="98">
        <v>32967</v>
      </c>
      <c r="AG31" s="98">
        <v>31293</v>
      </c>
      <c r="AH31" s="98">
        <v>31059</v>
      </c>
      <c r="AI31" s="97">
        <v>31839</v>
      </c>
      <c r="AJ31" s="97">
        <v>31867</v>
      </c>
      <c r="AK31" s="97">
        <v>32409</v>
      </c>
      <c r="AL31" s="97">
        <v>32608</v>
      </c>
      <c r="AM31" s="97">
        <v>34231</v>
      </c>
      <c r="AN31" s="97">
        <v>35794</v>
      </c>
      <c r="AO31" s="97">
        <v>36958</v>
      </c>
      <c r="AP31" s="97">
        <v>38924</v>
      </c>
      <c r="AQ31" s="97">
        <v>39241</v>
      </c>
      <c r="AR31" s="97">
        <v>40760</v>
      </c>
      <c r="AS31" s="97">
        <v>42379</v>
      </c>
      <c r="AT31" s="97">
        <v>44777</v>
      </c>
      <c r="AU31" s="97">
        <v>44532</v>
      </c>
      <c r="AV31" s="97">
        <v>44424</v>
      </c>
      <c r="AW31" s="97">
        <v>45628</v>
      </c>
      <c r="AX31" s="97">
        <v>46082</v>
      </c>
      <c r="AY31" s="97">
        <v>47459</v>
      </c>
      <c r="AZ31" s="97">
        <v>49321</v>
      </c>
      <c r="BA31" s="97">
        <v>50122</v>
      </c>
      <c r="BB31" s="97">
        <v>50087</v>
      </c>
      <c r="BC31" s="97">
        <v>50968</v>
      </c>
      <c r="BD31" s="97">
        <v>47493.120000000003</v>
      </c>
      <c r="BE31" s="97">
        <v>47763.67</v>
      </c>
      <c r="BF31" s="97">
        <v>49837.974000000002</v>
      </c>
      <c r="BG31" s="97">
        <v>55356</v>
      </c>
      <c r="BH31" s="97">
        <v>57879</v>
      </c>
      <c r="BI31" s="97">
        <v>58031</v>
      </c>
      <c r="BJ31" s="99">
        <v>58510</v>
      </c>
      <c r="BK31" s="180">
        <v>59411.776052513567</v>
      </c>
      <c r="BL31" s="181">
        <v>60236.806243073544</v>
      </c>
      <c r="BM31" s="180">
        <v>59125.725858835307</v>
      </c>
      <c r="BN31" s="180">
        <v>57961.768761286679</v>
      </c>
      <c r="BO31" s="180">
        <v>56064.865525430403</v>
      </c>
      <c r="BP31" s="180">
        <v>54962.683578977507</v>
      </c>
      <c r="BQ31" s="180">
        <v>55123.25829653236</v>
      </c>
      <c r="BR31" s="180">
        <v>54933.766668732969</v>
      </c>
      <c r="BS31" s="180">
        <v>55627.351377182618</v>
      </c>
      <c r="BT31" s="177" t="e">
        <f>GETPIVOTDATA("Students",'[1]Race &amp; Ethnicity'!$A$4,"SchoolYear","2032-33","RaceEthnicity","American Indian/Alaska Native","Projection","Projection","StateName","Colorado")+GETPIVOTDATA("Students",'[1]Race &amp; Ethnicity'!$A$4,"SchoolYear","2032-33","RaceEthnicity","Asian/Pacific Islander (Combined)","Projection","Projection","StateName","Colorado")+GETPIVOTDATA("Students",'[1]Race &amp; Ethnicity'!$A$4,"SchoolYear","2032-33","RaceEthnicity","Black","Projection","Projection","StateName","Colorado")+GETPIVOTDATA("Students",'[1]Race &amp; Ethnicity'!$A$4,"SchoolYear","2032-33","RaceEthnicity","Hispanic (any race)","Projection","Projection","StateName","Colorado")+GETPIVOTDATA("Students",'[1]Race &amp; Ethnicity'!$A$4,"SchoolYear","2032-33","RaceEthnicity","Two or More Races","Projection","Estimate (Two or more races graduates after SY 2029-30","StateName","Colorado")+GETPIVOTDATA("Students",'[1]Race &amp; Ethnicity'!$A$4,"SchoolYear","2032-33","RaceEthnicity","White","Projection","Projection","StateName","Colorado")</f>
        <v>#REF!</v>
      </c>
      <c r="BU31" s="177" t="e">
        <f>GETPIVOTDATA("Students",'[1]Race &amp; Ethnicity'!$A$4,"SchoolYear","2033-34","RaceEthnicity","American Indian/Alaska Native","Projection","Projection","StateName","Colorado")+GETPIVOTDATA("Students",'[1]Race &amp; Ethnicity'!$A$4,"SchoolYear","2033-34","RaceEthnicity","Asian/Pacific Islander (Combined)","Projection","Projection","StateName","Colorado")+GETPIVOTDATA("Students",'[1]Race &amp; Ethnicity'!$A$4,"SchoolYear","2033-34","RaceEthnicity","Black","Projection","Projection","StateName","Colorado")+GETPIVOTDATA("Students",'[1]Race &amp; Ethnicity'!$A$4,"SchoolYear","2033-34","RaceEthnicity","Hispanic (any race)","Projection","Projection","StateName","Colorado")+GETPIVOTDATA("Students",'[1]Race &amp; Ethnicity'!$A$4,"SchoolYear","2033-34","RaceEthnicity","Two or More Races","Projection","Estimate (Two or more races graduates after SY 2029-30","StateName","Colorado")+GETPIVOTDATA("Students",'[1]Race &amp; Ethnicity'!$A$4,"SchoolYear","2033-34","RaceEthnicity","White","Projection","Projection","StateName","Colorado")</f>
        <v>#REF!</v>
      </c>
      <c r="BV31" t="e">
        <f>GETPIVOTDATA("Students",'[1]Race &amp; Ethnicity'!$A$4,"SchoolYear","2034-35","RaceEthnicity","American Indian/Alaska Native","Projection","Projection","StateName","Colorado")+GETPIVOTDATA("Students",'[1]Race &amp; Ethnicity'!$A$4,"SchoolYear","2034-35","RaceEthnicity","Asian/Pacific Islander (Combined)","Projection","Projection","StateName","Colorado")+GETPIVOTDATA("Students",'[1]Race &amp; Ethnicity'!$A$4,"SchoolYear","2034-35","RaceEthnicity","Black","Projection","Projection","StateName","Colorado")+GETPIVOTDATA("Students",'[1]Race &amp; Ethnicity'!$A$4,"SchoolYear","2034-35","RaceEthnicity","Hispanic (any race)","Projection","Projection","StateName","Colorado")+GETPIVOTDATA("Students",'[1]Race &amp; Ethnicity'!$A$4,"SchoolYear","2034-35","RaceEthnicity","Two or More Races","Projection","Estimate (Two or more races graduates after SY 2029-30","StateName","Colorado")+GETPIVOTDATA("Students",'[1]Race &amp; Ethnicity'!$A$4,"SchoolYear","2034-35","RaceEthnicity","White","Projection","Projection","StateName","Colorado")</f>
        <v>#REF!</v>
      </c>
      <c r="BW31" t="e">
        <f>GETPIVOTDATA("Students",'[1]Race &amp; Ethnicity'!$A$4,"SchoolYear","2035-36","RaceEthnicity","American Indian/Alaska Native","Projection","Projection","StateName","Colorado")+GETPIVOTDATA("Students",'[1]Race &amp; Ethnicity'!$A$4,"SchoolYear","2035-36","RaceEthnicity","Asian/Pacific Islander (Combined)","Projection","Projection","StateName","Colorado")+GETPIVOTDATA("Students",'[1]Race &amp; Ethnicity'!$A$4,"SchoolYear","2035-36","RaceEthnicity","Black","StateName","Colorado")+GETPIVOTDATA("Students",'[1]Race &amp; Ethnicity'!$A$4,"SchoolYear","2035-36","RaceEthnicity","Hispanic (any race)","Projection","Projection","StateName","Colorado")+GETPIVOTDATA("Students",'[1]Race &amp; Ethnicity'!$A$4,"SchoolYear","2035-36","RaceEthnicity","Two or More Races","Projection","Estimate (Two or more races graduates after SY 2029-30","StateName","Colorado")+GETPIVOTDATA("Students",'[1]Race &amp; Ethnicity'!$A$4,"SchoolYear","2035-36","RaceEthnicity","White","Projection","Projection","StateName","Colorado")</f>
        <v>#REF!</v>
      </c>
    </row>
    <row r="32" spans="1:75">
      <c r="A32" s="175" t="s">
        <v>55</v>
      </c>
      <c r="B32" s="98">
        <v>6287</v>
      </c>
      <c r="C32" s="95">
        <f t="shared" si="10"/>
        <v>7040</v>
      </c>
      <c r="D32" s="97">
        <v>7793</v>
      </c>
      <c r="E32" s="97">
        <v>7730</v>
      </c>
      <c r="F32" s="97">
        <v>8325</v>
      </c>
      <c r="G32" s="97">
        <v>9200</v>
      </c>
      <c r="H32" s="95">
        <f t="shared" si="11"/>
        <v>9441.4</v>
      </c>
      <c r="I32" s="97">
        <f t="shared" si="11"/>
        <v>9682.7999999999993</v>
      </c>
      <c r="J32" s="97">
        <f t="shared" si="11"/>
        <v>9924.1999999999989</v>
      </c>
      <c r="K32" s="97">
        <f t="shared" si="11"/>
        <v>10165.599999999999</v>
      </c>
      <c r="L32" s="97">
        <v>10407</v>
      </c>
      <c r="M32" s="97">
        <v>10471</v>
      </c>
      <c r="N32" s="99">
        <v>11185</v>
      </c>
      <c r="O32" s="97">
        <v>11147</v>
      </c>
      <c r="P32" s="99">
        <v>11426</v>
      </c>
      <c r="Q32" s="97">
        <v>11283</v>
      </c>
      <c r="R32" s="127">
        <v>11284</v>
      </c>
      <c r="S32" s="127">
        <v>11637</v>
      </c>
      <c r="T32" s="127">
        <v>11190</v>
      </c>
      <c r="U32" s="127">
        <v>11637</v>
      </c>
      <c r="V32" s="127">
        <v>11493</v>
      </c>
      <c r="W32" s="97">
        <v>11472</v>
      </c>
      <c r="X32" s="98">
        <v>11563</v>
      </c>
      <c r="Y32" s="98">
        <v>10757</v>
      </c>
      <c r="Z32" s="98">
        <v>10454</v>
      </c>
      <c r="AA32" s="98">
        <v>10092</v>
      </c>
      <c r="AB32" s="98">
        <v>9958</v>
      </c>
      <c r="AC32" s="97">
        <v>10371</v>
      </c>
      <c r="AD32" s="98">
        <v>10575</v>
      </c>
      <c r="AE32" s="98">
        <v>10404</v>
      </c>
      <c r="AF32" s="98">
        <v>10325</v>
      </c>
      <c r="AG32" s="98">
        <v>8974</v>
      </c>
      <c r="AH32" s="98">
        <v>9160</v>
      </c>
      <c r="AI32" s="97">
        <v>8854</v>
      </c>
      <c r="AJ32" s="97">
        <v>9369</v>
      </c>
      <c r="AK32" s="97">
        <v>9407</v>
      </c>
      <c r="AL32" s="97">
        <v>9387</v>
      </c>
      <c r="AM32" s="97">
        <v>8929</v>
      </c>
      <c r="AN32" s="97">
        <v>9670</v>
      </c>
      <c r="AO32" s="97">
        <v>9714</v>
      </c>
      <c r="AP32" s="97">
        <v>10437</v>
      </c>
      <c r="AQ32" s="97">
        <v>10102</v>
      </c>
      <c r="AR32" s="97">
        <v>10452</v>
      </c>
      <c r="AS32" s="97">
        <v>10013</v>
      </c>
      <c r="AT32" s="97">
        <v>10324</v>
      </c>
      <c r="AU32" s="97">
        <v>10813</v>
      </c>
      <c r="AV32" s="97">
        <v>10922</v>
      </c>
      <c r="AW32" s="97">
        <v>11063</v>
      </c>
      <c r="AX32" s="97">
        <v>11613</v>
      </c>
      <c r="AY32" s="97">
        <v>11508</v>
      </c>
      <c r="AZ32" s="97">
        <v>10998</v>
      </c>
      <c r="BA32" s="97">
        <v>10716</v>
      </c>
      <c r="BB32" s="97">
        <v>11360</v>
      </c>
      <c r="BC32" s="97">
        <v>10790</v>
      </c>
      <c r="BD32" s="97">
        <v>10684.715999999999</v>
      </c>
      <c r="BE32" s="97">
        <v>10403.183999999999</v>
      </c>
      <c r="BF32" s="97">
        <v>10644.317000000001</v>
      </c>
      <c r="BG32" s="97">
        <v>10887</v>
      </c>
      <c r="BH32" s="97">
        <v>11370</v>
      </c>
      <c r="BI32" s="97">
        <v>10853</v>
      </c>
      <c r="BJ32" s="99">
        <v>11180</v>
      </c>
      <c r="BK32" s="180">
        <v>12015.000082258863</v>
      </c>
      <c r="BL32" s="181">
        <v>12627.051995336755</v>
      </c>
      <c r="BM32" s="180">
        <v>12603.499833478734</v>
      </c>
      <c r="BN32" s="180">
        <v>12211.720976476468</v>
      </c>
      <c r="BO32" s="180">
        <v>12323.328872861668</v>
      </c>
      <c r="BP32" s="180">
        <v>12274.851803892201</v>
      </c>
      <c r="BQ32" s="180">
        <v>12325.133606724703</v>
      </c>
      <c r="BR32" s="180">
        <v>12308.278515037271</v>
      </c>
      <c r="BS32" s="180">
        <v>12021.02238495442</v>
      </c>
      <c r="BT32" s="177" t="e">
        <f>GETPIVOTDATA("Students",'[1]Race &amp; Ethnicity'!$A$4,"SchoolYear","2032-33","RaceEthnicity","American Indian/Alaska Native","Projection","Projection","StateName","Hawaii")+GETPIVOTDATA("Students",'[1]Race &amp; Ethnicity'!$A$4,"SchoolYear","2032-33","RaceEthnicity","Asian/Pacific Islander (Combined)","Projection","Projection","StateName","Hawaii")+GETPIVOTDATA("Students",'[1]Race &amp; Ethnicity'!$A$4,"SchoolYear","2032-33","RaceEthnicity","Black","Projection","Projection","StateName","Hawaii")+GETPIVOTDATA("Students",'[1]Race &amp; Ethnicity'!$A$4,"SchoolYear","2032-33","RaceEthnicity","Hispanic (any race)","Projection","Projection","StateName","Hawaii")+GETPIVOTDATA("Students",'[1]Race &amp; Ethnicity'!$A$4,"SchoolYear","2032-33","RaceEthnicity","Two or More Races","Projection","Estimate (Two or more races graduates after SY 2029-30","StateName","Hawaii")+GETPIVOTDATA("Students",'[1]Race &amp; Ethnicity'!$A$4,"SchoolYear","2032-33","RaceEthnicity","White","Projection","Projection","StateName","Hawaii")</f>
        <v>#REF!</v>
      </c>
      <c r="BU32" s="177" t="e">
        <f>GETPIVOTDATA("Students",'[1]Race &amp; Ethnicity'!$A$4,"SchoolYear","2033-34","RaceEthnicity","American Indian/Alaska Native","Projection","Projection","StateName","Hawaii")+GETPIVOTDATA("Students",'[1]Race &amp; Ethnicity'!$A$4,"SchoolYear","2033-34","RaceEthnicity","Asian/Pacific Islander (Combined)","Projection","Projection","StateName","Hawaii")+GETPIVOTDATA("Students",'[1]Race &amp; Ethnicity'!$A$4,"SchoolYear","2033-34","RaceEthnicity","Black","Projection","Projection","StateName","Hawaii")+GETPIVOTDATA("Students",'[1]Race &amp; Ethnicity'!$A$4,"SchoolYear","2033-34","RaceEthnicity","Hispanic (any race)","Projection","Projection","StateName","Hawaii")+GETPIVOTDATA("Students",'[1]Race &amp; Ethnicity'!$A$4,"SchoolYear","2033-34","RaceEthnicity","Two or More Races","Projection","Estimate (Two or more races graduates after SY 2029-30","StateName","Hawaii")+GETPIVOTDATA("Students",'[1]Race &amp; Ethnicity'!$A$4,"SchoolYear","2033-34","RaceEthnicity","White","Projection","Projection","StateName","Hawaii")</f>
        <v>#REF!</v>
      </c>
      <c r="BV32" t="e">
        <f>GETPIVOTDATA("Students",'[1]Race &amp; Ethnicity'!$A$4,"SchoolYear","2034-35","RaceEthnicity","American Indian/Alaska Native","Projection","Projection","StateName","Hawaii")+GETPIVOTDATA("Students",'[1]Race &amp; Ethnicity'!$A$4,"SchoolYear","2034-35","RaceEthnicity","Asian/Pacific Islander (Combined)","Projection","Projection","StateName","Hawaii")+GETPIVOTDATA("Students",'[1]Race &amp; Ethnicity'!$A$4,"SchoolYear","2034-35","RaceEthnicity","Black","Projection","Projection","StateName","Hawaii")+GETPIVOTDATA("Students",'[1]Race &amp; Ethnicity'!$A$4,"SchoolYear","2034-35","RaceEthnicity","Hispanic (any race)","Projection","Projection","StateName","Hawaii")+GETPIVOTDATA("Students",'[1]Race &amp; Ethnicity'!$A$4,"SchoolYear","2034-35","RaceEthnicity","Two or More Races","Projection","Estimate (Two or more races graduates after SY 2029-30","StateName","Hawaii")+GETPIVOTDATA("Students",'[1]Race &amp; Ethnicity'!$A$4,"SchoolYear","2034-35","RaceEthnicity","White","Projection","Projection","StateName","Hawaii")</f>
        <v>#REF!</v>
      </c>
      <c r="BW32" t="e">
        <f>GETPIVOTDATA("Students",'[1]Race &amp; Ethnicity'!$A$4,"SchoolYear","2035-36","RaceEthnicity","American Indian/Alaska Native","Projection","Projection","StateName","Hawaii")+GETPIVOTDATA("Students",'[1]Race &amp; Ethnicity'!$A$4,"SchoolYear","2035-36","RaceEthnicity","Asian/Pacific Islander (Combined)","Projection","Projection","StateName","Hawaii")+GETPIVOTDATA("Students",'[1]Race &amp; Ethnicity'!$A$4,"SchoolYear","2035-36","RaceEthnicity","Black","StateName","Hawaii")+GETPIVOTDATA("Students",'[1]Race &amp; Ethnicity'!$A$4,"SchoolYear","2035-36","RaceEthnicity","Hispanic (any race)","Projection","Projection","StateName","Hawaii")+GETPIVOTDATA("Students",'[1]Race &amp; Ethnicity'!$A$4,"SchoolYear","2035-36","RaceEthnicity","Two or More Races","Projection","Estimate (Two or more races graduates after SY 2029-30","StateName","Hawaii")+GETPIVOTDATA("Students",'[1]Race &amp; Ethnicity'!$A$4,"SchoolYear","2035-36","RaceEthnicity","White","Projection","Projection","StateName","Hawaii")</f>
        <v>#REF!</v>
      </c>
    </row>
    <row r="33" spans="1:75">
      <c r="A33" s="175" t="s">
        <v>56</v>
      </c>
      <c r="B33" s="98">
        <v>8179</v>
      </c>
      <c r="C33" s="95">
        <f t="shared" si="10"/>
        <v>8450.5</v>
      </c>
      <c r="D33" s="97">
        <v>8722</v>
      </c>
      <c r="E33" s="97">
        <v>8681</v>
      </c>
      <c r="F33" s="97">
        <v>9247</v>
      </c>
      <c r="G33" s="97">
        <v>11518</v>
      </c>
      <c r="H33" s="95">
        <f t="shared" si="11"/>
        <v>11673.6</v>
      </c>
      <c r="I33" s="97">
        <f t="shared" si="11"/>
        <v>11829.2</v>
      </c>
      <c r="J33" s="97">
        <f t="shared" si="11"/>
        <v>11984.800000000001</v>
      </c>
      <c r="K33" s="97">
        <f t="shared" si="11"/>
        <v>12140.400000000001</v>
      </c>
      <c r="L33" s="97">
        <v>12296</v>
      </c>
      <c r="M33" s="97">
        <v>12360</v>
      </c>
      <c r="N33" s="99">
        <v>12829</v>
      </c>
      <c r="O33" s="97">
        <v>12714</v>
      </c>
      <c r="P33" s="99">
        <v>12776</v>
      </c>
      <c r="Q33" s="97">
        <v>12631</v>
      </c>
      <c r="R33" s="127">
        <v>11940</v>
      </c>
      <c r="S33" s="127">
        <v>13029</v>
      </c>
      <c r="T33" s="127">
        <v>13301</v>
      </c>
      <c r="U33" s="127">
        <v>13432</v>
      </c>
      <c r="V33" s="127">
        <v>13187</v>
      </c>
      <c r="W33" s="97">
        <v>12679</v>
      </c>
      <c r="X33" s="98">
        <v>12560</v>
      </c>
      <c r="Y33" s="98">
        <v>12126</v>
      </c>
      <c r="Z33" s="98">
        <v>11732</v>
      </c>
      <c r="AA33" s="98">
        <v>12148</v>
      </c>
      <c r="AB33" s="98">
        <v>12059</v>
      </c>
      <c r="AC33" s="97">
        <v>12243</v>
      </c>
      <c r="AD33" s="98">
        <v>12425</v>
      </c>
      <c r="AE33" s="98">
        <v>12520</v>
      </c>
      <c r="AF33" s="98">
        <v>11971</v>
      </c>
      <c r="AG33" s="98">
        <v>11961</v>
      </c>
      <c r="AH33" s="98">
        <v>12734</v>
      </c>
      <c r="AI33" s="97">
        <v>12974</v>
      </c>
      <c r="AJ33" s="97">
        <v>13281</v>
      </c>
      <c r="AK33" s="97">
        <v>14198</v>
      </c>
      <c r="AL33" s="97">
        <v>14667</v>
      </c>
      <c r="AM33" s="97">
        <v>15407</v>
      </c>
      <c r="AN33" s="97">
        <v>15523</v>
      </c>
      <c r="AO33" s="97">
        <v>15716</v>
      </c>
      <c r="AP33" s="97">
        <v>16170</v>
      </c>
      <c r="AQ33" s="97">
        <v>15941</v>
      </c>
      <c r="AR33" s="97">
        <v>15874</v>
      </c>
      <c r="AS33" s="97">
        <v>15858</v>
      </c>
      <c r="AT33" s="97">
        <v>15547</v>
      </c>
      <c r="AU33" s="97">
        <v>15768</v>
      </c>
      <c r="AV33" s="97">
        <v>16096</v>
      </c>
      <c r="AW33" s="97">
        <v>16242</v>
      </c>
      <c r="AX33" s="97">
        <v>16567</v>
      </c>
      <c r="AY33" s="97">
        <v>16807</v>
      </c>
      <c r="AZ33" s="97">
        <v>17793</v>
      </c>
      <c r="BA33" s="97">
        <v>17525</v>
      </c>
      <c r="BB33" s="97">
        <v>17568</v>
      </c>
      <c r="BC33" s="97">
        <v>17198</v>
      </c>
      <c r="BD33" s="97">
        <v>17655.32</v>
      </c>
      <c r="BE33" s="97">
        <v>16920.894</v>
      </c>
      <c r="BF33" s="97">
        <v>17440.751</v>
      </c>
      <c r="BG33" s="97">
        <v>18033</v>
      </c>
      <c r="BH33" s="97">
        <v>19247</v>
      </c>
      <c r="BI33" s="97">
        <v>19569</v>
      </c>
      <c r="BJ33" s="99">
        <v>19770</v>
      </c>
      <c r="BK33" s="180">
        <v>22125.654541932327</v>
      </c>
      <c r="BL33" s="181">
        <v>23058.184538852987</v>
      </c>
      <c r="BM33" s="180">
        <v>23398.445776955723</v>
      </c>
      <c r="BN33" s="180">
        <v>22092.879586402421</v>
      </c>
      <c r="BO33" s="180">
        <v>21554.076263975174</v>
      </c>
      <c r="BP33" s="180">
        <v>20662.606072729115</v>
      </c>
      <c r="BQ33" s="180">
        <v>21294.361368751201</v>
      </c>
      <c r="BR33" s="180">
        <v>20738.382044714916</v>
      </c>
      <c r="BS33" s="180">
        <v>21238.293230287396</v>
      </c>
      <c r="BT33" s="177" t="e">
        <f>GETPIVOTDATA("Students",'[1]Race &amp; Ethnicity'!$A$4,"SchoolYear","2032-33","RaceEthnicity","American Indian/Alaska Native","Projection","Projection","StateName","Idaho")+GETPIVOTDATA("Students",'[1]Race &amp; Ethnicity'!$A$4,"SchoolYear","2032-33","RaceEthnicity","Asian/Pacific Islander (Combined)","Projection","Projection","StateName","Idaho")+GETPIVOTDATA("Students",'[1]Race &amp; Ethnicity'!$A$4,"SchoolYear","2032-33","RaceEthnicity","Black","Projection","Projection","StateName","Idaho")+GETPIVOTDATA("Students",'[1]Race &amp; Ethnicity'!$A$4,"SchoolYear","2032-33","RaceEthnicity","Hispanic (any race)","Projection","Projection","StateName","Idaho")+GETPIVOTDATA("Students",'[1]Race &amp; Ethnicity'!$A$4,"SchoolYear","2032-33","RaceEthnicity","Two or More Races","Projection","Estimate (Two or more races graduates after SY 2029-30","StateName","Idaho")+GETPIVOTDATA("Students",'[1]Race &amp; Ethnicity'!$A$4,"SchoolYear","2032-33","RaceEthnicity","White","Projection","Projection","StateName","Idaho")</f>
        <v>#REF!</v>
      </c>
      <c r="BU33" s="177" t="e">
        <f>GETPIVOTDATA("Students",'[1]Race &amp; Ethnicity'!$A$4,"SchoolYear","2033-34","RaceEthnicity","American Indian/Alaska Native","Projection","Projection","StateName","Idaho")+GETPIVOTDATA("Students",'[1]Race &amp; Ethnicity'!$A$4,"SchoolYear","2033-34","RaceEthnicity","Asian/Pacific Islander (Combined)","Projection","Projection","StateName","Idaho")+GETPIVOTDATA("Students",'[1]Race &amp; Ethnicity'!$A$4,"SchoolYear","2033-34","RaceEthnicity","Black","Projection","Projection","StateName","Idaho")+GETPIVOTDATA("Students",'[1]Race &amp; Ethnicity'!$A$4,"SchoolYear","2033-34","RaceEthnicity","Hispanic (any race)","Projection","Projection","StateName","Idaho")+GETPIVOTDATA("Students",'[1]Race &amp; Ethnicity'!$A$4,"SchoolYear","2033-34","RaceEthnicity","Two or More Races","Projection","Estimate (Two or more races graduates after SY 2029-30","StateName","Idaho")+GETPIVOTDATA("Students",'[1]Race &amp; Ethnicity'!$A$4,"SchoolYear","2033-34","RaceEthnicity","White","Projection","Projection","StateName","Idaho")</f>
        <v>#REF!</v>
      </c>
      <c r="BV33" t="e">
        <f>GETPIVOTDATA("Students",'[1]Race &amp; Ethnicity'!$A$4,"SchoolYear","2034-35","RaceEthnicity","American Indian/Alaska Native","Projection","Projection","StateName","Idaho")+GETPIVOTDATA("Students",'[1]Race &amp; Ethnicity'!$A$4,"SchoolYear","2034-35","RaceEthnicity","Asian/Pacific Islander (Combined)","Projection","Projection","StateName","Idaho")+GETPIVOTDATA("Students",'[1]Race &amp; Ethnicity'!$A$4,"SchoolYear","2034-35","RaceEthnicity","Black","Projection","Projection","StateName","Idaho")+GETPIVOTDATA("Students",'[1]Race &amp; Ethnicity'!$A$4,"SchoolYear","2034-35","RaceEthnicity","Hispanic (any race)","Projection","Projection","StateName","Idaho")+GETPIVOTDATA("Students",'[1]Race &amp; Ethnicity'!$A$4,"SchoolYear","2034-35","RaceEthnicity","Two or More Races","Projection","Estimate (Two or more races graduates after SY 2029-30","StateName","Idaho")+GETPIVOTDATA("Students",'[1]Race &amp; Ethnicity'!$A$4,"SchoolYear","2034-35","RaceEthnicity","White","Projection","Projection","StateName","Idaho")</f>
        <v>#REF!</v>
      </c>
      <c r="BW33" t="e">
        <f>GETPIVOTDATA("Students",'[1]Race &amp; Ethnicity'!$A$4,"SchoolYear","2035-36","RaceEthnicity","American Indian/Alaska Native","Projection","Projection","StateName","Idaho")+GETPIVOTDATA("Students",'[1]Race &amp; Ethnicity'!$A$4,"SchoolYear","2035-36","RaceEthnicity","Asian/Pacific Islander (Combined)","Projection","Projection","StateName","Idaho")+GETPIVOTDATA("Students",'[1]Race &amp; Ethnicity'!$A$4,"SchoolYear","2035-36","RaceEthnicity","Black","StateName","Idaho")+GETPIVOTDATA("Students",'[1]Race &amp; Ethnicity'!$A$4,"SchoolYear","2035-36","RaceEthnicity","Hispanic (any race)","Projection","Projection","StateName","Idaho")+GETPIVOTDATA("Students",'[1]Race &amp; Ethnicity'!$A$4,"SchoolYear","2035-36","RaceEthnicity","Two or More Races","Projection","Estimate (Two or more races graduates after SY 2029-30","StateName","Idaho")+GETPIVOTDATA("Students",'[1]Race &amp; Ethnicity'!$A$4,"SchoolYear","2035-36","RaceEthnicity","White","Projection","Projection","StateName","Idaho")</f>
        <v>#REF!</v>
      </c>
    </row>
    <row r="34" spans="1:75">
      <c r="A34" s="175" t="s">
        <v>57</v>
      </c>
      <c r="B34" s="98">
        <v>6974</v>
      </c>
      <c r="C34" s="95">
        <f t="shared" si="10"/>
        <v>7193.5</v>
      </c>
      <c r="D34" s="97">
        <v>7413</v>
      </c>
      <c r="E34" s="97">
        <v>7386</v>
      </c>
      <c r="F34" s="97">
        <v>8370</v>
      </c>
      <c r="G34" s="97">
        <v>9941</v>
      </c>
      <c r="H34" s="95">
        <f t="shared" si="11"/>
        <v>10256.799999999999</v>
      </c>
      <c r="I34" s="97">
        <f t="shared" si="11"/>
        <v>10572.599999999999</v>
      </c>
      <c r="J34" s="97">
        <f t="shared" si="11"/>
        <v>10888.399999999998</v>
      </c>
      <c r="K34" s="97">
        <f t="shared" si="11"/>
        <v>11204.199999999997</v>
      </c>
      <c r="L34" s="97">
        <v>11520</v>
      </c>
      <c r="M34" s="97">
        <v>11500</v>
      </c>
      <c r="N34" s="99">
        <v>10652</v>
      </c>
      <c r="O34" s="97">
        <v>10504</v>
      </c>
      <c r="P34" s="99">
        <v>12135</v>
      </c>
      <c r="Q34" s="97">
        <v>12293</v>
      </c>
      <c r="R34" s="127">
        <v>12136</v>
      </c>
      <c r="S34" s="127">
        <v>12328</v>
      </c>
      <c r="T34" s="127">
        <v>12184</v>
      </c>
      <c r="U34" s="127">
        <v>12068</v>
      </c>
      <c r="V34" s="127">
        <v>12135</v>
      </c>
      <c r="W34" s="97">
        <v>11634</v>
      </c>
      <c r="X34" s="98">
        <v>11162</v>
      </c>
      <c r="Y34" s="98">
        <v>10689</v>
      </c>
      <c r="Z34" s="98">
        <v>10224</v>
      </c>
      <c r="AA34" s="98">
        <v>10016</v>
      </c>
      <c r="AB34" s="98">
        <v>9761</v>
      </c>
      <c r="AC34" s="97">
        <v>10073</v>
      </c>
      <c r="AD34" s="98">
        <v>10311</v>
      </c>
      <c r="AE34" s="98">
        <v>10490</v>
      </c>
      <c r="AF34" s="98">
        <v>9370</v>
      </c>
      <c r="AG34" s="98">
        <v>9013</v>
      </c>
      <c r="AH34" s="98">
        <v>9046</v>
      </c>
      <c r="AI34" s="97">
        <v>9389</v>
      </c>
      <c r="AJ34" s="97">
        <v>9601</v>
      </c>
      <c r="AK34" s="97">
        <v>10134</v>
      </c>
      <c r="AL34" s="97">
        <v>10139</v>
      </c>
      <c r="AM34" s="97">
        <v>10322</v>
      </c>
      <c r="AN34" s="97">
        <v>10656</v>
      </c>
      <c r="AO34" s="97">
        <v>10925</v>
      </c>
      <c r="AP34" s="97">
        <v>10903</v>
      </c>
      <c r="AQ34" s="97">
        <v>10628</v>
      </c>
      <c r="AR34" s="97">
        <v>10554</v>
      </c>
      <c r="AS34" s="97">
        <v>10657</v>
      </c>
      <c r="AT34" s="97">
        <v>10500</v>
      </c>
      <c r="AU34" s="97">
        <v>10335</v>
      </c>
      <c r="AV34" s="97">
        <v>10283</v>
      </c>
      <c r="AW34" s="97">
        <v>10122</v>
      </c>
      <c r="AX34" s="97">
        <v>10396</v>
      </c>
      <c r="AY34" s="97">
        <v>10077</v>
      </c>
      <c r="AZ34" s="97">
        <v>10075</v>
      </c>
      <c r="BA34" s="97">
        <v>9732</v>
      </c>
      <c r="BB34" s="97">
        <v>9750</v>
      </c>
      <c r="BC34" s="97">
        <v>9369</v>
      </c>
      <c r="BD34" s="97">
        <v>9270.1700000000019</v>
      </c>
      <c r="BE34" s="97">
        <v>9156.42</v>
      </c>
      <c r="BF34" s="97">
        <v>9119.8240000000005</v>
      </c>
      <c r="BG34" s="97">
        <v>9303</v>
      </c>
      <c r="BH34" s="97">
        <v>9155</v>
      </c>
      <c r="BI34" s="97">
        <v>9252</v>
      </c>
      <c r="BJ34" s="99">
        <v>9260</v>
      </c>
      <c r="BK34" s="180">
        <v>10200.451680104841</v>
      </c>
      <c r="BL34" s="181">
        <v>10174.204147183258</v>
      </c>
      <c r="BM34" s="180">
        <v>10397.021922739239</v>
      </c>
      <c r="BN34" s="180">
        <v>10131.762711513213</v>
      </c>
      <c r="BO34" s="180">
        <v>9951.0979388302912</v>
      </c>
      <c r="BP34" s="180">
        <v>9931.4911491571929</v>
      </c>
      <c r="BQ34" s="180">
        <v>9906.8196841022364</v>
      </c>
      <c r="BR34" s="180">
        <v>10136.881828805286</v>
      </c>
      <c r="BS34" s="180">
        <v>10211.927748100878</v>
      </c>
      <c r="BT34" s="177" t="e">
        <f>GETPIVOTDATA("Students",'[1]Race &amp; Ethnicity'!$A$4,"SchoolYear","2032-33","RaceEthnicity","American Indian/Alaska Native","Projection","Projection","StateName","Montana")+GETPIVOTDATA("Students",'[1]Race &amp; Ethnicity'!$A$4,"SchoolYear","2032-33","RaceEthnicity","Asian/Pacific Islander (Combined)","Projection","Projection","StateName","Montana")+GETPIVOTDATA("Students",'[1]Race &amp; Ethnicity'!$A$4,"SchoolYear","2032-33","RaceEthnicity","Black","Projection","Projection","StateName","Montana")+GETPIVOTDATA("Students",'[1]Race &amp; Ethnicity'!$A$4,"SchoolYear","2032-33","RaceEthnicity","Hispanic (any race)","Projection","Projection","StateName","Montana")+GETPIVOTDATA("Students",'[1]Race &amp; Ethnicity'!$A$4,"SchoolYear","2032-33","RaceEthnicity","Two or More Races","Projection","Estimate (Two or more races graduates after SY 2029-30","StateName","Montana")+GETPIVOTDATA("Students",'[1]Race &amp; Ethnicity'!$A$4,"SchoolYear","2032-33","RaceEthnicity","White","Projection","Projection","StateName","Montana")</f>
        <v>#REF!</v>
      </c>
      <c r="BU34" s="177" t="e">
        <f>GETPIVOTDATA("Students",'[1]Race &amp; Ethnicity'!$A$4,"SchoolYear","2033-34","RaceEthnicity","American Indian/Alaska Native","Projection","Projection","StateName","Montana")+GETPIVOTDATA("Students",'[1]Race &amp; Ethnicity'!$A$4,"SchoolYear","2033-34","RaceEthnicity","Asian/Pacific Islander (Combined)","Projection","Projection","StateName","Montana")+GETPIVOTDATA("Students",'[1]Race &amp; Ethnicity'!$A$4,"SchoolYear","2033-34","RaceEthnicity","Black","Projection","Projection","StateName","Montana")+GETPIVOTDATA("Students",'[1]Race &amp; Ethnicity'!$A$4,"SchoolYear","2033-34","RaceEthnicity","Hispanic (any race)","Projection","Projection","StateName","Montana")+GETPIVOTDATA("Students",'[1]Race &amp; Ethnicity'!$A$4,"SchoolYear","2033-34","RaceEthnicity","Two or More Races","Projection","Estimate (Two or more races graduates after SY 2029-30","StateName","Montana")+GETPIVOTDATA("Students",'[1]Race &amp; Ethnicity'!$A$4,"SchoolYear","2033-34","RaceEthnicity","White","Projection","Projection","StateName","Montana")</f>
        <v>#REF!</v>
      </c>
      <c r="BV34" t="e">
        <f>GETPIVOTDATA("Students",'[1]Race &amp; Ethnicity'!$A$4,"SchoolYear","2034-35","RaceEthnicity","American Indian/Alaska Native","Projection","Projection","StateName","Montana")+GETPIVOTDATA("Students",'[1]Race &amp; Ethnicity'!$A$4,"SchoolYear","2034-35","RaceEthnicity","Asian/Pacific Islander (Combined)","Projection","Projection","StateName","Montana")+GETPIVOTDATA("Students",'[1]Race &amp; Ethnicity'!$A$4,"SchoolYear","2034-35","RaceEthnicity","Black","Projection","Projection","StateName","Montana")+GETPIVOTDATA("Students",'[1]Race &amp; Ethnicity'!$A$4,"SchoolYear","2034-35","RaceEthnicity","Hispanic (any race)","Projection","Projection","StateName","Montana")+GETPIVOTDATA("Students",'[1]Race &amp; Ethnicity'!$A$4,"SchoolYear","2034-35","RaceEthnicity","Two or More Races","Projection","Estimate (Two or more races graduates after SY 2029-30","StateName","Montana")+GETPIVOTDATA("Students",'[1]Race &amp; Ethnicity'!$A$4,"SchoolYear","2034-35","RaceEthnicity","White","Projection","Projection","StateName","Montana")</f>
        <v>#REF!</v>
      </c>
      <c r="BW34" t="e">
        <f>GETPIVOTDATA("Students",'[1]Race &amp; Ethnicity'!$A$4,"SchoolYear","2035-36","RaceEthnicity","American Indian/Alaska Native","Projection","Projection","StateName","Montana")+GETPIVOTDATA("Students",'[1]Race &amp; Ethnicity'!$A$4,"SchoolYear","2035-36","RaceEthnicity","Asian/Pacific Islander (Combined)","Projection","Projection","StateName","Montana")+GETPIVOTDATA("Students",'[1]Race &amp; Ethnicity'!$A$4,"SchoolYear","2035-36","RaceEthnicity","Black","StateName","Montana")+GETPIVOTDATA("Students",'[1]Race &amp; Ethnicity'!$A$4,"SchoolYear","2035-36","RaceEthnicity","Hispanic (any race)","Projection","Projection","StateName","Montana")+GETPIVOTDATA("Students",'[1]Race &amp; Ethnicity'!$A$4,"SchoolYear","2035-36","RaceEthnicity","Two or More Races","Projection","Estimate (Two or more races graduates after SY 2029-30","StateName","Montana")+GETPIVOTDATA("Students",'[1]Race &amp; Ethnicity'!$A$4,"SchoolYear","2035-36","RaceEthnicity","White","Projection","Projection","StateName","Montana")</f>
        <v>#REF!</v>
      </c>
    </row>
    <row r="35" spans="1:75">
      <c r="A35" s="175" t="s">
        <v>58</v>
      </c>
      <c r="B35" s="98">
        <v>2299</v>
      </c>
      <c r="C35" s="95">
        <f t="shared" si="10"/>
        <v>2468.5</v>
      </c>
      <c r="D35" s="97">
        <v>2638</v>
      </c>
      <c r="E35" s="97">
        <v>2821</v>
      </c>
      <c r="F35" s="97">
        <v>3624</v>
      </c>
      <c r="G35" s="97">
        <v>4751</v>
      </c>
      <c r="H35" s="95">
        <f t="shared" si="11"/>
        <v>4890.6000000000004</v>
      </c>
      <c r="I35" s="97">
        <f t="shared" si="11"/>
        <v>5030.2000000000007</v>
      </c>
      <c r="J35" s="97">
        <f t="shared" si="11"/>
        <v>5169.8000000000011</v>
      </c>
      <c r="K35" s="97">
        <f t="shared" si="11"/>
        <v>5309.4000000000015</v>
      </c>
      <c r="L35" s="97">
        <v>5449</v>
      </c>
      <c r="M35" s="97">
        <v>5899</v>
      </c>
      <c r="N35" s="99">
        <v>6206</v>
      </c>
      <c r="O35" s="97">
        <v>6414</v>
      </c>
      <c r="P35" s="99">
        <v>6960</v>
      </c>
      <c r="Q35" s="97">
        <v>7232</v>
      </c>
      <c r="R35" s="66">
        <v>7566</v>
      </c>
      <c r="S35" s="66">
        <v>7992</v>
      </c>
      <c r="T35" s="66">
        <v>8233</v>
      </c>
      <c r="U35" s="66">
        <v>8319</v>
      </c>
      <c r="V35" s="66">
        <v>8473</v>
      </c>
      <c r="W35" s="97">
        <v>9069</v>
      </c>
      <c r="X35" s="98">
        <v>9240</v>
      </c>
      <c r="Y35" s="98">
        <v>8979</v>
      </c>
      <c r="Z35" s="98">
        <v>8726</v>
      </c>
      <c r="AA35" s="98">
        <v>8572</v>
      </c>
      <c r="AB35" s="98">
        <v>8784</v>
      </c>
      <c r="AC35" s="97">
        <v>9506</v>
      </c>
      <c r="AD35" s="98">
        <v>9404</v>
      </c>
      <c r="AE35" s="98">
        <v>9464</v>
      </c>
      <c r="AF35" s="98">
        <v>9477</v>
      </c>
      <c r="AG35" s="98">
        <v>9370</v>
      </c>
      <c r="AH35" s="98">
        <v>8811</v>
      </c>
      <c r="AI35" s="97">
        <v>9042</v>
      </c>
      <c r="AJ35" s="97">
        <v>9485</v>
      </c>
      <c r="AK35" s="97">
        <v>10038</v>
      </c>
      <c r="AL35" s="97">
        <v>10374</v>
      </c>
      <c r="AM35" s="97">
        <v>12425</v>
      </c>
      <c r="AN35" s="97">
        <v>13052</v>
      </c>
      <c r="AO35" s="97">
        <v>13892</v>
      </c>
      <c r="AP35" s="97">
        <v>14551</v>
      </c>
      <c r="AQ35" s="97">
        <v>15127</v>
      </c>
      <c r="AR35" s="97">
        <v>16270</v>
      </c>
      <c r="AS35" s="97">
        <v>16378</v>
      </c>
      <c r="AT35" s="97">
        <v>15201</v>
      </c>
      <c r="AU35" s="97">
        <v>15740</v>
      </c>
      <c r="AV35" s="97">
        <v>16455</v>
      </c>
      <c r="AW35" s="97">
        <v>17149</v>
      </c>
      <c r="AX35" s="97">
        <v>18815</v>
      </c>
      <c r="AY35" s="97">
        <v>19904</v>
      </c>
      <c r="AZ35" s="97">
        <v>20956</v>
      </c>
      <c r="BA35" s="97">
        <v>21182</v>
      </c>
      <c r="BB35" s="97">
        <v>21891</v>
      </c>
      <c r="BC35" s="97">
        <v>23038</v>
      </c>
      <c r="BD35" s="97">
        <v>23940.699999999997</v>
      </c>
      <c r="BE35" s="97">
        <v>24236.295999999998</v>
      </c>
      <c r="BF35" s="97">
        <v>25322.815999999999</v>
      </c>
      <c r="BG35" s="97">
        <v>29314</v>
      </c>
      <c r="BH35" s="97">
        <v>30051</v>
      </c>
      <c r="BI35" s="97">
        <v>28190</v>
      </c>
      <c r="BJ35" s="99">
        <v>28710</v>
      </c>
      <c r="BK35" s="180">
        <v>25075.926311018924</v>
      </c>
      <c r="BL35" s="181">
        <v>26182.953245859266</v>
      </c>
      <c r="BM35" s="180">
        <v>25807.167765813963</v>
      </c>
      <c r="BN35" s="180">
        <v>24446.906505428211</v>
      </c>
      <c r="BO35" s="180">
        <v>23193.454637817835</v>
      </c>
      <c r="BP35" s="180">
        <v>22695.766320421881</v>
      </c>
      <c r="BQ35" s="180">
        <v>22513.256615149035</v>
      </c>
      <c r="BR35" s="180">
        <v>22654.040766832237</v>
      </c>
      <c r="BS35" s="180">
        <v>23172.609524032356</v>
      </c>
      <c r="BT35" s="177" t="e">
        <f>GETPIVOTDATA("Students",'[1]Race &amp; Ethnicity'!$A$4,"SchoolYear","2032-33","RaceEthnicity","American Indian/Alaska Native","Projection","Projection","StateName","Nevada")+GETPIVOTDATA("Students",'[1]Race &amp; Ethnicity'!$A$4,"SchoolYear","2032-33","RaceEthnicity","Asian/Pacific Islander (Combined)","Projection","Projection","StateName","Nevada")+GETPIVOTDATA("Students",'[1]Race &amp; Ethnicity'!$A$4,"SchoolYear","2032-33","RaceEthnicity","Black","Projection","Projection","StateName","Nevada")+GETPIVOTDATA("Students",'[1]Race &amp; Ethnicity'!$A$4,"SchoolYear","2032-33","RaceEthnicity","Hispanic (any race)","Projection","Projection","StateName","Nevada")+GETPIVOTDATA("Students",'[1]Race &amp; Ethnicity'!$A$4,"SchoolYear","2032-33","RaceEthnicity","Two or More Races","Projection","Estimate (Two or more races graduates after SY 2029-30","StateName","Nevada")+GETPIVOTDATA("Students",'[1]Race &amp; Ethnicity'!$A$4,"SchoolYear","2032-33","RaceEthnicity","White","Projection","Projection","StateName","Nevada")</f>
        <v>#REF!</v>
      </c>
      <c r="BU35" s="177" t="e">
        <f>GETPIVOTDATA("Students",'[1]Race &amp; Ethnicity'!$A$4,"SchoolYear","2033-34","RaceEthnicity","American Indian/Alaska Native","Projection","Projection","StateName","Nevada")+GETPIVOTDATA("Students",'[1]Race &amp; Ethnicity'!$A$4,"SchoolYear","2033-34","RaceEthnicity","Asian/Pacific Islander (Combined)","Projection","Projection","StateName","Nevada")+GETPIVOTDATA("Students",'[1]Race &amp; Ethnicity'!$A$4,"SchoolYear","2033-34","RaceEthnicity","Black","Projection","Projection","StateName","Nevada")+GETPIVOTDATA("Students",'[1]Race &amp; Ethnicity'!$A$4,"SchoolYear","2033-34","RaceEthnicity","Hispanic (any race)","Projection","Projection","StateName","Nevada")+GETPIVOTDATA("Students",'[1]Race &amp; Ethnicity'!$A$4,"SchoolYear","2033-34","RaceEthnicity","Two or More Races","Projection","Estimate (Two or more races graduates after SY 2029-30","StateName","Nevada")+GETPIVOTDATA("Students",'[1]Race &amp; Ethnicity'!$A$4,"SchoolYear","2033-34","RaceEthnicity","White","Projection","Projection","StateName","Nevada")</f>
        <v>#REF!</v>
      </c>
      <c r="BV35" t="e">
        <f>GETPIVOTDATA("Students",'[1]Race &amp; Ethnicity'!$A$4,"SchoolYear","2034-35","RaceEthnicity","American Indian/Alaska Native","Projection","Projection","StateName","Nevada")+GETPIVOTDATA("Students",'[1]Race &amp; Ethnicity'!$A$4,"SchoolYear","2034-35","RaceEthnicity","Asian/Pacific Islander (Combined)","Projection","Projection","StateName","Nevada")+GETPIVOTDATA("Students",'[1]Race &amp; Ethnicity'!$A$4,"SchoolYear","2034-35","RaceEthnicity","Black","Projection","Projection","StateName","Nevada")+GETPIVOTDATA("Students",'[1]Race &amp; Ethnicity'!$A$4,"SchoolYear","2034-35","RaceEthnicity","Hispanic (any race)","Projection","Projection","StateName","Nevada")+GETPIVOTDATA("Students",'[1]Race &amp; Ethnicity'!$A$4,"SchoolYear","2034-35","RaceEthnicity","Two or More Races","Projection","Estimate (Two or more races graduates after SY 2029-30","StateName","Nevada")+GETPIVOTDATA("Students",'[1]Race &amp; Ethnicity'!$A$4,"SchoolYear","2034-35","RaceEthnicity","White","Projection","Projection","StateName","Nevada")</f>
        <v>#REF!</v>
      </c>
      <c r="BW35" t="e">
        <f>GETPIVOTDATA("Students",'[1]Race &amp; Ethnicity'!$A$4,"SchoolYear","2035-36","RaceEthnicity","American Indian/Alaska Native","Projection","Projection","StateName","Nevada")+GETPIVOTDATA("Students",'[1]Race &amp; Ethnicity'!$A$4,"SchoolYear","2035-36","RaceEthnicity","Asian/Pacific Islander (Combined)","Projection","Projection","StateName","Nevada")+GETPIVOTDATA("Students",'[1]Race &amp; Ethnicity'!$A$4,"SchoolYear","2035-36","RaceEthnicity","Black","StateName","Nevada")+GETPIVOTDATA("Students",'[1]Race &amp; Ethnicity'!$A$4,"SchoolYear","2035-36","RaceEthnicity","Hispanic (any race)","Projection","Projection","StateName","Nevada")+GETPIVOTDATA("Students",'[1]Race &amp; Ethnicity'!$A$4,"SchoolYear","2035-36","RaceEthnicity","Two or More Races","Projection","Estimate (Two or more races graduates after SY 2029-30","StateName","Nevada")+GETPIVOTDATA("Students",'[1]Race &amp; Ethnicity'!$A$4,"SchoolYear","2035-36","RaceEthnicity","White","Projection","Projection","StateName","Nevada")</f>
        <v>#REF!</v>
      </c>
    </row>
    <row r="36" spans="1:75">
      <c r="A36" s="175" t="s">
        <v>59</v>
      </c>
      <c r="B36" s="98">
        <v>8211</v>
      </c>
      <c r="C36" s="95">
        <f t="shared" si="10"/>
        <v>8591</v>
      </c>
      <c r="D36" s="97">
        <v>8971</v>
      </c>
      <c r="E36" s="97">
        <v>8852</v>
      </c>
      <c r="F36" s="97">
        <v>10665</v>
      </c>
      <c r="G36" s="97">
        <v>13453</v>
      </c>
      <c r="H36" s="95">
        <f t="shared" si="11"/>
        <v>13974.4</v>
      </c>
      <c r="I36" s="97">
        <f t="shared" si="11"/>
        <v>14495.8</v>
      </c>
      <c r="J36" s="97">
        <f t="shared" si="11"/>
        <v>15017.199999999999</v>
      </c>
      <c r="K36" s="97">
        <f t="shared" si="11"/>
        <v>15538.599999999999</v>
      </c>
      <c r="L36" s="97">
        <v>16060</v>
      </c>
      <c r="M36" s="97">
        <v>16261</v>
      </c>
      <c r="N36" s="99">
        <v>16999</v>
      </c>
      <c r="O36" s="97">
        <v>17248</v>
      </c>
      <c r="P36" s="99">
        <v>17364</v>
      </c>
      <c r="Q36" s="97">
        <v>18438</v>
      </c>
      <c r="R36" s="127">
        <v>17843</v>
      </c>
      <c r="S36" s="127">
        <v>17988</v>
      </c>
      <c r="T36" s="127">
        <v>18444</v>
      </c>
      <c r="U36" s="127">
        <v>18762</v>
      </c>
      <c r="V36" s="127">
        <v>18424</v>
      </c>
      <c r="W36" s="97">
        <v>17915</v>
      </c>
      <c r="X36" s="98">
        <v>17635</v>
      </c>
      <c r="Y36" s="98">
        <v>16530</v>
      </c>
      <c r="Z36" s="98">
        <v>15914</v>
      </c>
      <c r="AA36" s="98">
        <v>15622</v>
      </c>
      <c r="AB36" s="98">
        <v>15468</v>
      </c>
      <c r="AC36" s="97">
        <v>15701</v>
      </c>
      <c r="AD36" s="98">
        <v>15868</v>
      </c>
      <c r="AE36" s="98">
        <v>15481</v>
      </c>
      <c r="AF36" s="98">
        <v>14884</v>
      </c>
      <c r="AG36" s="98">
        <v>15157</v>
      </c>
      <c r="AH36" s="98">
        <v>14824</v>
      </c>
      <c r="AI36" s="97">
        <v>15172</v>
      </c>
      <c r="AJ36" s="97">
        <v>14892</v>
      </c>
      <c r="AK36" s="97">
        <v>14928</v>
      </c>
      <c r="AL36" s="97">
        <v>15402</v>
      </c>
      <c r="AM36" s="97">
        <v>15700</v>
      </c>
      <c r="AN36" s="97">
        <v>16529</v>
      </c>
      <c r="AO36" s="97">
        <v>17317</v>
      </c>
      <c r="AP36" s="97">
        <v>18031</v>
      </c>
      <c r="AQ36" s="97">
        <v>18199</v>
      </c>
      <c r="AR36" s="97">
        <v>18094</v>
      </c>
      <c r="AS36" s="97">
        <v>16923</v>
      </c>
      <c r="AT36" s="97">
        <v>17892</v>
      </c>
      <c r="AU36" s="97">
        <v>17353</v>
      </c>
      <c r="AV36" s="97">
        <v>17822</v>
      </c>
      <c r="AW36" s="97">
        <v>16131</v>
      </c>
      <c r="AX36" s="97">
        <v>18264</v>
      </c>
      <c r="AY36" s="97">
        <v>17931</v>
      </c>
      <c r="AZ36" s="97">
        <v>18595</v>
      </c>
      <c r="BA36" s="97">
        <v>19352</v>
      </c>
      <c r="BB36" s="97">
        <v>20315</v>
      </c>
      <c r="BC36" s="97">
        <v>19232</v>
      </c>
      <c r="BD36" s="97">
        <v>17409.960000000003</v>
      </c>
      <c r="BE36" s="97">
        <v>17742.018</v>
      </c>
      <c r="BF36" s="97">
        <v>18407.46</v>
      </c>
      <c r="BG36" s="97">
        <v>20243</v>
      </c>
      <c r="BH36" s="97">
        <v>20722</v>
      </c>
      <c r="BI36" s="97">
        <v>19775</v>
      </c>
      <c r="BJ36" s="99">
        <v>19620</v>
      </c>
      <c r="BK36" s="180">
        <v>19805.802132738605</v>
      </c>
      <c r="BL36" s="181">
        <v>20368.214960412624</v>
      </c>
      <c r="BM36" s="180">
        <v>20412.754394314979</v>
      </c>
      <c r="BN36" s="180">
        <v>19602.239480278349</v>
      </c>
      <c r="BO36" s="180">
        <v>18753.364304299612</v>
      </c>
      <c r="BP36" s="180">
        <v>18317.743350804783</v>
      </c>
      <c r="BQ36" s="180">
        <v>18194.291376942681</v>
      </c>
      <c r="BR36" s="180">
        <v>17747.586948647378</v>
      </c>
      <c r="BS36" s="180">
        <v>17540.336149074417</v>
      </c>
      <c r="BT36" s="177" t="e">
        <f>GETPIVOTDATA("Students",'[1]Race &amp; Ethnicity'!$A$4,"SchoolYear","2032-33","RaceEthnicity","American Indian/Alaska Native","Projection","Projection","StateName","New Mexico")+GETPIVOTDATA("Students",'[1]Race &amp; Ethnicity'!$A$4,"SchoolYear","2032-33","RaceEthnicity","Asian/Pacific Islander (Combined)","Projection","Projection","StateName","New Mexico")+GETPIVOTDATA("Students",'[1]Race &amp; Ethnicity'!$A$4,"SchoolYear","2032-33","RaceEthnicity","Black","Projection","Projection","StateName","New Mexico")+GETPIVOTDATA("Students",'[1]Race &amp; Ethnicity'!$A$4,"SchoolYear","2032-33","RaceEthnicity","Hispanic (any race)","Projection","Projection","StateName","New Mexico")+GETPIVOTDATA("Students",'[1]Race &amp; Ethnicity'!$A$4,"SchoolYear","2032-33","RaceEthnicity","Two or More Races","Projection","Estimate (Two or more races graduates after SY 2029-30","StateName","New Mexico")+GETPIVOTDATA("Students",'[1]Race &amp; Ethnicity'!$A$4,"SchoolYear","2032-33","RaceEthnicity","White","Projection","Projection","StateName","New Mexico")</f>
        <v>#REF!</v>
      </c>
      <c r="BU36" s="177" t="e">
        <f>GETPIVOTDATA("Students",'[1]Race &amp; Ethnicity'!$A$4,"SchoolYear","2033-34","RaceEthnicity","American Indian/Alaska Native","Projection","Projection","StateName","New Mexico")+GETPIVOTDATA("Students",'[1]Race &amp; Ethnicity'!$A$4,"SchoolYear","2033-34","RaceEthnicity","Asian/Pacific Islander (Combined)","Projection","Projection","StateName","New Mexico")+GETPIVOTDATA("Students",'[1]Race &amp; Ethnicity'!$A$4,"SchoolYear","2033-34","RaceEthnicity","Black","Projection","Projection","StateName","New Mexico")+GETPIVOTDATA("Students",'[1]Race &amp; Ethnicity'!$A$4,"SchoolYear","2033-34","RaceEthnicity","Hispanic (any race)","Projection","Projection","StateName","New Mexico")+GETPIVOTDATA("Students",'[1]Race &amp; Ethnicity'!$A$4,"SchoolYear","2033-34","RaceEthnicity","Two or More Races","Projection","Estimate (Two or more races graduates after SY 2029-30","StateName","New Mexico")+GETPIVOTDATA("Students",'[1]Race &amp; Ethnicity'!$A$4,"SchoolYear","2033-34","RaceEthnicity","White","Projection","Projection","StateName","New Mexico")</f>
        <v>#REF!</v>
      </c>
      <c r="BV36" t="e">
        <f>GETPIVOTDATA("Students",'[1]Race &amp; Ethnicity'!$A$4,"SchoolYear","2034-35","RaceEthnicity","American Indian/Alaska Native","Projection","Projection","StateName","New Mexico")+GETPIVOTDATA("Students",'[1]Race &amp; Ethnicity'!$A$4,"SchoolYear","2034-35","RaceEthnicity","Asian/Pacific Islander (Combined)","Projection","Projection","StateName","New Mexico")+GETPIVOTDATA("Students",'[1]Race &amp; Ethnicity'!$A$4,"SchoolYear","2034-35","RaceEthnicity","Black","Projection","Projection","StateName","New Mexico")+GETPIVOTDATA("Students",'[1]Race &amp; Ethnicity'!$A$4,"SchoolYear","2034-35","RaceEthnicity","Hispanic (any race)","Projection","Projection","StateName","New Mexico")+GETPIVOTDATA("Students",'[1]Race &amp; Ethnicity'!$A$4,"SchoolYear","2034-35","RaceEthnicity","Two or More Races","Projection","Estimate (Two or more races graduates after SY 2029-30","StateName","New Mexico")+GETPIVOTDATA("Students",'[1]Race &amp; Ethnicity'!$A$4,"SchoolYear","2034-35","RaceEthnicity","White","Projection","Projection","StateName","New Mexico")</f>
        <v>#REF!</v>
      </c>
      <c r="BW36" t="e">
        <f>GETPIVOTDATA("Students",'[1]Race &amp; Ethnicity'!$A$4,"SchoolYear","2035-36","RaceEthnicity","American Indian/Alaska Native","Projection","Projection","StateName","New Mexico")+GETPIVOTDATA("Students",'[1]Race &amp; Ethnicity'!$A$4,"SchoolYear","2035-36","RaceEthnicity","Asian/Pacific Islander (Combined)","Projection","Projection","StateName","New Mexico")+GETPIVOTDATA("Students",'[1]Race &amp; Ethnicity'!$A$4,"SchoolYear","2035-36","RaceEthnicity","Black","StateName","New Mexico")+GETPIVOTDATA("Students",'[1]Race &amp; Ethnicity'!$A$4,"SchoolYear","2035-36","RaceEthnicity","Hispanic (any race)","Projection","Projection","StateName","New Mexico")+GETPIVOTDATA("Students",'[1]Race &amp; Ethnicity'!$A$4,"SchoolYear","2035-36","RaceEthnicity","Two or More Races","Projection","Estimate (Two or more races graduates after SY 2029-30","StateName","New Mexico")+GETPIVOTDATA("Students",'[1]Race &amp; Ethnicity'!$A$4,"SchoolYear","2035-36","RaceEthnicity","White","Projection","Projection","StateName","New Mexico")</f>
        <v>#REF!</v>
      </c>
    </row>
    <row r="37" spans="1:75">
      <c r="A37" s="175" t="s">
        <v>60</v>
      </c>
      <c r="B37" s="98">
        <v>20105</v>
      </c>
      <c r="C37" s="95">
        <f t="shared" si="10"/>
        <v>20116</v>
      </c>
      <c r="D37" s="97">
        <v>20127</v>
      </c>
      <c r="E37" s="97">
        <v>20872</v>
      </c>
      <c r="F37" s="97">
        <v>24552</v>
      </c>
      <c r="G37" s="97">
        <v>29988</v>
      </c>
      <c r="H37" s="95">
        <f t="shared" si="11"/>
        <v>30437.599999999999</v>
      </c>
      <c r="I37" s="97">
        <f t="shared" si="11"/>
        <v>30887.199999999997</v>
      </c>
      <c r="J37" s="97">
        <f t="shared" si="11"/>
        <v>31336.799999999996</v>
      </c>
      <c r="K37" s="97">
        <f t="shared" si="11"/>
        <v>31786.399999999994</v>
      </c>
      <c r="L37" s="97">
        <v>32236</v>
      </c>
      <c r="M37" s="97">
        <v>32757</v>
      </c>
      <c r="N37" s="99">
        <v>31882</v>
      </c>
      <c r="O37" s="97">
        <v>31221</v>
      </c>
      <c r="P37" s="99">
        <v>30806</v>
      </c>
      <c r="Q37" s="97">
        <v>30668</v>
      </c>
      <c r="R37" s="127">
        <v>30561</v>
      </c>
      <c r="S37" s="127">
        <v>30258</v>
      </c>
      <c r="T37" s="127">
        <v>29998</v>
      </c>
      <c r="U37" s="127">
        <v>30228</v>
      </c>
      <c r="V37" s="127">
        <v>29939</v>
      </c>
      <c r="W37" s="97">
        <v>28729</v>
      </c>
      <c r="X37" s="98">
        <v>28780</v>
      </c>
      <c r="Y37" s="98">
        <v>28099</v>
      </c>
      <c r="Z37" s="98">
        <v>27214</v>
      </c>
      <c r="AA37" s="98">
        <v>26870</v>
      </c>
      <c r="AB37" s="98">
        <v>26286</v>
      </c>
      <c r="AC37" s="97">
        <v>27165</v>
      </c>
      <c r="AD37" s="98">
        <v>28058</v>
      </c>
      <c r="AE37" s="98">
        <v>26903</v>
      </c>
      <c r="AF37" s="98">
        <v>25473</v>
      </c>
      <c r="AG37" s="98">
        <v>24597</v>
      </c>
      <c r="AH37" s="98">
        <v>25305</v>
      </c>
      <c r="AI37" s="97">
        <v>26301</v>
      </c>
      <c r="AJ37" s="97">
        <v>26338</v>
      </c>
      <c r="AK37" s="97">
        <v>26713</v>
      </c>
      <c r="AL37" s="97">
        <v>26570</v>
      </c>
      <c r="AM37" s="97">
        <v>27720</v>
      </c>
      <c r="AN37" s="97">
        <v>27754</v>
      </c>
      <c r="AO37" s="97">
        <v>28245</v>
      </c>
      <c r="AP37" s="97">
        <v>30151</v>
      </c>
      <c r="AQ37" s="97">
        <v>29939</v>
      </c>
      <c r="AR37" s="97">
        <v>31153</v>
      </c>
      <c r="AS37" s="97">
        <v>32587</v>
      </c>
      <c r="AT37" s="97">
        <v>32958</v>
      </c>
      <c r="AU37" s="97">
        <v>32602</v>
      </c>
      <c r="AV37" s="97">
        <v>32394</v>
      </c>
      <c r="AW37" s="97">
        <v>33446</v>
      </c>
      <c r="AX37" s="97">
        <v>34949</v>
      </c>
      <c r="AY37" s="97">
        <v>35138</v>
      </c>
      <c r="AZ37" s="97">
        <v>34671</v>
      </c>
      <c r="BA37" s="97">
        <v>34723</v>
      </c>
      <c r="BB37" s="97">
        <v>34261</v>
      </c>
      <c r="BC37" s="97">
        <v>33899</v>
      </c>
      <c r="BD37" s="97">
        <v>32885.279999999999</v>
      </c>
      <c r="BE37" s="97">
        <v>33336.197999999997</v>
      </c>
      <c r="BF37" s="97">
        <v>34664.563999999998</v>
      </c>
      <c r="BG37" s="97">
        <v>37676</v>
      </c>
      <c r="BH37" s="97">
        <v>38367</v>
      </c>
      <c r="BI37" s="97">
        <v>38738</v>
      </c>
      <c r="BJ37" s="99">
        <v>37980</v>
      </c>
      <c r="BK37" s="180">
        <v>35321.943749630562</v>
      </c>
      <c r="BL37" s="181">
        <v>36267.430345529974</v>
      </c>
      <c r="BM37" s="180">
        <v>36320.669064022644</v>
      </c>
      <c r="BN37" s="180">
        <v>34893.848808712253</v>
      </c>
      <c r="BO37" s="180">
        <v>33632.122859058763</v>
      </c>
      <c r="BP37" s="180">
        <v>33253.240238728009</v>
      </c>
      <c r="BQ37" s="180">
        <v>33238.734217772369</v>
      </c>
      <c r="BR37" s="180">
        <v>33336.929911743566</v>
      </c>
      <c r="BS37" s="180">
        <v>33631.039852449394</v>
      </c>
      <c r="BT37" s="177" t="e">
        <f>GETPIVOTDATA("Students",'[1]Race &amp; Ethnicity'!$A$4,"SchoolYear","2032-33","RaceEthnicity","American Indian/Alaska Native","Projection","Projection","StateName","Oregon")+GETPIVOTDATA("Students",'[1]Race &amp; Ethnicity'!$A$4,"SchoolYear","2032-33","RaceEthnicity","Asian/Pacific Islander (Combined)","Projection","Projection","StateName","Oregon")+GETPIVOTDATA("Students",'[1]Race &amp; Ethnicity'!$A$4,"SchoolYear","2032-33","RaceEthnicity","Black","Projection","Projection","StateName","Oregon")+GETPIVOTDATA("Students",'[1]Race &amp; Ethnicity'!$A$4,"SchoolYear","2032-33","RaceEthnicity","Hispanic (any race)","Projection","Projection","StateName","Oregon")+GETPIVOTDATA("Students",'[1]Race &amp; Ethnicity'!$A$4,"SchoolYear","2032-33","RaceEthnicity","Two or More Races","Projection","Estimate (Two or more races graduates after SY 2029-30","StateName","Oregon")+GETPIVOTDATA("Students",'[1]Race &amp; Ethnicity'!$A$4,"SchoolYear","2032-33","RaceEthnicity","White","Projection","Projection","StateName","Oregon")</f>
        <v>#REF!</v>
      </c>
      <c r="BU37" s="177" t="e">
        <f>GETPIVOTDATA("Students",'[1]Race &amp; Ethnicity'!$A$4,"SchoolYear","2033-34","RaceEthnicity","American Indian/Alaska Native","Projection","Projection","StateName","Oregon")+GETPIVOTDATA("Students",'[1]Race &amp; Ethnicity'!$A$4,"SchoolYear","2033-34","RaceEthnicity","Asian/Pacific Islander (Combined)","Projection","Projection","StateName","Oregon")+GETPIVOTDATA("Students",'[1]Race &amp; Ethnicity'!$A$4,"SchoolYear","2033-34","RaceEthnicity","Black","Projection","Projection","StateName","Oregon")+GETPIVOTDATA("Students",'[1]Race &amp; Ethnicity'!$A$4,"SchoolYear","2033-34","RaceEthnicity","Hispanic (any race)","Projection","Projection","StateName","Oregon")+GETPIVOTDATA("Students",'[1]Race &amp; Ethnicity'!$A$4,"SchoolYear","2033-34","RaceEthnicity","Two or More Races","Projection","Estimate (Two or more races graduates after SY 2029-30","StateName","Oregon")+GETPIVOTDATA("Students",'[1]Race &amp; Ethnicity'!$A$4,"SchoolYear","2033-34","RaceEthnicity","White","Projection","Projection","StateName","Oregon")</f>
        <v>#REF!</v>
      </c>
      <c r="BV37" t="e">
        <f>GETPIVOTDATA("Students",'[1]Race &amp; Ethnicity'!$A$4,"SchoolYear","2034-35","RaceEthnicity","American Indian/Alaska Native","Projection","Projection","StateName","Oregon")+GETPIVOTDATA("Students",'[1]Race &amp; Ethnicity'!$A$4,"SchoolYear","2034-35","RaceEthnicity","Asian/Pacific Islander (Combined)","Projection","Projection","StateName","Oregon")+GETPIVOTDATA("Students",'[1]Race &amp; Ethnicity'!$A$4,"SchoolYear","2034-35","RaceEthnicity","Black","Projection","Projection","StateName","Oregon")+GETPIVOTDATA("Students",'[1]Race &amp; Ethnicity'!$A$4,"SchoolYear","2034-35","RaceEthnicity","Hispanic (any race)","Projection","Projection","StateName","Oregon")+GETPIVOTDATA("Students",'[1]Race &amp; Ethnicity'!$A$4,"SchoolYear","2034-35","RaceEthnicity","Two or More Races","Projection","Estimate (Two or more races graduates after SY 2029-30","StateName","Oregon")+GETPIVOTDATA("Students",'[1]Race &amp; Ethnicity'!$A$4,"SchoolYear","2034-35","RaceEthnicity","White","Projection","Projection","StateName","Oregon")</f>
        <v>#REF!</v>
      </c>
      <c r="BW37" t="e">
        <f>GETPIVOTDATA("Students",'[1]Race &amp; Ethnicity'!$A$4,"SchoolYear","2035-36","RaceEthnicity","American Indian/Alaska Native","Projection","Projection","StateName","Oregon")+GETPIVOTDATA("Students",'[1]Race &amp; Ethnicity'!$A$4,"SchoolYear","2035-36","RaceEthnicity","Asian/Pacific Islander (Combined)","Projection","Projection","StateName","Oregon")+GETPIVOTDATA("Students",'[1]Race &amp; Ethnicity'!$A$4,"SchoolYear","2035-36","RaceEthnicity","Black","StateName","Oregon")+GETPIVOTDATA("Students",'[1]Race &amp; Ethnicity'!$A$4,"SchoolYear","2035-36","RaceEthnicity","Hispanic (any race)","Projection","Projection","StateName","Oregon")+GETPIVOTDATA("Students",'[1]Race &amp; Ethnicity'!$A$4,"SchoolYear","2035-36","RaceEthnicity","Two or More Races","Projection","Estimate (Two or more races graduates after SY 2029-30","StateName","Oregon")+GETPIVOTDATA("Students",'[1]Race &amp; Ethnicity'!$A$4,"SchoolYear","2035-36","RaceEthnicity","White","Projection","Projection","StateName","Oregon")</f>
        <v>#REF!</v>
      </c>
    </row>
    <row r="38" spans="1:75">
      <c r="A38" s="175" t="s">
        <v>61</v>
      </c>
      <c r="B38" s="98">
        <v>11270</v>
      </c>
      <c r="C38" s="95">
        <f t="shared" si="10"/>
        <v>11700</v>
      </c>
      <c r="D38" s="97">
        <v>12130</v>
      </c>
      <c r="E38" s="97">
        <v>11833</v>
      </c>
      <c r="F38" s="97">
        <v>12745</v>
      </c>
      <c r="G38" s="97">
        <v>16694</v>
      </c>
      <c r="H38" s="95">
        <f t="shared" si="11"/>
        <v>17034.2</v>
      </c>
      <c r="I38" s="97">
        <f t="shared" si="11"/>
        <v>17374.400000000001</v>
      </c>
      <c r="J38" s="97">
        <f t="shared" si="11"/>
        <v>17714.600000000002</v>
      </c>
      <c r="K38" s="97">
        <f t="shared" si="11"/>
        <v>18054.800000000003</v>
      </c>
      <c r="L38" s="97">
        <v>18395</v>
      </c>
      <c r="M38" s="97">
        <v>19097</v>
      </c>
      <c r="N38" s="99">
        <v>18971</v>
      </c>
      <c r="O38" s="97">
        <v>18993</v>
      </c>
      <c r="P38" s="99">
        <v>18901</v>
      </c>
      <c r="Q38" s="97">
        <v>19532</v>
      </c>
      <c r="R38" s="127">
        <v>19673</v>
      </c>
      <c r="S38" s="127">
        <v>19743</v>
      </c>
      <c r="T38" s="127">
        <v>20324</v>
      </c>
      <c r="U38" s="127">
        <v>20045</v>
      </c>
      <c r="V38" s="127">
        <v>20035</v>
      </c>
      <c r="W38" s="97">
        <v>19886</v>
      </c>
      <c r="X38" s="98">
        <v>19400</v>
      </c>
      <c r="Y38" s="98">
        <v>19210</v>
      </c>
      <c r="Z38" s="98">
        <v>19350</v>
      </c>
      <c r="AA38" s="98">
        <v>19606</v>
      </c>
      <c r="AB38" s="98">
        <v>19774</v>
      </c>
      <c r="AC38" s="97">
        <v>20930</v>
      </c>
      <c r="AD38" s="98">
        <v>22226</v>
      </c>
      <c r="AE38" s="98">
        <v>22934</v>
      </c>
      <c r="AF38" s="98">
        <v>21196</v>
      </c>
      <c r="AG38" s="98">
        <v>22219</v>
      </c>
      <c r="AH38" s="98">
        <v>23513</v>
      </c>
      <c r="AI38" s="97">
        <v>24197</v>
      </c>
      <c r="AJ38" s="97">
        <v>26407</v>
      </c>
      <c r="AK38" s="97">
        <v>27670</v>
      </c>
      <c r="AL38" s="97">
        <v>26293</v>
      </c>
      <c r="AM38" s="97">
        <v>30753</v>
      </c>
      <c r="AN38" s="97">
        <v>31567</v>
      </c>
      <c r="AO38" s="97">
        <v>31574</v>
      </c>
      <c r="AP38" s="97">
        <v>32501</v>
      </c>
      <c r="AQ38" s="97">
        <v>31036</v>
      </c>
      <c r="AR38" s="97">
        <v>30183</v>
      </c>
      <c r="AS38" s="97">
        <v>29527</v>
      </c>
      <c r="AT38" s="97">
        <v>30252</v>
      </c>
      <c r="AU38" s="97">
        <v>30253</v>
      </c>
      <c r="AV38" s="97">
        <v>29050</v>
      </c>
      <c r="AW38" s="97">
        <v>28276</v>
      </c>
      <c r="AX38" s="97">
        <v>28167</v>
      </c>
      <c r="AY38" s="97">
        <v>30463</v>
      </c>
      <c r="AZ38" s="97">
        <v>31481</v>
      </c>
      <c r="BA38" s="97">
        <v>30888</v>
      </c>
      <c r="BB38" s="97">
        <v>31157</v>
      </c>
      <c r="BC38" s="97">
        <v>33186</v>
      </c>
      <c r="BD38" s="97">
        <v>35724.620000000003</v>
      </c>
      <c r="BE38" s="97">
        <v>36862.559999999998</v>
      </c>
      <c r="BF38" s="97">
        <v>38232.648000000001</v>
      </c>
      <c r="BG38" s="97">
        <v>40498</v>
      </c>
      <c r="BH38" s="97">
        <v>41781</v>
      </c>
      <c r="BI38" s="97">
        <v>42555</v>
      </c>
      <c r="BJ38" s="99">
        <v>43220</v>
      </c>
      <c r="BK38" s="180">
        <v>41687.176720234798</v>
      </c>
      <c r="BL38" s="181">
        <v>42722.469174371261</v>
      </c>
      <c r="BM38" s="180">
        <v>43654.509800703869</v>
      </c>
      <c r="BN38" s="180">
        <v>42297.838006506958</v>
      </c>
      <c r="BO38" s="180">
        <v>40916.364342115929</v>
      </c>
      <c r="BP38" s="180">
        <v>40043.13476871718</v>
      </c>
      <c r="BQ38" s="180">
        <v>40236.598796537408</v>
      </c>
      <c r="BR38" s="180">
        <v>39893.101520782162</v>
      </c>
      <c r="BS38" s="180">
        <v>40047.016781074861</v>
      </c>
      <c r="BT38" s="177" t="e">
        <f>GETPIVOTDATA("Students",'[1]Race &amp; Ethnicity'!$A$4,"SchoolYear","2032-33","RaceEthnicity","American Indian/Alaska Native","Projection","Projection","StateName","Utah")+GETPIVOTDATA("Students",'[1]Race &amp; Ethnicity'!$A$4,"SchoolYear","2032-33","RaceEthnicity","Asian/Pacific Islander (Combined)","Projection","Projection","StateName","Utah")+GETPIVOTDATA("Students",'[1]Race &amp; Ethnicity'!$A$4,"SchoolYear","2032-33","RaceEthnicity","Black","Projection","Projection","StateName","Utah")+GETPIVOTDATA("Students",'[1]Race &amp; Ethnicity'!$A$4,"SchoolYear","2032-33","RaceEthnicity","Hispanic (any race)","Projection","Projection","StateName","Utah")+GETPIVOTDATA("Students",'[1]Race &amp; Ethnicity'!$A$4,"SchoolYear","2032-33","RaceEthnicity","Two or More Races","Projection","Estimate (Two or more races graduates after SY 2029-30","StateName","Utah")+GETPIVOTDATA("Students",'[1]Race &amp; Ethnicity'!$A$4,"SchoolYear","2032-33","RaceEthnicity","White","Projection","Projection","StateName","Utah")</f>
        <v>#REF!</v>
      </c>
      <c r="BU38" s="177" t="e">
        <f>GETPIVOTDATA("Students",'[1]Race &amp; Ethnicity'!$A$4,"SchoolYear","2033-34","RaceEthnicity","American Indian/Alaska Native","Projection","Projection","StateName","Utah")+GETPIVOTDATA("Students",'[1]Race &amp; Ethnicity'!$A$4,"SchoolYear","2033-34","RaceEthnicity","Asian/Pacific Islander (Combined)","Projection","Projection","StateName","Utah")+GETPIVOTDATA("Students",'[1]Race &amp; Ethnicity'!$A$4,"SchoolYear","2033-34","RaceEthnicity","Black","Projection","Projection","StateName","Utah")+GETPIVOTDATA("Students",'[1]Race &amp; Ethnicity'!$A$4,"SchoolYear","2033-34","RaceEthnicity","Hispanic (any race)","Projection","Projection","StateName","Utah")+GETPIVOTDATA("Students",'[1]Race &amp; Ethnicity'!$A$4,"SchoolYear","2033-34","RaceEthnicity","Two or More Races","Projection","Estimate (Two or more races graduates after SY 2029-30","StateName","Utah")+GETPIVOTDATA("Students",'[1]Race &amp; Ethnicity'!$A$4,"SchoolYear","2033-34","RaceEthnicity","White","Projection","Projection","StateName","Utah")</f>
        <v>#REF!</v>
      </c>
      <c r="BV38" t="e">
        <f>GETPIVOTDATA("Students",'[1]Race &amp; Ethnicity'!$A$4,"SchoolYear","2034-35","RaceEthnicity","American Indian/Alaska Native","Projection","Projection","StateName","Utah")+GETPIVOTDATA("Students",'[1]Race &amp; Ethnicity'!$A$4,"SchoolYear","2034-35","RaceEthnicity","Asian/Pacific Islander (Combined)","Projection","Projection","StateName","Utah")+GETPIVOTDATA("Students",'[1]Race &amp; Ethnicity'!$A$4,"SchoolYear","2034-35","RaceEthnicity","Black","Projection","Projection","StateName","Utah")+GETPIVOTDATA("Students",'[1]Race &amp; Ethnicity'!$A$4,"SchoolYear","2034-35","RaceEthnicity","Hispanic (any race)","Projection","Projection","StateName","Utah")+GETPIVOTDATA("Students",'[1]Race &amp; Ethnicity'!$A$4,"SchoolYear","2034-35","RaceEthnicity","Two or More Races","Projection","Estimate (Two or more races graduates after SY 2029-30","StateName","Utah")+GETPIVOTDATA("Students",'[1]Race &amp; Ethnicity'!$A$4,"SchoolYear","2034-35","RaceEthnicity","White","Projection","Projection","StateName","Utah")</f>
        <v>#REF!</v>
      </c>
      <c r="BW38" t="e">
        <f>GETPIVOTDATA("Students",'[1]Race &amp; Ethnicity'!$A$4,"SchoolYear","2035-36","RaceEthnicity","American Indian/Alaska Native","Projection","Projection","StateName","Utah")+GETPIVOTDATA("Students",'[1]Race &amp; Ethnicity'!$A$4,"SchoolYear","2035-36","RaceEthnicity","Asian/Pacific Islander (Combined)","Projection","Projection","StateName","Utah")+GETPIVOTDATA("Students",'[1]Race &amp; Ethnicity'!$A$4,"SchoolYear","2035-36","RaceEthnicity","Black","StateName","Utah")+GETPIVOTDATA("Students",'[1]Race &amp; Ethnicity'!$A$4,"SchoolYear","2035-36","RaceEthnicity","Hispanic (any race)","Projection","Projection","StateName","Utah")+GETPIVOTDATA("Students",'[1]Race &amp; Ethnicity'!$A$4,"SchoolYear","2035-36","RaceEthnicity","Two or More Races","Projection","Estimate (Two or more races graduates after SY 2029-30","StateName","Utah")+GETPIVOTDATA("Students",'[1]Race &amp; Ethnicity'!$A$4,"SchoolYear","2035-36","RaceEthnicity","White","Projection","Projection","StateName","Utah")</f>
        <v>#REF!</v>
      </c>
    </row>
    <row r="39" spans="1:75">
      <c r="A39" s="175" t="s">
        <v>62</v>
      </c>
      <c r="B39" s="98">
        <v>29695</v>
      </c>
      <c r="C39" s="95">
        <f t="shared" si="10"/>
        <v>31459</v>
      </c>
      <c r="D39" s="97">
        <v>33223</v>
      </c>
      <c r="E39" s="97">
        <v>33141</v>
      </c>
      <c r="F39" s="97">
        <v>38619</v>
      </c>
      <c r="G39" s="97">
        <v>47651</v>
      </c>
      <c r="H39" s="95">
        <f t="shared" si="11"/>
        <v>48205.8</v>
      </c>
      <c r="I39" s="97">
        <f t="shared" si="11"/>
        <v>48760.600000000006</v>
      </c>
      <c r="J39" s="97">
        <f t="shared" si="11"/>
        <v>49315.400000000009</v>
      </c>
      <c r="K39" s="97">
        <f t="shared" si="11"/>
        <v>49870.200000000012</v>
      </c>
      <c r="L39" s="97">
        <v>50425</v>
      </c>
      <c r="M39" s="97">
        <v>50902</v>
      </c>
      <c r="N39" s="99">
        <v>51563</v>
      </c>
      <c r="O39" s="97">
        <v>50988</v>
      </c>
      <c r="P39" s="99">
        <v>51868</v>
      </c>
      <c r="Q39" s="97">
        <v>50990</v>
      </c>
      <c r="R39" s="127">
        <v>51012</v>
      </c>
      <c r="S39" s="127">
        <v>50876</v>
      </c>
      <c r="T39" s="127">
        <v>51101</v>
      </c>
      <c r="U39" s="127">
        <v>51108</v>
      </c>
      <c r="V39" s="127">
        <v>50402</v>
      </c>
      <c r="W39" s="97">
        <v>50046</v>
      </c>
      <c r="X39" s="98">
        <v>50148</v>
      </c>
      <c r="Y39" s="98">
        <v>45809</v>
      </c>
      <c r="Z39" s="98">
        <v>44919</v>
      </c>
      <c r="AA39" s="98">
        <v>45431</v>
      </c>
      <c r="AB39" s="98">
        <v>45805</v>
      </c>
      <c r="AC39" s="97">
        <v>49873</v>
      </c>
      <c r="AD39" s="98">
        <v>51754</v>
      </c>
      <c r="AE39" s="98">
        <v>48941</v>
      </c>
      <c r="AF39" s="98">
        <v>45941</v>
      </c>
      <c r="AG39" s="98">
        <v>42514</v>
      </c>
      <c r="AH39" s="98">
        <v>44381</v>
      </c>
      <c r="AI39" s="97">
        <v>45262</v>
      </c>
      <c r="AJ39" s="97">
        <v>47235</v>
      </c>
      <c r="AK39" s="97">
        <v>49294</v>
      </c>
      <c r="AL39" s="97">
        <v>49862</v>
      </c>
      <c r="AM39" s="97">
        <v>51609</v>
      </c>
      <c r="AN39" s="97">
        <v>53679</v>
      </c>
      <c r="AO39" s="97">
        <v>55418</v>
      </c>
      <c r="AP39" s="97">
        <v>57597</v>
      </c>
      <c r="AQ39" s="97">
        <v>55081</v>
      </c>
      <c r="AR39" s="97">
        <v>58311</v>
      </c>
      <c r="AS39" s="97">
        <v>60435</v>
      </c>
      <c r="AT39" s="97">
        <v>61274</v>
      </c>
      <c r="AU39" s="97">
        <v>61094</v>
      </c>
      <c r="AV39" s="97">
        <v>60213</v>
      </c>
      <c r="AW39" s="97">
        <v>62801</v>
      </c>
      <c r="AX39" s="97">
        <v>61625</v>
      </c>
      <c r="AY39" s="97">
        <v>62764</v>
      </c>
      <c r="AZ39" s="97">
        <v>66046</v>
      </c>
      <c r="BA39" s="97">
        <v>66453</v>
      </c>
      <c r="BB39" s="97">
        <v>65205</v>
      </c>
      <c r="BC39" s="97">
        <v>66066</v>
      </c>
      <c r="BD39" s="97">
        <v>66308.126000000004</v>
      </c>
      <c r="BE39" s="97">
        <v>62562.346000000005</v>
      </c>
      <c r="BF39" s="97">
        <v>64030.98</v>
      </c>
      <c r="BG39" s="97">
        <v>69323</v>
      </c>
      <c r="BH39" s="97">
        <v>70470</v>
      </c>
      <c r="BI39" s="97">
        <v>73121</v>
      </c>
      <c r="BJ39" s="99">
        <v>69840</v>
      </c>
      <c r="BK39" s="180">
        <v>68910.471240696294</v>
      </c>
      <c r="BL39" s="181">
        <v>71343.130191122385</v>
      </c>
      <c r="BM39" s="180">
        <v>73001.756220753057</v>
      </c>
      <c r="BN39" s="180">
        <v>72126.768684485476</v>
      </c>
      <c r="BO39" s="180">
        <v>69746.611239592748</v>
      </c>
      <c r="BP39" s="180">
        <v>69929.511866751709</v>
      </c>
      <c r="BQ39" s="180">
        <v>70420.14852987208</v>
      </c>
      <c r="BR39" s="180">
        <v>69774.575998559245</v>
      </c>
      <c r="BS39" s="180">
        <v>71379.34418563488</v>
      </c>
      <c r="BT39" s="177" t="e">
        <f>GETPIVOTDATA("Students",'[1]Race &amp; Ethnicity'!$A$4,"SchoolYear","2032-33","RaceEthnicity","American Indian/Alaska Native","Projection","Projection","StateName","Washington")+GETPIVOTDATA("Students",'[1]Race &amp; Ethnicity'!$A$4,"SchoolYear","2032-33","RaceEthnicity","Asian/Pacific Islander (Combined)","Projection","Projection","StateName","Washington")+GETPIVOTDATA("Students",'[1]Race &amp; Ethnicity'!$A$4,"SchoolYear","2032-33","RaceEthnicity","Black","Projection","Projection","StateName","Washington")+GETPIVOTDATA("Students",'[1]Race &amp; Ethnicity'!$A$4,"SchoolYear","2032-33","RaceEthnicity","Hispanic (any race)","Projection","Projection","StateName","Washington")+GETPIVOTDATA("Students",'[1]Race &amp; Ethnicity'!$A$4,"SchoolYear","2032-33","RaceEthnicity","Two or More Races","Projection","Estimate (Two or more races graduates after SY 2029-30","StateName","Washington")+GETPIVOTDATA("Students",'[1]Race &amp; Ethnicity'!$A$4,"SchoolYear","2032-33","RaceEthnicity","White","Projection","Projection","StateName","Washington")</f>
        <v>#REF!</v>
      </c>
      <c r="BU39" s="177" t="e">
        <f>GETPIVOTDATA("Students",'[1]Race &amp; Ethnicity'!$A$4,"SchoolYear","2033-34","RaceEthnicity","American Indian/Alaska Native","Projection","Projection","StateName","Washington")+GETPIVOTDATA("Students",'[1]Race &amp; Ethnicity'!$A$4,"SchoolYear","2033-34","RaceEthnicity","Asian/Pacific Islander (Combined)","Projection","Projection","StateName","Washington")+GETPIVOTDATA("Students",'[1]Race &amp; Ethnicity'!$A$4,"SchoolYear","2033-34","RaceEthnicity","Black","Projection","Projection","StateName","Washington")+GETPIVOTDATA("Students",'[1]Race &amp; Ethnicity'!$A$4,"SchoolYear","2033-34","RaceEthnicity","Hispanic (any race)","Projection","Projection","StateName","Washington")+GETPIVOTDATA("Students",'[1]Race &amp; Ethnicity'!$A$4,"SchoolYear","2033-34","RaceEthnicity","Two or More Races","Projection","Estimate (Two or more races graduates after SY 2029-30","StateName","Washington")+GETPIVOTDATA("Students",'[1]Race &amp; Ethnicity'!$A$4,"SchoolYear","2033-34","RaceEthnicity","White","Projection","Projection","StateName","Washington")</f>
        <v>#REF!</v>
      </c>
      <c r="BV39" t="e">
        <f>GETPIVOTDATA("Students",'[1]Race &amp; Ethnicity'!$A$4,"SchoolYear","2034-35","RaceEthnicity","American Indian/Alaska Native","Projection","Projection","StateName","Washington")+GETPIVOTDATA("Students",'[1]Race &amp; Ethnicity'!$A$4,"SchoolYear","2034-35","RaceEthnicity","Asian/Pacific Islander (Combined)","Projection","Projection","StateName","Washington")+GETPIVOTDATA("Students",'[1]Race &amp; Ethnicity'!$A$4,"SchoolYear","2034-35","RaceEthnicity","Black","Projection","Projection","StateName","Washington")+GETPIVOTDATA("Students",'[1]Race &amp; Ethnicity'!$A$4,"SchoolYear","2034-35","RaceEthnicity","Hispanic (any race)","Projection","Projection","StateName","Washington")+GETPIVOTDATA("Students",'[1]Race &amp; Ethnicity'!$A$4,"SchoolYear","2034-35","RaceEthnicity","Two or More Races","Projection","Estimate (Two or more races graduates after SY 2029-30","StateName","Washington")+GETPIVOTDATA("Students",'[1]Race &amp; Ethnicity'!$A$4,"SchoolYear","2034-35","RaceEthnicity","White","Projection","Projection","StateName","Washington")</f>
        <v>#REF!</v>
      </c>
      <c r="BW39" t="e">
        <f>GETPIVOTDATA("Students",'[1]Race &amp; Ethnicity'!$A$4,"SchoolYear","2035-36","RaceEthnicity","American Indian/Alaska Native","Projection","Projection","StateName","Washington")+GETPIVOTDATA("Students",'[1]Race &amp; Ethnicity'!$A$4,"SchoolYear","2035-36","RaceEthnicity","Asian/Pacific Islander (Combined)","Projection","Projection","StateName","Washington")+GETPIVOTDATA("Students",'[1]Race &amp; Ethnicity'!$A$4,"SchoolYear","2035-36","RaceEthnicity","Black","StateName","Washington")+GETPIVOTDATA("Students",'[1]Race &amp; Ethnicity'!$A$4,"SchoolYear","2035-36","RaceEthnicity","Hispanic (any race)","Projection","Projection","StateName","Washington")+GETPIVOTDATA("Students",'[1]Race &amp; Ethnicity'!$A$4,"SchoolYear","2035-36","RaceEthnicity","Two or More Races","Projection","Estimate (Two or more races graduates after SY 2029-30","StateName","Washington")+GETPIVOTDATA("Students",'[1]Race &amp; Ethnicity'!$A$4,"SchoolYear","2035-36","RaceEthnicity","White","Projection","Projection","StateName","Washington")</f>
        <v>#REF!</v>
      </c>
    </row>
    <row r="40" spans="1:75">
      <c r="A40" s="176" t="s">
        <v>63</v>
      </c>
      <c r="B40" s="434">
        <v>3759</v>
      </c>
      <c r="C40" s="116">
        <f t="shared" si="10"/>
        <v>3836</v>
      </c>
      <c r="D40" s="435">
        <v>3913</v>
      </c>
      <c r="E40" s="435">
        <v>3741</v>
      </c>
      <c r="F40" s="435">
        <v>4005</v>
      </c>
      <c r="G40" s="435">
        <v>5226</v>
      </c>
      <c r="H40" s="116">
        <f t="shared" si="11"/>
        <v>5253.4</v>
      </c>
      <c r="I40" s="435">
        <f t="shared" si="11"/>
        <v>5280.7999999999993</v>
      </c>
      <c r="J40" s="435">
        <f t="shared" si="11"/>
        <v>5308.1999999999989</v>
      </c>
      <c r="K40" s="435">
        <f t="shared" si="11"/>
        <v>5335.5999999999985</v>
      </c>
      <c r="L40" s="435">
        <v>5363</v>
      </c>
      <c r="M40" s="435">
        <v>5635</v>
      </c>
      <c r="N40" s="101">
        <v>5778</v>
      </c>
      <c r="O40" s="435">
        <v>5653</v>
      </c>
      <c r="P40" s="101">
        <v>5760</v>
      </c>
      <c r="Q40" s="435">
        <v>5648</v>
      </c>
      <c r="R40" s="436">
        <v>5757</v>
      </c>
      <c r="S40" s="436">
        <v>5861</v>
      </c>
      <c r="T40" s="436">
        <v>6074</v>
      </c>
      <c r="U40" s="436">
        <v>5982</v>
      </c>
      <c r="V40" s="436">
        <v>6072</v>
      </c>
      <c r="W40" s="435">
        <v>6161</v>
      </c>
      <c r="X40" s="434">
        <v>5999</v>
      </c>
      <c r="Y40" s="434">
        <v>5909</v>
      </c>
      <c r="Z40" s="434">
        <v>5764</v>
      </c>
      <c r="AA40" s="434">
        <v>5687</v>
      </c>
      <c r="AB40" s="434">
        <v>5587</v>
      </c>
      <c r="AC40" s="435">
        <v>5933</v>
      </c>
      <c r="AD40" s="434">
        <v>6148</v>
      </c>
      <c r="AE40" s="434">
        <v>6079</v>
      </c>
      <c r="AF40" s="434">
        <v>5823</v>
      </c>
      <c r="AG40" s="434">
        <v>5728</v>
      </c>
      <c r="AH40" s="434">
        <v>5818</v>
      </c>
      <c r="AI40" s="435">
        <v>6174</v>
      </c>
      <c r="AJ40" s="435">
        <v>5997</v>
      </c>
      <c r="AK40" s="435">
        <v>5889</v>
      </c>
      <c r="AL40" s="435">
        <v>5892</v>
      </c>
      <c r="AM40" s="435">
        <v>6381</v>
      </c>
      <c r="AN40" s="435">
        <v>6427</v>
      </c>
      <c r="AO40" s="435">
        <v>6348</v>
      </c>
      <c r="AP40" s="435">
        <v>6462</v>
      </c>
      <c r="AQ40" s="435">
        <v>6071</v>
      </c>
      <c r="AR40" s="435">
        <v>6106</v>
      </c>
      <c r="AS40" s="435">
        <v>5845</v>
      </c>
      <c r="AT40" s="435">
        <v>5833</v>
      </c>
      <c r="AU40" s="435">
        <v>5616</v>
      </c>
      <c r="AV40" s="435">
        <v>5527</v>
      </c>
      <c r="AW40" s="435">
        <v>5441</v>
      </c>
      <c r="AX40" s="435">
        <v>5494</v>
      </c>
      <c r="AY40" s="435">
        <v>5493</v>
      </c>
      <c r="AZ40" s="435">
        <v>5695</v>
      </c>
      <c r="BA40" s="435">
        <v>5600</v>
      </c>
      <c r="BB40" s="435">
        <v>5553</v>
      </c>
      <c r="BC40" s="435">
        <v>5489</v>
      </c>
      <c r="BD40" s="435">
        <v>5428.1159999999991</v>
      </c>
      <c r="BE40" s="435">
        <v>5446.3239999999996</v>
      </c>
      <c r="BF40" s="435">
        <v>5614.4000000000005</v>
      </c>
      <c r="BG40" s="435">
        <v>5541</v>
      </c>
      <c r="BH40" s="435">
        <v>5637</v>
      </c>
      <c r="BI40" s="435">
        <v>5692</v>
      </c>
      <c r="BJ40" s="101">
        <v>5590</v>
      </c>
      <c r="BK40" s="182">
        <v>6478.4261168654166</v>
      </c>
      <c r="BL40" s="179">
        <v>6646.4767488063344</v>
      </c>
      <c r="BM40" s="182">
        <v>6925.3726310052789</v>
      </c>
      <c r="BN40" s="182">
        <v>6784.0450264451065</v>
      </c>
      <c r="BO40" s="182">
        <v>6475.2815862081798</v>
      </c>
      <c r="BP40" s="182">
        <v>6319.6690852767124</v>
      </c>
      <c r="BQ40" s="182">
        <v>6413.200080686267</v>
      </c>
      <c r="BR40" s="182">
        <v>6461.5478517571937</v>
      </c>
      <c r="BS40" s="182">
        <v>6509.1392603686891</v>
      </c>
      <c r="BT40" s="177" t="e">
        <f>GETPIVOTDATA("Students",'[1]Race &amp; Ethnicity'!$A$4,"SchoolYear","2032-33","RaceEthnicity","American Indian/Alaska Native","Projection","Projection","StateName","Wyoming")+GETPIVOTDATA("Students",'[1]Race &amp; Ethnicity'!$A$4,"SchoolYear","2032-33","RaceEthnicity","Asian/Pacific Islander (Combined)","Projection","Projection","StateName","Wyoming")+GETPIVOTDATA("Students",'[1]Race &amp; Ethnicity'!$A$4,"SchoolYear","2032-33","RaceEthnicity","Black","Projection","Projection","StateName","Wyoming")+GETPIVOTDATA("Students",'[1]Race &amp; Ethnicity'!$A$4,"SchoolYear","2032-33","RaceEthnicity","Hispanic (any race)","Projection","Projection","StateName","Wyoming")+GETPIVOTDATA("Students",'[1]Race &amp; Ethnicity'!$A$4,"SchoolYear","2032-33","RaceEthnicity","Two or More Races","Projection","Estimate (Two or more races graduates after SY 2029-30","StateName","Wyoming")+GETPIVOTDATA("Students",'[1]Race &amp; Ethnicity'!$A$4,"SchoolYear","2032-33","RaceEthnicity","White","Projection","Projection","StateName","Wyoming")</f>
        <v>#REF!</v>
      </c>
      <c r="BU40" s="177" t="e">
        <f>GETPIVOTDATA("Students",'[1]Race &amp; Ethnicity'!$A$4,"SchoolYear","2033-34","RaceEthnicity","American Indian/Alaska Native","Projection","Projection","StateName","Wyoming")+GETPIVOTDATA("Students",'[1]Race &amp; Ethnicity'!$A$4,"SchoolYear","2033-34","RaceEthnicity","Asian/Pacific Islander (Combined)","Projection","Projection","StateName","Wyoming")+GETPIVOTDATA("Students",'[1]Race &amp; Ethnicity'!$A$4,"SchoolYear","2033-34","RaceEthnicity","Black","Projection","Projection","StateName","Wyoming")+GETPIVOTDATA("Students",'[1]Race &amp; Ethnicity'!$A$4,"SchoolYear","2033-34","RaceEthnicity","Hispanic (any race)","Projection","Projection","StateName","Wyoming")+GETPIVOTDATA("Students",'[1]Race &amp; Ethnicity'!$A$4,"SchoolYear","2033-34","RaceEthnicity","Two or More Races","Projection","Estimate (Two or more races graduates after SY 2029-30","StateName","Wyoming")+GETPIVOTDATA("Students",'[1]Race &amp; Ethnicity'!$A$4,"SchoolYear","2033-34","RaceEthnicity","White","Projection","Projection","StateName","Wyoming")</f>
        <v>#REF!</v>
      </c>
      <c r="BV40" t="e">
        <f>GETPIVOTDATA("Students",'[1]Race &amp; Ethnicity'!$A$4,"SchoolYear","2034-35","RaceEthnicity","American Indian/Alaska Native","Projection","Projection","StateName","Wyoming")+GETPIVOTDATA("Students",'[1]Race &amp; Ethnicity'!$A$4,"SchoolYear","2034-35","RaceEthnicity","Asian/Pacific Islander (Combined)","Projection","Projection","StateName","Wyoming")+GETPIVOTDATA("Students",'[1]Race &amp; Ethnicity'!$A$4,"SchoolYear","2034-35","RaceEthnicity","Black","Projection","Projection","StateName","Wyoming")+GETPIVOTDATA("Students",'[1]Race &amp; Ethnicity'!$A$4,"SchoolYear","2034-35","RaceEthnicity","Hispanic (any race)","Projection","Projection","StateName","Wyoming")+GETPIVOTDATA("Students",'[1]Race &amp; Ethnicity'!$A$4,"SchoolYear","2034-35","RaceEthnicity","Two or More Races","Projection","Estimate (Two or more races graduates after SY 2029-30","StateName","Wyoming")+GETPIVOTDATA("Students",'[1]Race &amp; Ethnicity'!$A$4,"SchoolYear","2034-35","RaceEthnicity","White","Projection","Projection","StateName","Wyoming")</f>
        <v>#REF!</v>
      </c>
      <c r="BW40" t="e">
        <f>GETPIVOTDATA("Students",'[1]Race &amp; Ethnicity'!$A$4,"SchoolYear","2035-36","RaceEthnicity","American Indian/Alaska Native","Projection","Projection","StateName","Wyoming")+GETPIVOTDATA("Students",'[1]Race &amp; Ethnicity'!$A$4,"SchoolYear","2035-36","RaceEthnicity","Asian/Pacific Islander (Combined)","Projection","Projection","StateName","Wyoming")+GETPIVOTDATA("Students",'[1]Race &amp; Ethnicity'!$A$4,"SchoolYear","2035-36","RaceEthnicity","Black","StateName","Wyoming")+GETPIVOTDATA("Students",'[1]Race &amp; Ethnicity'!$A$4,"SchoolYear","2035-36","RaceEthnicity","Hispanic (any race)","Projection","Projection","StateName","Wyoming")+GETPIVOTDATA("Students",'[1]Race &amp; Ethnicity'!$A$4,"SchoolYear","2035-36","RaceEthnicity","Two or More Races","Projection","Estimate (Two or more races graduates after SY 2029-30","StateName","Wyoming")+GETPIVOTDATA("Students",'[1]Race &amp; Ethnicity'!$A$4,"SchoolYear","2035-36","RaceEthnicity","White","Projection","Projection","StateName","Wyoming")</f>
        <v>#REF!</v>
      </c>
    </row>
    <row r="41" spans="1:75">
      <c r="A41" s="113" t="s">
        <v>328</v>
      </c>
      <c r="BK41" s="180">
        <v>673123.84943238506</v>
      </c>
      <c r="BL41" s="180">
        <v>680743.69049833913</v>
      </c>
      <c r="BM41" s="180">
        <v>668836.53703522542</v>
      </c>
      <c r="BN41" s="180">
        <v>652169.07124303724</v>
      </c>
      <c r="BO41" s="180">
        <v>631169.63530044933</v>
      </c>
      <c r="BP41" s="180">
        <v>623860.31039526721</v>
      </c>
      <c r="BQ41" s="180">
        <v>622553.17400164914</v>
      </c>
      <c r="BR41" s="180">
        <v>620360.74283267779</v>
      </c>
      <c r="BS41" s="180">
        <v>625704.16177012317</v>
      </c>
    </row>
    <row r="42" spans="1:75" ht="12.95">
      <c r="A42" s="285" t="s">
        <v>64</v>
      </c>
      <c r="B42" s="95">
        <f>SUM(B44:B55)</f>
        <v>488747</v>
      </c>
      <c r="C42" s="95">
        <f t="shared" ref="C42:AY42" si="12">SUM(C44:C55)</f>
        <v>492642.5</v>
      </c>
      <c r="D42" s="95">
        <f t="shared" si="12"/>
        <v>496538</v>
      </c>
      <c r="E42" s="95">
        <f t="shared" si="12"/>
        <v>498876</v>
      </c>
      <c r="F42" s="95">
        <f t="shared" si="12"/>
        <v>577101</v>
      </c>
      <c r="G42" s="95">
        <f t="shared" si="12"/>
        <v>688585</v>
      </c>
      <c r="H42" s="95">
        <f t="shared" si="12"/>
        <v>703725.60000000009</v>
      </c>
      <c r="I42" s="95">
        <f t="shared" si="12"/>
        <v>718866.2</v>
      </c>
      <c r="J42" s="95">
        <f t="shared" si="12"/>
        <v>734006.80000000016</v>
      </c>
      <c r="K42" s="95">
        <f t="shared" si="12"/>
        <v>749147.39999999991</v>
      </c>
      <c r="L42" s="95">
        <f t="shared" si="12"/>
        <v>764288</v>
      </c>
      <c r="M42" s="95">
        <f t="shared" si="12"/>
        <v>782959</v>
      </c>
      <c r="N42" s="95">
        <f t="shared" si="12"/>
        <v>791822</v>
      </c>
      <c r="O42" s="95">
        <f t="shared" si="12"/>
        <v>809503</v>
      </c>
      <c r="P42" s="95">
        <f t="shared" si="12"/>
        <v>818072</v>
      </c>
      <c r="Q42" s="95">
        <f t="shared" si="12"/>
        <v>829124</v>
      </c>
      <c r="R42" s="95">
        <f t="shared" si="12"/>
        <v>832378</v>
      </c>
      <c r="S42" s="95">
        <f t="shared" si="12"/>
        <v>837142</v>
      </c>
      <c r="T42" s="95">
        <f t="shared" si="12"/>
        <v>825249</v>
      </c>
      <c r="U42" s="95">
        <f t="shared" si="12"/>
        <v>818443</v>
      </c>
      <c r="V42" s="95">
        <f t="shared" si="12"/>
        <v>791074</v>
      </c>
      <c r="W42" s="95">
        <f t="shared" si="12"/>
        <v>784071</v>
      </c>
      <c r="X42" s="95">
        <f t="shared" si="12"/>
        <v>771023</v>
      </c>
      <c r="Y42" s="95">
        <f t="shared" si="12"/>
        <v>731556</v>
      </c>
      <c r="Z42" s="95">
        <f t="shared" si="12"/>
        <v>695846</v>
      </c>
      <c r="AA42" s="95">
        <f t="shared" si="12"/>
        <v>668475</v>
      </c>
      <c r="AB42" s="95">
        <f t="shared" si="12"/>
        <v>647462</v>
      </c>
      <c r="AC42" s="95">
        <f t="shared" si="12"/>
        <v>657067</v>
      </c>
      <c r="AD42" s="95">
        <f t="shared" si="12"/>
        <v>675571</v>
      </c>
      <c r="AE42" s="95">
        <f t="shared" si="12"/>
        <v>663225</v>
      </c>
      <c r="AF42" s="95">
        <f t="shared" si="12"/>
        <v>616700</v>
      </c>
      <c r="AG42" s="95">
        <f t="shared" si="12"/>
        <v>583888</v>
      </c>
      <c r="AH42" s="95">
        <f t="shared" si="12"/>
        <v>578106</v>
      </c>
      <c r="AI42" s="95">
        <f t="shared" si="12"/>
        <v>588810</v>
      </c>
      <c r="AJ42" s="95">
        <f t="shared" si="12"/>
        <v>578914</v>
      </c>
      <c r="AK42" s="95">
        <f t="shared" si="12"/>
        <v>596753</v>
      </c>
      <c r="AL42" s="95">
        <f t="shared" si="12"/>
        <v>592775</v>
      </c>
      <c r="AM42" s="95">
        <f t="shared" si="12"/>
        <v>614217</v>
      </c>
      <c r="AN42" s="95">
        <f t="shared" si="12"/>
        <v>640857</v>
      </c>
      <c r="AO42" s="95">
        <f t="shared" si="12"/>
        <v>645322</v>
      </c>
      <c r="AP42" s="95">
        <f t="shared" si="12"/>
        <v>648020</v>
      </c>
      <c r="AQ42" s="95">
        <f t="shared" si="12"/>
        <v>644770</v>
      </c>
      <c r="AR42" s="95">
        <f t="shared" si="12"/>
        <v>651640</v>
      </c>
      <c r="AS42" s="95">
        <f t="shared" si="12"/>
        <v>673248</v>
      </c>
      <c r="AT42" s="95">
        <f t="shared" si="12"/>
        <v>680178</v>
      </c>
      <c r="AU42" s="95">
        <f t="shared" si="12"/>
        <v>676786</v>
      </c>
      <c r="AV42" s="95">
        <f t="shared" si="12"/>
        <v>684049</v>
      </c>
      <c r="AW42" s="95">
        <f t="shared" si="12"/>
        <v>702987</v>
      </c>
      <c r="AX42" s="95">
        <f t="shared" si="12"/>
        <v>721220</v>
      </c>
      <c r="AY42" s="95">
        <f t="shared" si="12"/>
        <v>717536</v>
      </c>
      <c r="AZ42" s="95">
        <f>SUM(AZ44:AZ55)</f>
        <v>726844</v>
      </c>
      <c r="BA42" s="95">
        <f>SUM(BA44:BA55)</f>
        <v>718779</v>
      </c>
      <c r="BB42" s="95">
        <f>SUM(BB44:BB55)</f>
        <v>716072</v>
      </c>
      <c r="BC42" s="95">
        <f>SUM(BC44:BC55)</f>
        <v>713662</v>
      </c>
      <c r="BD42" s="95">
        <f t="shared" ref="BD42:BJ42" si="13">SUM(BD44:BD55)</f>
        <v>675435.66899999999</v>
      </c>
      <c r="BE42" s="95">
        <f t="shared" si="13"/>
        <v>670447.13499999989</v>
      </c>
      <c r="BF42" s="95">
        <f t="shared" si="13"/>
        <v>675528.61700000009</v>
      </c>
      <c r="BG42" s="95">
        <f t="shared" si="13"/>
        <v>711077</v>
      </c>
      <c r="BH42" s="95">
        <f t="shared" si="13"/>
        <v>720801</v>
      </c>
      <c r="BI42" s="95">
        <f t="shared" si="13"/>
        <v>723486</v>
      </c>
      <c r="BJ42" s="185">
        <f t="shared" si="13"/>
        <v>710910</v>
      </c>
      <c r="BK42" s="286">
        <f t="shared" ref="BK42:BS42" si="14">+BK41+BK52+BK54</f>
        <v>691301.45839417889</v>
      </c>
      <c r="BL42" s="286">
        <f t="shared" si="14"/>
        <v>699490.11526419432</v>
      </c>
      <c r="BM42" s="286">
        <f t="shared" si="14"/>
        <v>687207.15580137179</v>
      </c>
      <c r="BN42" s="286">
        <f t="shared" si="14"/>
        <v>670522.49975101196</v>
      </c>
      <c r="BO42" s="286">
        <f t="shared" si="14"/>
        <v>649606.63725360122</v>
      </c>
      <c r="BP42" s="286">
        <f t="shared" si="14"/>
        <v>642808.76088061777</v>
      </c>
      <c r="BQ42" s="286">
        <f t="shared" si="14"/>
        <v>642279.1567208129</v>
      </c>
      <c r="BR42" s="286">
        <f t="shared" si="14"/>
        <v>640685.16694926238</v>
      </c>
      <c r="BS42" s="286">
        <f t="shared" si="14"/>
        <v>646684.85188766452</v>
      </c>
      <c r="BT42" s="287" t="e">
        <f>SUM(BT44:BT55)</f>
        <v>#REF!</v>
      </c>
      <c r="BU42" s="287" t="e">
        <f>SUM(BU44:BU55)</f>
        <v>#REF!</v>
      </c>
      <c r="BV42" s="287" t="e">
        <f>SUM(BV44:BV55)</f>
        <v>#REF!</v>
      </c>
      <c r="BW42" s="287" t="e">
        <f>SUM(BW44:BW55)</f>
        <v>#REF!</v>
      </c>
    </row>
    <row r="43" spans="1:75">
      <c r="A43" s="113" t="s">
        <v>129</v>
      </c>
      <c r="B43" s="98"/>
      <c r="C43" s="95"/>
      <c r="D43" s="97"/>
      <c r="E43" s="97"/>
      <c r="F43" s="97"/>
      <c r="G43" s="97"/>
      <c r="H43" s="95"/>
      <c r="I43" s="97"/>
      <c r="J43" s="97"/>
      <c r="K43" s="97"/>
      <c r="L43" s="97"/>
      <c r="M43" s="97"/>
      <c r="N43" s="99"/>
      <c r="O43" s="97"/>
      <c r="P43" s="99"/>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9"/>
      <c r="BK43" s="181"/>
      <c r="BL43" s="181"/>
      <c r="BM43" s="181"/>
      <c r="BN43" s="181"/>
      <c r="BO43" s="181"/>
      <c r="BP43" s="181"/>
      <c r="BQ43" s="181"/>
      <c r="BR43" s="181"/>
      <c r="BS43" s="181"/>
    </row>
    <row r="44" spans="1:75">
      <c r="A44" s="175" t="s">
        <v>65</v>
      </c>
      <c r="B44" s="98">
        <v>82922</v>
      </c>
      <c r="C44" s="95">
        <f t="shared" ref="C44:C55" si="15">((D44-B44)/2)+B44</f>
        <v>82830.5</v>
      </c>
      <c r="D44" s="97">
        <v>82739</v>
      </c>
      <c r="E44" s="97">
        <v>82266</v>
      </c>
      <c r="F44" s="97">
        <v>98055</v>
      </c>
      <c r="G44" s="97">
        <v>115006</v>
      </c>
      <c r="H44" s="95">
        <f t="shared" ref="H44:K55" si="16">(($L44-$G44)/5)+G44</f>
        <v>117377.60000000001</v>
      </c>
      <c r="I44" s="97">
        <f t="shared" si="16"/>
        <v>119749.20000000001</v>
      </c>
      <c r="J44" s="97">
        <f t="shared" si="16"/>
        <v>122120.80000000002</v>
      </c>
      <c r="K44" s="97">
        <f t="shared" si="16"/>
        <v>124492.40000000002</v>
      </c>
      <c r="L44" s="97">
        <v>126864</v>
      </c>
      <c r="M44" s="97">
        <v>128843</v>
      </c>
      <c r="N44" s="99">
        <v>128843</v>
      </c>
      <c r="O44" s="97">
        <v>135735</v>
      </c>
      <c r="P44" s="99">
        <v>139104</v>
      </c>
      <c r="Q44" s="97">
        <v>141316</v>
      </c>
      <c r="R44" s="127">
        <v>146612</v>
      </c>
      <c r="S44" s="127">
        <v>142040</v>
      </c>
      <c r="T44" s="127">
        <v>140690</v>
      </c>
      <c r="U44" s="127">
        <v>139230</v>
      </c>
      <c r="V44" s="127">
        <v>135579</v>
      </c>
      <c r="W44" s="97">
        <v>136795</v>
      </c>
      <c r="X44" s="98">
        <v>136534</v>
      </c>
      <c r="Y44" s="98">
        <v>128814</v>
      </c>
      <c r="Z44" s="98">
        <v>122561</v>
      </c>
      <c r="AA44" s="98">
        <v>117027</v>
      </c>
      <c r="AB44" s="98">
        <v>114319</v>
      </c>
      <c r="AC44" s="97">
        <v>116075</v>
      </c>
      <c r="AD44" s="98">
        <v>119090</v>
      </c>
      <c r="AE44" s="98">
        <v>116660</v>
      </c>
      <c r="AF44" s="98">
        <v>108119</v>
      </c>
      <c r="AG44" s="98">
        <v>103329</v>
      </c>
      <c r="AH44" s="98">
        <v>102742</v>
      </c>
      <c r="AI44" s="97">
        <v>103628</v>
      </c>
      <c r="AJ44" s="97">
        <v>102126</v>
      </c>
      <c r="AK44" s="97">
        <v>105164</v>
      </c>
      <c r="AL44" s="97">
        <v>104626</v>
      </c>
      <c r="AM44" s="97">
        <v>110170</v>
      </c>
      <c r="AN44" s="97">
        <v>114611</v>
      </c>
      <c r="AO44" s="97">
        <v>112556</v>
      </c>
      <c r="AP44" s="97">
        <v>111835</v>
      </c>
      <c r="AQ44" s="97">
        <v>110624</v>
      </c>
      <c r="AR44" s="97">
        <v>116657</v>
      </c>
      <c r="AS44" s="97">
        <v>117507</v>
      </c>
      <c r="AT44" s="97">
        <v>124763</v>
      </c>
      <c r="AU44" s="97">
        <v>123615</v>
      </c>
      <c r="AV44" s="97">
        <v>126817</v>
      </c>
      <c r="AW44" s="97">
        <v>130220</v>
      </c>
      <c r="AX44" s="97">
        <v>135143</v>
      </c>
      <c r="AY44" s="97">
        <v>131670</v>
      </c>
      <c r="AZ44" s="97">
        <v>139035</v>
      </c>
      <c r="BA44" s="97">
        <v>134956</v>
      </c>
      <c r="BB44" s="97">
        <v>139575</v>
      </c>
      <c r="BC44" s="97">
        <v>139228</v>
      </c>
      <c r="BD44" s="97">
        <v>131676.32</v>
      </c>
      <c r="BE44" s="97">
        <v>131178.576</v>
      </c>
      <c r="BF44" s="97">
        <v>131715.315</v>
      </c>
      <c r="BG44" s="97">
        <v>137696</v>
      </c>
      <c r="BH44" s="97">
        <v>138730</v>
      </c>
      <c r="BI44" s="97">
        <v>136726</v>
      </c>
      <c r="BJ44" s="99">
        <v>135720</v>
      </c>
      <c r="BK44" s="180">
        <v>130894.51761930881</v>
      </c>
      <c r="BL44" s="181">
        <v>132779.80141316142</v>
      </c>
      <c r="BM44" s="180">
        <v>129387.47163972903</v>
      </c>
      <c r="BN44" s="180">
        <v>125339.26402976141</v>
      </c>
      <c r="BO44" s="180">
        <v>120839.95613725933</v>
      </c>
      <c r="BP44" s="180">
        <v>117932.92226475858</v>
      </c>
      <c r="BQ44" s="180">
        <v>116491.38881847008</v>
      </c>
      <c r="BR44" s="180">
        <v>114837.32782686703</v>
      </c>
      <c r="BS44" s="180">
        <v>116018.81803687221</v>
      </c>
      <c r="BT44" s="177" t="e">
        <f>GETPIVOTDATA("Students",'[1]Race &amp; Ethnicity'!$A$4,"SchoolYear","2032-33","RaceEthnicity","American Indian/Alaska Native","Projection","Projection","StateName","Illinois")+GETPIVOTDATA("Students",'[1]Race &amp; Ethnicity'!$A$4,"SchoolYear","2032-33","RaceEthnicity","Asian/Pacific Islander (Combined)","Projection","Projection","StateName","Illinois")+GETPIVOTDATA("Students",'[1]Race &amp; Ethnicity'!$A$4,"SchoolYear","2032-33","RaceEthnicity","Black","Projection","Projection","StateName","Illinois")+GETPIVOTDATA("Students",'[1]Race &amp; Ethnicity'!$A$4,"SchoolYear","2032-33","RaceEthnicity","Hispanic (any race)","Projection","Projection","StateName","Illinois")+GETPIVOTDATA("Students",'[1]Race &amp; Ethnicity'!$A$4,"SchoolYear","2032-33","RaceEthnicity","Two or More Races","Projection","Estimate (Two or more races graduates after SY 2029-30","StateName","Illinois")+GETPIVOTDATA("Students",'[1]Race &amp; Ethnicity'!$A$4,"SchoolYear","2032-33","RaceEthnicity","White","Projection","Projection","StateName","Illinois")</f>
        <v>#REF!</v>
      </c>
      <c r="BU44" s="177" t="e">
        <f>GETPIVOTDATA("Students",'[1]Race &amp; Ethnicity'!$A$4,"SchoolYear","2033-34","RaceEthnicity","American Indian/Alaska Native","Projection","Projection","StateName","Illinois")+GETPIVOTDATA("Students",'[1]Race &amp; Ethnicity'!$A$4,"SchoolYear","2033-34","RaceEthnicity","Asian/Pacific Islander (Combined)","Projection","Projection","StateName","Illinois")+GETPIVOTDATA("Students",'[1]Race &amp; Ethnicity'!$A$4,"SchoolYear","2033-34","RaceEthnicity","Black","Projection","Projection","StateName","Illinois")+GETPIVOTDATA("Students",'[1]Race &amp; Ethnicity'!$A$4,"SchoolYear","2033-34","RaceEthnicity","Hispanic (any race)","Projection","Projection","StateName","Illinois")+GETPIVOTDATA("Students",'[1]Race &amp; Ethnicity'!$A$4,"SchoolYear","2033-34","RaceEthnicity","Two or More Races","Projection","Estimate (Two or more races graduates after SY 2029-30","StateName","Illinois")+GETPIVOTDATA("Students",'[1]Race &amp; Ethnicity'!$A$4,"SchoolYear","2033-34","RaceEthnicity","White","Projection","Projection","StateName","Illinois")</f>
        <v>#REF!</v>
      </c>
      <c r="BV44" t="e">
        <f>GETPIVOTDATA("Students",'[1]Race &amp; Ethnicity'!$A$4,"SchoolYear","2034-35","RaceEthnicity","American Indian/Alaska Native","Projection","Projection","StateName","Illinois")+GETPIVOTDATA("Students",'[1]Race &amp; Ethnicity'!$A$4,"SchoolYear","2034-35","RaceEthnicity","Asian/Pacific Islander (Combined)","Projection","Projection","StateName","Illinois")+GETPIVOTDATA("Students",'[1]Race &amp; Ethnicity'!$A$4,"SchoolYear","2034-35","RaceEthnicity","Black","Projection","Projection","StateName","Illinois")+GETPIVOTDATA("Students",'[1]Race &amp; Ethnicity'!$A$4,"SchoolYear","2034-35","RaceEthnicity","Hispanic (any race)","Projection","Projection","StateName","Illinois")+GETPIVOTDATA("Students",'[1]Race &amp; Ethnicity'!$A$4,"SchoolYear","2034-35","RaceEthnicity","Two or More Races","Projection","Estimate (Two or more races graduates after SY 2029-30","StateName","Illinois")+GETPIVOTDATA("Students",'[1]Race &amp; Ethnicity'!$A$4,"SchoolYear","2034-35","RaceEthnicity","White","Projection","Projection","StateName","Illinois")</f>
        <v>#REF!</v>
      </c>
      <c r="BW44" t="e">
        <f>GETPIVOTDATA("Students",'[1]Race &amp; Ethnicity'!$A$4,"SchoolYear","2035-36","RaceEthnicity","American Indian/Alaska Native","Projection","Projection","StateName","Illinois")+GETPIVOTDATA("Students",'[1]Race &amp; Ethnicity'!$A$4,"SchoolYear","2035-36","RaceEthnicity","Asian/Pacific Islander (Combined)","Projection","Projection","StateName","Illinois")+GETPIVOTDATA("Students",'[1]Race &amp; Ethnicity'!$A$4,"SchoolYear","2035-36","RaceEthnicity","Black","StateName","Illinois")+GETPIVOTDATA("Students",'[1]Race &amp; Ethnicity'!$A$4,"SchoolYear","2035-36","RaceEthnicity","Hispanic (any race)","Projection","Projection","StateName","Illinois")+GETPIVOTDATA("Students",'[1]Race &amp; Ethnicity'!$A$4,"SchoolYear","2035-36","RaceEthnicity","Two or More Races","Projection","Estimate (Two or more races graduates after SY 2029-30","StateName","Illinois")+GETPIVOTDATA("Students",'[1]Race &amp; Ethnicity'!$A$4,"SchoolYear","2035-36","RaceEthnicity","White","Projection","Projection","StateName","Illinois")</f>
        <v>#REF!</v>
      </c>
    </row>
    <row r="45" spans="1:75">
      <c r="A45" s="175" t="s">
        <v>66</v>
      </c>
      <c r="B45" s="98">
        <v>45914</v>
      </c>
      <c r="C45" s="95">
        <f t="shared" si="15"/>
        <v>46369.5</v>
      </c>
      <c r="D45" s="97">
        <v>46825</v>
      </c>
      <c r="E45" s="97">
        <v>46501</v>
      </c>
      <c r="F45" s="97">
        <v>54732</v>
      </c>
      <c r="G45" s="97">
        <v>66348</v>
      </c>
      <c r="H45" s="95">
        <f t="shared" si="16"/>
        <v>67075.199999999997</v>
      </c>
      <c r="I45" s="97">
        <f t="shared" si="16"/>
        <v>67802.399999999994</v>
      </c>
      <c r="J45" s="97">
        <f t="shared" si="16"/>
        <v>68529.599999999991</v>
      </c>
      <c r="K45" s="97">
        <f t="shared" si="16"/>
        <v>69256.799999999988</v>
      </c>
      <c r="L45" s="97">
        <v>69984</v>
      </c>
      <c r="M45" s="97">
        <v>70596</v>
      </c>
      <c r="N45" s="99">
        <v>72501</v>
      </c>
      <c r="O45" s="97">
        <v>73155</v>
      </c>
      <c r="P45" s="99">
        <v>73377</v>
      </c>
      <c r="Q45" s="97">
        <v>74104</v>
      </c>
      <c r="R45" s="127">
        <v>77712</v>
      </c>
      <c r="S45" s="127">
        <v>76406</v>
      </c>
      <c r="T45" s="127">
        <v>74336</v>
      </c>
      <c r="U45" s="127">
        <v>75182</v>
      </c>
      <c r="V45" s="127">
        <v>73143</v>
      </c>
      <c r="W45" s="97">
        <v>73381</v>
      </c>
      <c r="X45" s="98">
        <v>73984</v>
      </c>
      <c r="Y45" s="98">
        <v>70549</v>
      </c>
      <c r="Z45" s="98">
        <v>65710</v>
      </c>
      <c r="AA45" s="98">
        <v>63308</v>
      </c>
      <c r="AB45" s="98">
        <v>59817</v>
      </c>
      <c r="AC45" s="97">
        <v>60364</v>
      </c>
      <c r="AD45" s="98">
        <v>64037</v>
      </c>
      <c r="AE45" s="98">
        <v>63571</v>
      </c>
      <c r="AF45" s="98">
        <v>60012</v>
      </c>
      <c r="AG45" s="98">
        <v>57892</v>
      </c>
      <c r="AH45" s="98">
        <v>56630</v>
      </c>
      <c r="AI45" s="97">
        <v>57559</v>
      </c>
      <c r="AJ45" s="97">
        <v>54650</v>
      </c>
      <c r="AK45" s="97">
        <v>56058</v>
      </c>
      <c r="AL45" s="97">
        <v>56330</v>
      </c>
      <c r="AM45" s="97">
        <v>57463</v>
      </c>
      <c r="AN45" s="97">
        <v>58899</v>
      </c>
      <c r="AO45" s="97">
        <v>58964</v>
      </c>
      <c r="AP45" s="97">
        <v>57012</v>
      </c>
      <c r="AQ45" s="97">
        <v>56172</v>
      </c>
      <c r="AR45" s="97">
        <v>56722</v>
      </c>
      <c r="AS45" s="97">
        <v>57897</v>
      </c>
      <c r="AT45" s="97">
        <v>56008</v>
      </c>
      <c r="AU45" s="97">
        <v>55444</v>
      </c>
      <c r="AV45" s="97">
        <v>57920</v>
      </c>
      <c r="AW45" s="97">
        <v>59887</v>
      </c>
      <c r="AX45" s="97">
        <v>61901</v>
      </c>
      <c r="AY45" s="97">
        <v>63663</v>
      </c>
      <c r="AZ45" s="97">
        <v>64551</v>
      </c>
      <c r="BA45" s="97">
        <v>66133</v>
      </c>
      <c r="BB45" s="97">
        <v>65667</v>
      </c>
      <c r="BC45" s="97">
        <v>66595</v>
      </c>
      <c r="BD45" s="97">
        <v>66679.182000000001</v>
      </c>
      <c r="BE45" s="97">
        <v>66009.606</v>
      </c>
      <c r="BF45" s="97">
        <v>66000.983999999997</v>
      </c>
      <c r="BG45" s="97">
        <v>68813</v>
      </c>
      <c r="BH45" s="97">
        <v>69414</v>
      </c>
      <c r="BI45" s="97">
        <v>71960</v>
      </c>
      <c r="BJ45" s="99">
        <v>70800</v>
      </c>
      <c r="BK45" s="180">
        <v>64568.1673893072</v>
      </c>
      <c r="BL45" s="181">
        <v>65391.640691209694</v>
      </c>
      <c r="BM45" s="180">
        <v>64995.877942043975</v>
      </c>
      <c r="BN45" s="180">
        <v>63539.959333504659</v>
      </c>
      <c r="BO45" s="180">
        <v>61432.342908389925</v>
      </c>
      <c r="BP45" s="180">
        <v>61185.654535158188</v>
      </c>
      <c r="BQ45" s="180">
        <v>60852.236829349102</v>
      </c>
      <c r="BR45" s="180">
        <v>60807.52772944107</v>
      </c>
      <c r="BS45" s="180">
        <v>61526.17857646598</v>
      </c>
      <c r="BT45" s="177" t="e">
        <f>GETPIVOTDATA("Students",'[1]Race &amp; Ethnicity'!$A$4,"SchoolYear","2032-33","RaceEthnicity","American Indian/Alaska Native","Projection","Projection","StateName","Indiana")+GETPIVOTDATA("Students",'[1]Race &amp; Ethnicity'!$A$4,"SchoolYear","2032-33","RaceEthnicity","Asian/Pacific Islander (Combined)","Projection","Projection","StateName","Indiana")+GETPIVOTDATA("Students",'[1]Race &amp; Ethnicity'!$A$4,"SchoolYear","2032-33","RaceEthnicity","Black","Projection","Projection","StateName","Indiana")+GETPIVOTDATA("Students",'[1]Race &amp; Ethnicity'!$A$4,"SchoolYear","2032-33","RaceEthnicity","Hispanic (any race)","Projection","Projection","StateName","Indiana")+GETPIVOTDATA("Students",'[1]Race &amp; Ethnicity'!$A$4,"SchoolYear","2032-33","RaceEthnicity","Two or More Races","Projection","Estimate (Two or more races graduates after SY 2029-30","StateName","Indiana")+GETPIVOTDATA("Students",'[1]Race &amp; Ethnicity'!$A$4,"SchoolYear","2032-33","RaceEthnicity","White","Projection","Projection","StateName","Indiana")</f>
        <v>#REF!</v>
      </c>
      <c r="BU45" s="177" t="e">
        <f>GETPIVOTDATA("Students",'[1]Race &amp; Ethnicity'!$A$4,"SchoolYear","2033-34","RaceEthnicity","American Indian/Alaska Native","Projection","Projection","StateName","Indiana")+GETPIVOTDATA("Students",'[1]Race &amp; Ethnicity'!$A$4,"SchoolYear","2033-34","RaceEthnicity","Asian/Pacific Islander (Combined)","Projection","Projection","StateName","Indiana")+GETPIVOTDATA("Students",'[1]Race &amp; Ethnicity'!$A$4,"SchoolYear","2033-34","RaceEthnicity","Black","Projection","Projection","StateName","Indiana")+GETPIVOTDATA("Students",'[1]Race &amp; Ethnicity'!$A$4,"SchoolYear","2033-34","RaceEthnicity","Hispanic (any race)","Projection","Projection","StateName","Indiana")+GETPIVOTDATA("Students",'[1]Race &amp; Ethnicity'!$A$4,"SchoolYear","2033-34","RaceEthnicity","Two or More Races","Projection","Estimate (Two or more races graduates after SY 2029-30","StateName","Indiana")+GETPIVOTDATA("Students",'[1]Race &amp; Ethnicity'!$A$4,"SchoolYear","2033-34","RaceEthnicity","White","Projection","Projection","StateName","Indiana")</f>
        <v>#REF!</v>
      </c>
      <c r="BV45" t="e">
        <f>GETPIVOTDATA("Students",'[1]Race &amp; Ethnicity'!$A$4,"SchoolYear","2034-35","RaceEthnicity","American Indian/Alaska Native","Projection","Projection","StateName","Indiana")+GETPIVOTDATA("Students",'[1]Race &amp; Ethnicity'!$A$4,"SchoolYear","2034-35","RaceEthnicity","Asian/Pacific Islander (Combined)","Projection","Projection","StateName","Indiana")+GETPIVOTDATA("Students",'[1]Race &amp; Ethnicity'!$A$4,"SchoolYear","2034-35","RaceEthnicity","Black","Projection","Projection","StateName","Indiana")+GETPIVOTDATA("Students",'[1]Race &amp; Ethnicity'!$A$4,"SchoolYear","2034-35","RaceEthnicity","Hispanic (any race)","Projection","Projection","StateName","Indiana")+GETPIVOTDATA("Students",'[1]Race &amp; Ethnicity'!$A$4,"SchoolYear","2034-35","RaceEthnicity","Two or More Races","Projection","Estimate (Two or more races graduates after SY 2029-30","StateName","Indiana")+GETPIVOTDATA("Students",'[1]Race &amp; Ethnicity'!$A$4,"SchoolYear","2034-35","RaceEthnicity","White","Projection","Projection","StateName","Indiana")</f>
        <v>#REF!</v>
      </c>
      <c r="BW45" t="e">
        <f>GETPIVOTDATA("Students",'[1]Race &amp; Ethnicity'!$A$4,"SchoolYear","2035-36","RaceEthnicity","American Indian/Alaska Native","Projection","Projection","StateName","Indiana")+GETPIVOTDATA("Students",'[1]Race &amp; Ethnicity'!$A$4,"SchoolYear","2035-36","RaceEthnicity","Asian/Pacific Islander (Combined)","Projection","Projection","StateName","Indiana")+GETPIVOTDATA("Students",'[1]Race &amp; Ethnicity'!$A$4,"SchoolYear","2035-36","RaceEthnicity","Black","StateName","Indiana")+GETPIVOTDATA("Students",'[1]Race &amp; Ethnicity'!$A$4,"SchoolYear","2035-36","RaceEthnicity","Hispanic (any race)","Projection","Projection","StateName","Indiana")+GETPIVOTDATA("Students",'[1]Race &amp; Ethnicity'!$A$4,"SchoolYear","2035-36","RaceEthnicity","Two or More Races","Projection","Estimate (Two or more races graduates after SY 2029-30","StateName","Indiana")+GETPIVOTDATA("Students",'[1]Race &amp; Ethnicity'!$A$4,"SchoolYear","2035-36","RaceEthnicity","White","Projection","Projection","StateName","Indiana")</f>
        <v>#REF!</v>
      </c>
    </row>
    <row r="46" spans="1:75">
      <c r="A46" s="175" t="s">
        <v>67</v>
      </c>
      <c r="B46" s="98">
        <v>29909</v>
      </c>
      <c r="C46" s="95">
        <f t="shared" si="15"/>
        <v>29995</v>
      </c>
      <c r="D46" s="97">
        <v>30081</v>
      </c>
      <c r="E46" s="97">
        <v>29807</v>
      </c>
      <c r="F46" s="97">
        <v>33146</v>
      </c>
      <c r="G46" s="97">
        <v>40590</v>
      </c>
      <c r="H46" s="95">
        <f t="shared" si="16"/>
        <v>41284.6</v>
      </c>
      <c r="I46" s="97">
        <f t="shared" si="16"/>
        <v>41979.199999999997</v>
      </c>
      <c r="J46" s="97">
        <f t="shared" si="16"/>
        <v>42673.799999999996</v>
      </c>
      <c r="K46" s="97">
        <f t="shared" si="16"/>
        <v>43368.399999999994</v>
      </c>
      <c r="L46" s="97">
        <v>44063</v>
      </c>
      <c r="M46" s="97">
        <v>43546</v>
      </c>
      <c r="N46" s="99">
        <v>44426</v>
      </c>
      <c r="O46" s="97">
        <v>44521</v>
      </c>
      <c r="P46" s="99">
        <v>43508</v>
      </c>
      <c r="Q46" s="97">
        <v>43005</v>
      </c>
      <c r="R46" s="127">
        <v>42318</v>
      </c>
      <c r="S46" s="127">
        <v>43720</v>
      </c>
      <c r="T46" s="127">
        <v>44168</v>
      </c>
      <c r="U46" s="127">
        <v>44488</v>
      </c>
      <c r="V46" s="127">
        <v>43445</v>
      </c>
      <c r="W46" s="97">
        <v>42635</v>
      </c>
      <c r="X46" s="98">
        <v>41509</v>
      </c>
      <c r="Y46" s="98">
        <v>39569</v>
      </c>
      <c r="Z46" s="98">
        <v>37248</v>
      </c>
      <c r="AA46" s="98">
        <v>36087</v>
      </c>
      <c r="AB46" s="98">
        <v>34279</v>
      </c>
      <c r="AC46" s="97">
        <v>34580</v>
      </c>
      <c r="AD46" s="98">
        <v>35218</v>
      </c>
      <c r="AE46" s="98">
        <v>34294</v>
      </c>
      <c r="AF46" s="98">
        <v>31796</v>
      </c>
      <c r="AG46" s="98">
        <v>28593</v>
      </c>
      <c r="AH46" s="98">
        <v>29224</v>
      </c>
      <c r="AI46" s="97">
        <v>30677</v>
      </c>
      <c r="AJ46" s="97">
        <v>30247</v>
      </c>
      <c r="AK46" s="97">
        <v>31268</v>
      </c>
      <c r="AL46" s="97">
        <v>31689</v>
      </c>
      <c r="AM46" s="97">
        <v>32986</v>
      </c>
      <c r="AN46" s="97">
        <v>34189</v>
      </c>
      <c r="AO46" s="97">
        <v>34378</v>
      </c>
      <c r="AP46" s="97">
        <v>33926</v>
      </c>
      <c r="AQ46" s="97">
        <v>33774</v>
      </c>
      <c r="AR46" s="97">
        <v>33789</v>
      </c>
      <c r="AS46" s="97">
        <v>34860</v>
      </c>
      <c r="AT46" s="97">
        <v>34339</v>
      </c>
      <c r="AU46" s="97">
        <v>33547</v>
      </c>
      <c r="AV46" s="97">
        <v>33693</v>
      </c>
      <c r="AW46" s="97">
        <v>34127</v>
      </c>
      <c r="AX46" s="97">
        <v>34573</v>
      </c>
      <c r="AY46" s="97">
        <v>33926</v>
      </c>
      <c r="AZ46" s="97">
        <v>34462</v>
      </c>
      <c r="BA46" s="97">
        <v>33853</v>
      </c>
      <c r="BB46" s="97">
        <v>33230</v>
      </c>
      <c r="BC46" s="97">
        <v>32548</v>
      </c>
      <c r="BD46" s="97">
        <v>30741.945</v>
      </c>
      <c r="BE46" s="97">
        <v>30812.071999999996</v>
      </c>
      <c r="BF46" s="97">
        <v>31524.063999999998</v>
      </c>
      <c r="BG46" s="97">
        <v>33270</v>
      </c>
      <c r="BH46" s="97">
        <v>33974</v>
      </c>
      <c r="BI46" s="97">
        <v>33750</v>
      </c>
      <c r="BJ46" s="99">
        <v>34080</v>
      </c>
      <c r="BK46" s="180">
        <v>34606.878115917978</v>
      </c>
      <c r="BL46" s="181">
        <v>35254.567410203708</v>
      </c>
      <c r="BM46" s="180">
        <v>34692.792992973475</v>
      </c>
      <c r="BN46" s="180">
        <v>34197.643606247606</v>
      </c>
      <c r="BO46" s="180">
        <v>33308.648562456583</v>
      </c>
      <c r="BP46" s="180">
        <v>32858.75936303968</v>
      </c>
      <c r="BQ46" s="180">
        <v>33318.744399227078</v>
      </c>
      <c r="BR46" s="180">
        <v>33653.270718182248</v>
      </c>
      <c r="BS46" s="180">
        <v>34160.45145521759</v>
      </c>
      <c r="BT46" s="177" t="e">
        <f>GETPIVOTDATA("Students",'[1]Race &amp; Ethnicity'!$A$4,"SchoolYear","2032-33","RaceEthnicity","American Indian/Alaska Native","Projection","Projection","StateName","Iowa")+GETPIVOTDATA("Students",'[1]Race &amp; Ethnicity'!$A$4,"SchoolYear","2032-33","RaceEthnicity","Asian/Pacific Islander (Combined)","Projection","Projection","StateName","Iowa")+GETPIVOTDATA("Students",'[1]Race &amp; Ethnicity'!$A$4,"SchoolYear","2032-33","RaceEthnicity","Black","Projection","Projection","StateName","Iowa")+GETPIVOTDATA("Students",'[1]Race &amp; Ethnicity'!$A$4,"SchoolYear","2032-33","RaceEthnicity","Hispanic (any race)","Projection","Projection","StateName","Iowa")+GETPIVOTDATA("Students",'[1]Race &amp; Ethnicity'!$A$4,"SchoolYear","2032-33","RaceEthnicity","Two or More Races","Projection","Estimate (Two or more races graduates after SY 2029-30","StateName","Iowa")+GETPIVOTDATA("Students",'[1]Race &amp; Ethnicity'!$A$4,"SchoolYear","2032-33","RaceEthnicity","White","Projection","Projection","StateName","Iowa")</f>
        <v>#REF!</v>
      </c>
      <c r="BU46" s="177" t="e">
        <f>GETPIVOTDATA("Students",'[1]Race &amp; Ethnicity'!$A$4,"SchoolYear","2033-34","RaceEthnicity","American Indian/Alaska Native","Projection","Projection","StateName","Iowa")+GETPIVOTDATA("Students",'[1]Race &amp; Ethnicity'!$A$4,"SchoolYear","2033-34","RaceEthnicity","Asian/Pacific Islander (Combined)","Projection","Projection","StateName","Iowa")+GETPIVOTDATA("Students",'[1]Race &amp; Ethnicity'!$A$4,"SchoolYear","2033-34","RaceEthnicity","Black","Projection","Projection","StateName","Iowa")+GETPIVOTDATA("Students",'[1]Race &amp; Ethnicity'!$A$4,"SchoolYear","2033-34","RaceEthnicity","Hispanic (any race)","Projection","Projection","StateName","Iowa")+GETPIVOTDATA("Students",'[1]Race &amp; Ethnicity'!$A$4,"SchoolYear","2033-34","RaceEthnicity","Two or More Races","Projection","Estimate (Two or more races graduates after SY 2029-30","StateName","Iowa")+GETPIVOTDATA("Students",'[1]Race &amp; Ethnicity'!$A$4,"SchoolYear","2033-34","RaceEthnicity","White","Projection","Projection","StateName","Iowa")</f>
        <v>#REF!</v>
      </c>
      <c r="BV46" t="e">
        <f>GETPIVOTDATA("Students",'[1]Race &amp; Ethnicity'!$A$4,"SchoolYear","2034-35","RaceEthnicity","American Indian/Alaska Native","Projection","Projection","StateName","Iowa")+GETPIVOTDATA("Students",'[1]Race &amp; Ethnicity'!$A$4,"SchoolYear","2034-35","RaceEthnicity","Asian/Pacific Islander (Combined)","Projection","Projection","StateName","Iowa")+GETPIVOTDATA("Students",'[1]Race &amp; Ethnicity'!$A$4,"SchoolYear","2034-35","RaceEthnicity","Black","Projection","Projection","StateName","Iowa")+GETPIVOTDATA("Students",'[1]Race &amp; Ethnicity'!$A$4,"SchoolYear","2034-35","RaceEthnicity","Hispanic (any race)","Projection","Projection","StateName","Iowa")+GETPIVOTDATA("Students",'[1]Race &amp; Ethnicity'!$A$4,"SchoolYear","2034-35","RaceEthnicity","Two or More Races","Projection","Estimate (Two or more races graduates after SY 2029-30","StateName","Iowa")+GETPIVOTDATA("Students",'[1]Race &amp; Ethnicity'!$A$4,"SchoolYear","2034-35","RaceEthnicity","White","Projection","Projection","StateName","Iowa")</f>
        <v>#REF!</v>
      </c>
      <c r="BW46" t="e">
        <f>GETPIVOTDATA("Students",'[1]Race &amp; Ethnicity'!$A$4,"SchoolYear","2035-36","RaceEthnicity","American Indian/Alaska Native","Projection","Projection","StateName","Iowa")+GETPIVOTDATA("Students",'[1]Race &amp; Ethnicity'!$A$4,"SchoolYear","2035-36","RaceEthnicity","Asian/Pacific Islander (Combined)","Projection","Projection","StateName","Iowa")+GETPIVOTDATA("Students",'[1]Race &amp; Ethnicity'!$A$4,"SchoolYear","2035-36","RaceEthnicity","Black","StateName","Iowa")+GETPIVOTDATA("Students",'[1]Race &amp; Ethnicity'!$A$4,"SchoolYear","2035-36","RaceEthnicity","Hispanic (any race)","Projection","Projection","StateName","Iowa")+GETPIVOTDATA("Students",'[1]Race &amp; Ethnicity'!$A$4,"SchoolYear","2035-36","RaceEthnicity","Two or More Races","Projection","Estimate (Two or more races graduates after SY 2029-30","StateName","Iowa")+GETPIVOTDATA("Students",'[1]Race &amp; Ethnicity'!$A$4,"SchoolYear","2035-36","RaceEthnicity","White","Projection","Projection","StateName","Iowa")</f>
        <v>#REF!</v>
      </c>
    </row>
    <row r="47" spans="1:75">
      <c r="A47" s="175" t="s">
        <v>68</v>
      </c>
      <c r="B47" s="98">
        <v>21500</v>
      </c>
      <c r="C47" s="95">
        <f t="shared" si="15"/>
        <v>23107.5</v>
      </c>
      <c r="D47" s="97">
        <v>24715</v>
      </c>
      <c r="E47" s="97">
        <v>25621</v>
      </c>
      <c r="F47" s="97">
        <v>27360</v>
      </c>
      <c r="G47" s="97">
        <v>28000</v>
      </c>
      <c r="H47" s="95">
        <f t="shared" si="16"/>
        <v>29078.799999999999</v>
      </c>
      <c r="I47" s="97">
        <f t="shared" si="16"/>
        <v>30157.599999999999</v>
      </c>
      <c r="J47" s="97">
        <f t="shared" si="16"/>
        <v>31236.399999999998</v>
      </c>
      <c r="K47" s="97">
        <f t="shared" si="16"/>
        <v>32315.199999999997</v>
      </c>
      <c r="L47" s="97">
        <v>33394</v>
      </c>
      <c r="M47" s="97">
        <v>33442</v>
      </c>
      <c r="N47" s="99">
        <v>34163</v>
      </c>
      <c r="O47" s="97">
        <v>33941</v>
      </c>
      <c r="P47" s="99">
        <v>33374</v>
      </c>
      <c r="Q47" s="97">
        <v>32458</v>
      </c>
      <c r="R47" s="127">
        <v>32212</v>
      </c>
      <c r="S47" s="127">
        <v>33216</v>
      </c>
      <c r="T47" s="127">
        <v>32763</v>
      </c>
      <c r="U47" s="127">
        <v>32132</v>
      </c>
      <c r="V47" s="127">
        <v>30890</v>
      </c>
      <c r="W47" s="97">
        <v>29397</v>
      </c>
      <c r="X47" s="98">
        <v>28298</v>
      </c>
      <c r="Y47" s="98">
        <v>28316</v>
      </c>
      <c r="Z47" s="98">
        <v>26730</v>
      </c>
      <c r="AA47" s="98">
        <v>25983</v>
      </c>
      <c r="AB47" s="98">
        <v>25587</v>
      </c>
      <c r="AC47" s="97">
        <v>26933</v>
      </c>
      <c r="AD47" s="98">
        <v>27036</v>
      </c>
      <c r="AE47" s="98">
        <v>26848</v>
      </c>
      <c r="AF47" s="98">
        <v>25367</v>
      </c>
      <c r="AG47" s="98">
        <v>24414</v>
      </c>
      <c r="AH47" s="98">
        <v>24129</v>
      </c>
      <c r="AI47" s="97">
        <v>24720</v>
      </c>
      <c r="AJ47" s="97">
        <v>25319</v>
      </c>
      <c r="AK47" s="97">
        <v>26125</v>
      </c>
      <c r="AL47" s="97">
        <v>25786</v>
      </c>
      <c r="AM47" s="97">
        <v>26648</v>
      </c>
      <c r="AN47" s="97">
        <v>27856</v>
      </c>
      <c r="AO47" s="97">
        <v>28685</v>
      </c>
      <c r="AP47" s="97">
        <v>29102</v>
      </c>
      <c r="AQ47" s="97">
        <v>29360</v>
      </c>
      <c r="AR47" s="97">
        <v>29541</v>
      </c>
      <c r="AS47" s="97">
        <v>29963</v>
      </c>
      <c r="AT47" s="97">
        <v>30155</v>
      </c>
      <c r="AU47" s="97">
        <v>30355</v>
      </c>
      <c r="AV47" s="97">
        <v>29818</v>
      </c>
      <c r="AW47" s="97">
        <v>30139</v>
      </c>
      <c r="AX47" s="97">
        <v>30737</v>
      </c>
      <c r="AY47" s="97">
        <v>30368</v>
      </c>
      <c r="AZ47" s="97">
        <v>31642</v>
      </c>
      <c r="BA47" s="97">
        <v>31370</v>
      </c>
      <c r="BB47" s="97">
        <v>31898</v>
      </c>
      <c r="BC47" s="97">
        <v>31922</v>
      </c>
      <c r="BD47" s="97">
        <v>30255.527999999998</v>
      </c>
      <c r="BE47" s="97">
        <v>29847.595999999998</v>
      </c>
      <c r="BF47" s="97">
        <v>30744.875</v>
      </c>
      <c r="BG47" s="97">
        <v>32569</v>
      </c>
      <c r="BH47" s="97">
        <v>33258</v>
      </c>
      <c r="BI47" s="97">
        <v>33324</v>
      </c>
      <c r="BJ47" s="99">
        <v>33120</v>
      </c>
      <c r="BK47" s="180">
        <v>34925.979985659345</v>
      </c>
      <c r="BL47" s="181">
        <v>35769.608509542246</v>
      </c>
      <c r="BM47" s="180">
        <v>35709.89491808445</v>
      </c>
      <c r="BN47" s="180">
        <v>35345.116391952673</v>
      </c>
      <c r="BO47" s="180">
        <v>34719.440103454333</v>
      </c>
      <c r="BP47" s="180">
        <v>33830.021377092518</v>
      </c>
      <c r="BQ47" s="180">
        <v>34424.207010151185</v>
      </c>
      <c r="BR47" s="180">
        <v>33152.151968295875</v>
      </c>
      <c r="BS47" s="180">
        <v>33482.054721630804</v>
      </c>
      <c r="BT47" s="177" t="e">
        <f>GETPIVOTDATA("Students",'[1]Race &amp; Ethnicity'!$A$4,"SchoolYear","2032-33","RaceEthnicity","American Indian/Alaska Native","Projection","Projection","StateName","Kansas")+GETPIVOTDATA("Students",'[1]Race &amp; Ethnicity'!$A$4,"SchoolYear","2032-33","RaceEthnicity","Asian/Pacific Islander (Combined)","Projection","Projection","StateName","Kansas")+GETPIVOTDATA("Students",'[1]Race &amp; Ethnicity'!$A$4,"SchoolYear","2032-33","RaceEthnicity","Black","Projection","Projection","StateName","Kansas")+GETPIVOTDATA("Students",'[1]Race &amp; Ethnicity'!$A$4,"SchoolYear","2032-33","RaceEthnicity","Hispanic (any race)","Projection","Projection","StateName","Kansas")+GETPIVOTDATA("Students",'[1]Race &amp; Ethnicity'!$A$4,"SchoolYear","2032-33","RaceEthnicity","Two or More Races","Projection","Estimate (Two or more races graduates after SY 2029-30","StateName","Kansas")+GETPIVOTDATA("Students",'[1]Race &amp; Ethnicity'!$A$4,"SchoolYear","2032-33","RaceEthnicity","White","Projection","Projection","StateName","Kansas")</f>
        <v>#REF!</v>
      </c>
      <c r="BU47" s="177" t="e">
        <f>GETPIVOTDATA("Students",'[1]Race &amp; Ethnicity'!$A$4,"SchoolYear","2033-34","RaceEthnicity","American Indian/Alaska Native","Projection","Projection","StateName","Kansas")+GETPIVOTDATA("Students",'[1]Race &amp; Ethnicity'!$A$4,"SchoolYear","2033-34","RaceEthnicity","Asian/Pacific Islander (Combined)","Projection","Projection","StateName","Kansas")+GETPIVOTDATA("Students",'[1]Race &amp; Ethnicity'!$A$4,"SchoolYear","2033-34","RaceEthnicity","Black","Projection","Projection","StateName","Kansas")+GETPIVOTDATA("Students",'[1]Race &amp; Ethnicity'!$A$4,"SchoolYear","2033-34","RaceEthnicity","Hispanic (any race)","Projection","Projection","StateName","Kansas")+GETPIVOTDATA("Students",'[1]Race &amp; Ethnicity'!$A$4,"SchoolYear","2033-34","RaceEthnicity","Two or More Races","Projection","Estimate (Two or more races graduates after SY 2029-30","StateName","Kansas")+GETPIVOTDATA("Students",'[1]Race &amp; Ethnicity'!$A$4,"SchoolYear","2033-34","RaceEthnicity","White","Projection","Projection","StateName","Kansas")</f>
        <v>#REF!</v>
      </c>
      <c r="BV47" t="e">
        <f>GETPIVOTDATA("Students",'[1]Race &amp; Ethnicity'!$A$4,"SchoolYear","2034-35","RaceEthnicity","American Indian/Alaska Native","Projection","Projection","StateName","Kansas")+GETPIVOTDATA("Students",'[1]Race &amp; Ethnicity'!$A$4,"SchoolYear","2034-35","RaceEthnicity","Asian/Pacific Islander (Combined)","Projection","Projection","StateName","Kansas")+GETPIVOTDATA("Students",'[1]Race &amp; Ethnicity'!$A$4,"SchoolYear","2034-35","RaceEthnicity","Black","Projection","Projection","StateName","Kansas")+GETPIVOTDATA("Students",'[1]Race &amp; Ethnicity'!$A$4,"SchoolYear","2034-35","RaceEthnicity","Hispanic (any race)","Projection","Projection","StateName","Kansas")+GETPIVOTDATA("Students",'[1]Race &amp; Ethnicity'!$A$4,"SchoolYear","2034-35","RaceEthnicity","Two or More Races","Projection","Estimate (Two or more races graduates after SY 2029-30","StateName","Kansas")+GETPIVOTDATA("Students",'[1]Race &amp; Ethnicity'!$A$4,"SchoolYear","2034-35","RaceEthnicity","White","Projection","Projection","StateName","Kansas")</f>
        <v>#REF!</v>
      </c>
      <c r="BW47" t="e">
        <f>GETPIVOTDATA("Students",'[1]Race &amp; Ethnicity'!$A$4,"SchoolYear","2035-36","RaceEthnicity","American Indian/Alaska Native","Projection","Projection","StateName","Kansas")+GETPIVOTDATA("Students",'[1]Race &amp; Ethnicity'!$A$4,"SchoolYear","2035-36","RaceEthnicity","Asian/Pacific Islander (Combined)","Projection","Projection","StateName","Kansas")+GETPIVOTDATA("Students",'[1]Race &amp; Ethnicity'!$A$4,"SchoolYear","2035-36","RaceEthnicity","Black","StateName","Kansas")+GETPIVOTDATA("Students",'[1]Race &amp; Ethnicity'!$A$4,"SchoolYear","2035-36","RaceEthnicity","Hispanic (any race)","Projection","Projection","StateName","Kansas")+GETPIVOTDATA("Students",'[1]Race &amp; Ethnicity'!$A$4,"SchoolYear","2035-36","RaceEthnicity","Two or More Races","Projection","Estimate (Two or more races graduates after SY 2029-30","StateName","Kansas")+GETPIVOTDATA("Students",'[1]Race &amp; Ethnicity'!$A$4,"SchoolYear","2035-36","RaceEthnicity","White","Projection","Projection","StateName","Kansas")</f>
        <v>#REF!</v>
      </c>
    </row>
    <row r="48" spans="1:75">
      <c r="A48" s="175" t="s">
        <v>69</v>
      </c>
      <c r="B48" s="98">
        <v>74424</v>
      </c>
      <c r="C48" s="95">
        <f t="shared" si="15"/>
        <v>74873.5</v>
      </c>
      <c r="D48" s="97">
        <v>75323</v>
      </c>
      <c r="E48" s="97">
        <v>75883</v>
      </c>
      <c r="F48" s="97">
        <v>85292</v>
      </c>
      <c r="G48" s="97">
        <v>103175</v>
      </c>
      <c r="H48" s="95">
        <f t="shared" si="16"/>
        <v>106740</v>
      </c>
      <c r="I48" s="97">
        <f t="shared" si="16"/>
        <v>110305</v>
      </c>
      <c r="J48" s="97">
        <f t="shared" si="16"/>
        <v>113870</v>
      </c>
      <c r="K48" s="97">
        <f t="shared" si="16"/>
        <v>117435</v>
      </c>
      <c r="L48" s="97">
        <v>121000</v>
      </c>
      <c r="M48" s="97">
        <v>131598</v>
      </c>
      <c r="N48" s="99">
        <v>126409</v>
      </c>
      <c r="O48" s="97">
        <v>130286</v>
      </c>
      <c r="P48" s="99">
        <v>134336</v>
      </c>
      <c r="Q48" s="97">
        <v>135509</v>
      </c>
      <c r="R48" s="127">
        <v>130872</v>
      </c>
      <c r="S48" s="127">
        <v>135337</v>
      </c>
      <c r="T48" s="127">
        <v>132759</v>
      </c>
      <c r="U48" s="127">
        <v>130586</v>
      </c>
      <c r="V48" s="127">
        <v>124316</v>
      </c>
      <c r="W48" s="97">
        <v>124372</v>
      </c>
      <c r="X48" s="98">
        <v>121030</v>
      </c>
      <c r="Y48" s="98">
        <v>112950</v>
      </c>
      <c r="Z48" s="98">
        <v>108926</v>
      </c>
      <c r="AA48" s="98">
        <v>105908</v>
      </c>
      <c r="AB48" s="98">
        <v>101042</v>
      </c>
      <c r="AC48" s="97">
        <v>102725</v>
      </c>
      <c r="AD48" s="98">
        <v>106151</v>
      </c>
      <c r="AE48" s="98">
        <v>101784</v>
      </c>
      <c r="AF48" s="98">
        <v>93807</v>
      </c>
      <c r="AG48" s="98">
        <v>88234</v>
      </c>
      <c r="AH48" s="98">
        <v>87756</v>
      </c>
      <c r="AI48" s="97">
        <v>85302</v>
      </c>
      <c r="AJ48" s="97">
        <v>83385</v>
      </c>
      <c r="AK48" s="97">
        <v>84628</v>
      </c>
      <c r="AL48" s="97">
        <v>85530</v>
      </c>
      <c r="AM48" s="97">
        <v>89695</v>
      </c>
      <c r="AN48" s="97">
        <v>92732</v>
      </c>
      <c r="AO48" s="97">
        <v>94125</v>
      </c>
      <c r="AP48" s="97">
        <v>97679</v>
      </c>
      <c r="AQ48" s="97">
        <v>96515</v>
      </c>
      <c r="AR48" s="97">
        <v>95001</v>
      </c>
      <c r="AS48" s="97">
        <v>100301</v>
      </c>
      <c r="AT48" s="97">
        <v>98823</v>
      </c>
      <c r="AU48" s="97">
        <v>101582</v>
      </c>
      <c r="AV48" s="97">
        <v>102582</v>
      </c>
      <c r="AW48" s="97">
        <v>111838</v>
      </c>
      <c r="AX48" s="97">
        <v>115183</v>
      </c>
      <c r="AY48" s="97">
        <v>112742</v>
      </c>
      <c r="AZ48" s="97">
        <v>110682</v>
      </c>
      <c r="BA48" s="97">
        <v>106017</v>
      </c>
      <c r="BB48" s="97">
        <v>105446</v>
      </c>
      <c r="BC48" s="97">
        <v>104210</v>
      </c>
      <c r="BD48" s="97">
        <v>97683.293999999994</v>
      </c>
      <c r="BE48" s="97">
        <v>97790.111999999994</v>
      </c>
      <c r="BF48" s="97">
        <v>97209.293000000005</v>
      </c>
      <c r="BG48" s="97">
        <v>102286</v>
      </c>
      <c r="BH48" s="97">
        <v>103880</v>
      </c>
      <c r="BI48" s="97">
        <v>103688</v>
      </c>
      <c r="BJ48" s="99">
        <v>100280</v>
      </c>
      <c r="BK48" s="180">
        <v>93396.642691237532</v>
      </c>
      <c r="BL48" s="181">
        <v>93151.551212430117</v>
      </c>
      <c r="BM48" s="180">
        <v>88968.270019487318</v>
      </c>
      <c r="BN48" s="180">
        <v>86138.712165485398</v>
      </c>
      <c r="BO48" s="180">
        <v>84105.651167277058</v>
      </c>
      <c r="BP48" s="180">
        <v>83855.225324651372</v>
      </c>
      <c r="BQ48" s="180">
        <v>83262.573622062904</v>
      </c>
      <c r="BR48" s="180">
        <v>83449.762015714354</v>
      </c>
      <c r="BS48" s="180">
        <v>84088.40355218116</v>
      </c>
      <c r="BT48" s="177" t="e">
        <f>GETPIVOTDATA("Students",'[1]Race &amp; Ethnicity'!$A$4,"SchoolYear","2032-33","RaceEthnicity","American Indian/Alaska Native","Projection","Projection","StateName","Michigan")+GETPIVOTDATA("Students",'[1]Race &amp; Ethnicity'!$A$4,"SchoolYear","2032-33","RaceEthnicity","Asian/Pacific Islander (Combined)","Projection","Projection","StateName","Michigan")+GETPIVOTDATA("Students",'[1]Race &amp; Ethnicity'!$A$4,"SchoolYear","2032-33","RaceEthnicity","Black","Projection","Projection","StateName","Michigan")+GETPIVOTDATA("Students",'[1]Race &amp; Ethnicity'!$A$4,"SchoolYear","2032-33","RaceEthnicity","Hispanic (any race)","Projection","Projection","StateName","Michigan")+GETPIVOTDATA("Students",'[1]Race &amp; Ethnicity'!$A$4,"SchoolYear","2032-33","RaceEthnicity","Two or More Races","Projection","Estimate (Two or more races graduates after SY 2029-30","StateName","Michigan")+GETPIVOTDATA("Students",'[1]Race &amp; Ethnicity'!$A$4,"SchoolYear","2032-33","RaceEthnicity","White","Projection","Projection","StateName","Michigan")</f>
        <v>#REF!</v>
      </c>
      <c r="BU48" s="177" t="e">
        <f>GETPIVOTDATA("Students",'[1]Race &amp; Ethnicity'!$A$4,"SchoolYear","2033-34","RaceEthnicity","American Indian/Alaska Native","Projection","Projection","StateName","Michigan")+GETPIVOTDATA("Students",'[1]Race &amp; Ethnicity'!$A$4,"SchoolYear","2033-34","RaceEthnicity","Asian/Pacific Islander (Combined)","Projection","Projection","StateName","Michigan")+GETPIVOTDATA("Students",'[1]Race &amp; Ethnicity'!$A$4,"SchoolYear","2033-34","RaceEthnicity","Black","Projection","Projection","StateName","Michigan")+GETPIVOTDATA("Students",'[1]Race &amp; Ethnicity'!$A$4,"SchoolYear","2033-34","RaceEthnicity","Hispanic (any race)","Projection","Projection","StateName","Michigan")+GETPIVOTDATA("Students",'[1]Race &amp; Ethnicity'!$A$4,"SchoolYear","2033-34","RaceEthnicity","Two or More Races","Projection","Estimate (Two or more races graduates after SY 2029-30","StateName","Michigan")+GETPIVOTDATA("Students",'[1]Race &amp; Ethnicity'!$A$4,"SchoolYear","2033-34","RaceEthnicity","White","Projection","Projection","StateName","Michigan")</f>
        <v>#REF!</v>
      </c>
      <c r="BV48" t="e">
        <f>GETPIVOTDATA("Students",'[1]Race &amp; Ethnicity'!$A$4,"SchoolYear","2034-35","RaceEthnicity","American Indian/Alaska Native","Projection","Projection","StateName","Michigan")+GETPIVOTDATA("Students",'[1]Race &amp; Ethnicity'!$A$4,"SchoolYear","2034-35","RaceEthnicity","Asian/Pacific Islander (Combined)","Projection","Projection","StateName","Michigan")+GETPIVOTDATA("Students",'[1]Race &amp; Ethnicity'!$A$4,"SchoolYear","2034-35","RaceEthnicity","Black","Projection","Projection","StateName","Michigan")+GETPIVOTDATA("Students",'[1]Race &amp; Ethnicity'!$A$4,"SchoolYear","2034-35","RaceEthnicity","Hispanic (any race)","Projection","Projection","StateName","Michigan")+GETPIVOTDATA("Students",'[1]Race &amp; Ethnicity'!$A$4,"SchoolYear","2034-35","RaceEthnicity","Two or More Races","Projection","Estimate (Two or more races graduates after SY 2029-30","StateName","Michigan")+GETPIVOTDATA("Students",'[1]Race &amp; Ethnicity'!$A$4,"SchoolYear","2034-35","RaceEthnicity","White","Projection","Projection","StateName","Michigan")</f>
        <v>#REF!</v>
      </c>
      <c r="BW48" t="e">
        <f>GETPIVOTDATA("Students",'[1]Race &amp; Ethnicity'!$A$4,"SchoolYear","2035-36","RaceEthnicity","American Indian/Alaska Native","Projection","Projection","StateName","Michigan")+GETPIVOTDATA("Students",'[1]Race &amp; Ethnicity'!$A$4,"SchoolYear","2035-36","RaceEthnicity","Asian/Pacific Islander (Combined)","Projection","Projection","StateName","Michigan")+GETPIVOTDATA("Students",'[1]Race &amp; Ethnicity'!$A$4,"SchoolYear","2035-36","RaceEthnicity","Black","StateName","Michigan")+GETPIVOTDATA("Students",'[1]Race &amp; Ethnicity'!$A$4,"SchoolYear","2035-36","RaceEthnicity","Hispanic (any race)","Projection","Projection","StateName","Michigan")+GETPIVOTDATA("Students",'[1]Race &amp; Ethnicity'!$A$4,"SchoolYear","2035-36","RaceEthnicity","Two or More Races","Projection","Estimate (Two or more races graduates after SY 2029-30","StateName","Michigan")+GETPIVOTDATA("Students",'[1]Race &amp; Ethnicity'!$A$4,"SchoolYear","2035-36","RaceEthnicity","White","Projection","Projection","StateName","Michigan")</f>
        <v>#REF!</v>
      </c>
    </row>
    <row r="49" spans="1:75">
      <c r="A49" s="175" t="s">
        <v>70</v>
      </c>
      <c r="B49" s="98">
        <v>38996</v>
      </c>
      <c r="C49" s="95">
        <f t="shared" si="15"/>
        <v>38668</v>
      </c>
      <c r="D49" s="97">
        <v>38340</v>
      </c>
      <c r="E49" s="97">
        <v>38249</v>
      </c>
      <c r="F49" s="97">
        <v>45873</v>
      </c>
      <c r="G49" s="97">
        <v>53443</v>
      </c>
      <c r="H49" s="95">
        <f t="shared" si="16"/>
        <v>54850.400000000001</v>
      </c>
      <c r="I49" s="97">
        <f t="shared" si="16"/>
        <v>56257.8</v>
      </c>
      <c r="J49" s="97">
        <f t="shared" si="16"/>
        <v>57665.200000000004</v>
      </c>
      <c r="K49" s="97">
        <f t="shared" si="16"/>
        <v>59072.600000000006</v>
      </c>
      <c r="L49" s="97">
        <v>60480</v>
      </c>
      <c r="M49" s="97">
        <v>60966</v>
      </c>
      <c r="N49" s="99">
        <v>63135</v>
      </c>
      <c r="O49" s="97">
        <v>63394</v>
      </c>
      <c r="P49" s="99">
        <v>63981</v>
      </c>
      <c r="Q49" s="97">
        <v>66535</v>
      </c>
      <c r="R49" s="127">
        <v>66424</v>
      </c>
      <c r="S49" s="127">
        <v>68166</v>
      </c>
      <c r="T49" s="127">
        <v>67475</v>
      </c>
      <c r="U49" s="127">
        <v>66096</v>
      </c>
      <c r="V49" s="127">
        <v>64908</v>
      </c>
      <c r="W49" s="97">
        <v>64166</v>
      </c>
      <c r="X49" s="98">
        <v>62145</v>
      </c>
      <c r="Y49" s="98">
        <v>59015</v>
      </c>
      <c r="Z49" s="98">
        <v>55376</v>
      </c>
      <c r="AA49" s="98">
        <v>53352</v>
      </c>
      <c r="AB49" s="98">
        <v>51988</v>
      </c>
      <c r="AC49" s="97">
        <v>53533</v>
      </c>
      <c r="AD49" s="98">
        <v>54645</v>
      </c>
      <c r="AE49" s="98">
        <v>53122</v>
      </c>
      <c r="AF49" s="98">
        <v>49087</v>
      </c>
      <c r="AG49" s="98">
        <v>46474</v>
      </c>
      <c r="AH49" s="98">
        <v>46228</v>
      </c>
      <c r="AI49" s="97">
        <v>48002</v>
      </c>
      <c r="AJ49" s="97">
        <v>47514</v>
      </c>
      <c r="AK49" s="97">
        <v>49354</v>
      </c>
      <c r="AL49" s="97">
        <v>50481</v>
      </c>
      <c r="AM49" s="97">
        <v>48193</v>
      </c>
      <c r="AN49" s="97">
        <v>54628</v>
      </c>
      <c r="AO49" s="97">
        <v>56964</v>
      </c>
      <c r="AP49" s="97">
        <v>57372</v>
      </c>
      <c r="AQ49" s="97">
        <v>56581</v>
      </c>
      <c r="AR49" s="97">
        <v>57440</v>
      </c>
      <c r="AS49" s="97">
        <v>59432</v>
      </c>
      <c r="AT49" s="97">
        <v>59096</v>
      </c>
      <c r="AU49" s="97">
        <v>58391</v>
      </c>
      <c r="AV49" s="97">
        <v>58898</v>
      </c>
      <c r="AW49" s="97">
        <v>59497</v>
      </c>
      <c r="AX49" s="97">
        <v>60409</v>
      </c>
      <c r="AY49" s="97">
        <v>59729</v>
      </c>
      <c r="AZ49" s="97">
        <v>59667</v>
      </c>
      <c r="BA49" s="97">
        <v>59357</v>
      </c>
      <c r="BB49" s="97">
        <v>57501</v>
      </c>
      <c r="BC49" s="97">
        <v>58255</v>
      </c>
      <c r="BD49" s="97">
        <v>53540.844000000005</v>
      </c>
      <c r="BE49" s="97">
        <v>54265.302000000003</v>
      </c>
      <c r="BF49" s="97">
        <v>54046.500000000007</v>
      </c>
      <c r="BG49" s="97">
        <v>58313</v>
      </c>
      <c r="BH49" s="97">
        <v>59810</v>
      </c>
      <c r="BI49" s="97">
        <v>61160</v>
      </c>
      <c r="BJ49" s="99">
        <v>59870</v>
      </c>
      <c r="BK49" s="180">
        <v>61887.779091340788</v>
      </c>
      <c r="BL49" s="181">
        <v>63337.539290135617</v>
      </c>
      <c r="BM49" s="180">
        <v>61890.034154841764</v>
      </c>
      <c r="BN49" s="180">
        <v>60372.117492720441</v>
      </c>
      <c r="BO49" s="180">
        <v>58568.119804860464</v>
      </c>
      <c r="BP49" s="180">
        <v>58348.382301609985</v>
      </c>
      <c r="BQ49" s="180">
        <v>58761.66844420971</v>
      </c>
      <c r="BR49" s="180">
        <v>59071.224003797528</v>
      </c>
      <c r="BS49" s="180">
        <v>59697.496165335695</v>
      </c>
      <c r="BT49" s="177" t="e">
        <f>GETPIVOTDATA("Students",'[1]Race &amp; Ethnicity'!$A$4,"SchoolYear","2032-33","RaceEthnicity","American Indian/Alaska Native","Projection","Projection","StateName","Minnesota")+GETPIVOTDATA("Students",'[1]Race &amp; Ethnicity'!$A$4,"SchoolYear","2032-33","RaceEthnicity","Asian/Pacific Islander (Combined)","Projection","Projection","StateName","Minnesota")+GETPIVOTDATA("Students",'[1]Race &amp; Ethnicity'!$A$4,"SchoolYear","2032-33","RaceEthnicity","Black","Projection","Projection","StateName","Minnesota")+GETPIVOTDATA("Students",'[1]Race &amp; Ethnicity'!$A$4,"SchoolYear","2032-33","RaceEthnicity","Hispanic (any race)","Projection","Projection","StateName","Minnesota")+GETPIVOTDATA("Students",'[1]Race &amp; Ethnicity'!$A$4,"SchoolYear","2032-33","RaceEthnicity","Two or More Races","Projection","Estimate (Two or more races graduates after SY 2029-30","StateName","Minnesota")+GETPIVOTDATA("Students",'[1]Race &amp; Ethnicity'!$A$4,"SchoolYear","2032-33","RaceEthnicity","White","Projection","Projection","StateName","Minnesota")</f>
        <v>#REF!</v>
      </c>
      <c r="BU49" s="177" t="e">
        <f>GETPIVOTDATA("Students",'[1]Race &amp; Ethnicity'!$A$4,"SchoolYear","2033-34","RaceEthnicity","American Indian/Alaska Native","Projection","Projection","StateName","Minnesota")+GETPIVOTDATA("Students",'[1]Race &amp; Ethnicity'!$A$4,"SchoolYear","2033-34","RaceEthnicity","Asian/Pacific Islander (Combined)","Projection","Projection","StateName","Minnesota")+GETPIVOTDATA("Students",'[1]Race &amp; Ethnicity'!$A$4,"SchoolYear","2033-34","RaceEthnicity","Black","Projection","Projection","StateName","Minnesota")+GETPIVOTDATA("Students",'[1]Race &amp; Ethnicity'!$A$4,"SchoolYear","2033-34","RaceEthnicity","Hispanic (any race)","Projection","Projection","StateName","Minnesota")+GETPIVOTDATA("Students",'[1]Race &amp; Ethnicity'!$A$4,"SchoolYear","2033-34","RaceEthnicity","Two or More Races","Projection","Estimate (Two or more races graduates after SY 2029-30","StateName","Minnesota")+GETPIVOTDATA("Students",'[1]Race &amp; Ethnicity'!$A$4,"SchoolYear","2033-34","RaceEthnicity","White","Projection","Projection","StateName","Minnesota")</f>
        <v>#REF!</v>
      </c>
      <c r="BV49" t="e">
        <f>GETPIVOTDATA("Students",'[1]Race &amp; Ethnicity'!$A$4,"SchoolYear","2034-35","RaceEthnicity","American Indian/Alaska Native","Projection","Projection","StateName","Minnesota")+GETPIVOTDATA("Students",'[1]Race &amp; Ethnicity'!$A$4,"SchoolYear","2034-35","RaceEthnicity","Asian/Pacific Islander (Combined)","Projection","Projection","StateName","Minnesota")+GETPIVOTDATA("Students",'[1]Race &amp; Ethnicity'!$A$4,"SchoolYear","2034-35","RaceEthnicity","Black","Projection","Projection","StateName","Minnesota")+GETPIVOTDATA("Students",'[1]Race &amp; Ethnicity'!$A$4,"SchoolYear","2034-35","RaceEthnicity","Hispanic (any race)","Projection","Projection","StateName","Minnesota")+GETPIVOTDATA("Students",'[1]Race &amp; Ethnicity'!$A$4,"SchoolYear","2034-35","RaceEthnicity","Two or More Races","Projection","Estimate (Two or more races graduates after SY 2029-30","StateName","Minnesota")+GETPIVOTDATA("Students",'[1]Race &amp; Ethnicity'!$A$4,"SchoolYear","2034-35","RaceEthnicity","White","Projection","Projection","StateName","Minnesota")</f>
        <v>#REF!</v>
      </c>
      <c r="BW49" t="e">
        <f>GETPIVOTDATA("Students",'[1]Race &amp; Ethnicity'!$A$4,"SchoolYear","2035-36","RaceEthnicity","American Indian/Alaska Native","Projection","Projection","StateName","Minnesota")+GETPIVOTDATA("Students",'[1]Race &amp; Ethnicity'!$A$4,"SchoolYear","2035-36","RaceEthnicity","Asian/Pacific Islander (Combined)","Projection","Projection","StateName","Minnesota")+GETPIVOTDATA("Students",'[1]Race &amp; Ethnicity'!$A$4,"SchoolYear","2035-36","RaceEthnicity","Black","StateName","Minnesota")+GETPIVOTDATA("Students",'[1]Race &amp; Ethnicity'!$A$4,"SchoolYear","2035-36","RaceEthnicity","Hispanic (any race)","Projection","Projection","StateName","Minnesota")+GETPIVOTDATA("Students",'[1]Race &amp; Ethnicity'!$A$4,"SchoolYear","2035-36","RaceEthnicity","Two or More Races","Projection","Estimate (Two or more races graduates after SY 2029-30","StateName","Minnesota")+GETPIVOTDATA("Students",'[1]Race &amp; Ethnicity'!$A$4,"SchoolYear","2035-36","RaceEthnicity","White","Projection","Projection","StateName","Minnesota")</f>
        <v>#REF!</v>
      </c>
    </row>
    <row r="50" spans="1:75">
      <c r="A50" s="175" t="s">
        <v>71</v>
      </c>
      <c r="B50" s="98">
        <v>36797</v>
      </c>
      <c r="C50" s="95">
        <f t="shared" si="15"/>
        <v>38485.5</v>
      </c>
      <c r="D50" s="97">
        <v>40174</v>
      </c>
      <c r="E50" s="97">
        <v>39700</v>
      </c>
      <c r="F50" s="97">
        <v>42149</v>
      </c>
      <c r="G50" s="97">
        <v>51261</v>
      </c>
      <c r="H50" s="95">
        <f t="shared" si="16"/>
        <v>52071.8</v>
      </c>
      <c r="I50" s="97">
        <f t="shared" si="16"/>
        <v>52882.600000000006</v>
      </c>
      <c r="J50" s="97">
        <f t="shared" si="16"/>
        <v>53693.400000000009</v>
      </c>
      <c r="K50" s="97">
        <f t="shared" si="16"/>
        <v>54504.200000000012</v>
      </c>
      <c r="L50" s="97">
        <v>55315</v>
      </c>
      <c r="M50" s="97">
        <v>57422</v>
      </c>
      <c r="N50" s="99">
        <v>58876</v>
      </c>
      <c r="O50" s="97">
        <v>60068</v>
      </c>
      <c r="P50" s="99">
        <v>62183</v>
      </c>
      <c r="Q50" s="97">
        <v>62375</v>
      </c>
      <c r="R50" s="127">
        <v>63942</v>
      </c>
      <c r="S50" s="127">
        <v>64471</v>
      </c>
      <c r="T50" s="127">
        <v>64564</v>
      </c>
      <c r="U50" s="127">
        <v>64163</v>
      </c>
      <c r="V50" s="127">
        <v>62265</v>
      </c>
      <c r="W50" s="97">
        <v>60359</v>
      </c>
      <c r="X50" s="98">
        <v>59872</v>
      </c>
      <c r="Y50" s="98">
        <v>56420</v>
      </c>
      <c r="Z50" s="98">
        <v>53388</v>
      </c>
      <c r="AA50" s="98">
        <v>51290</v>
      </c>
      <c r="AB50" s="98">
        <v>49204</v>
      </c>
      <c r="AC50" s="97">
        <v>50840</v>
      </c>
      <c r="AD50" s="98">
        <v>51316</v>
      </c>
      <c r="AE50" s="98">
        <v>51968</v>
      </c>
      <c r="AF50" s="98">
        <v>48957</v>
      </c>
      <c r="AG50" s="98">
        <v>46928</v>
      </c>
      <c r="AH50" s="98">
        <v>46556</v>
      </c>
      <c r="AI50" s="97">
        <v>46864</v>
      </c>
      <c r="AJ50" s="97">
        <v>46566</v>
      </c>
      <c r="AK50" s="97">
        <v>48862</v>
      </c>
      <c r="AL50" s="97">
        <v>49011</v>
      </c>
      <c r="AM50" s="97">
        <v>50543</v>
      </c>
      <c r="AN50" s="97">
        <v>52095</v>
      </c>
      <c r="AO50" s="97">
        <v>52531</v>
      </c>
      <c r="AP50" s="97">
        <v>52848</v>
      </c>
      <c r="AQ50" s="97">
        <v>54138</v>
      </c>
      <c r="AR50" s="97">
        <v>54487</v>
      </c>
      <c r="AS50" s="97">
        <v>56925</v>
      </c>
      <c r="AT50" s="97">
        <v>57983</v>
      </c>
      <c r="AU50" s="97">
        <v>57841</v>
      </c>
      <c r="AV50" s="97">
        <v>58417</v>
      </c>
      <c r="AW50" s="97">
        <v>60275</v>
      </c>
      <c r="AX50" s="97">
        <v>61717</v>
      </c>
      <c r="AY50" s="97">
        <v>62969</v>
      </c>
      <c r="AZ50" s="97">
        <v>63994</v>
      </c>
      <c r="BA50" s="97">
        <v>62994</v>
      </c>
      <c r="BB50" s="97">
        <v>61313</v>
      </c>
      <c r="BC50" s="97">
        <v>61407</v>
      </c>
      <c r="BD50" s="97">
        <v>58903.928999999996</v>
      </c>
      <c r="BE50" s="97">
        <v>58418.608</v>
      </c>
      <c r="BF50" s="97">
        <v>59624.66</v>
      </c>
      <c r="BG50" s="97">
        <v>61309</v>
      </c>
      <c r="BH50" s="97">
        <v>61016</v>
      </c>
      <c r="BI50" s="97">
        <v>61491</v>
      </c>
      <c r="BJ50" s="99">
        <v>60360</v>
      </c>
      <c r="BK50" s="180">
        <v>61010.375635245036</v>
      </c>
      <c r="BL50" s="181">
        <v>62398.088245076447</v>
      </c>
      <c r="BM50" s="180">
        <v>61832.782144725898</v>
      </c>
      <c r="BN50" s="180">
        <v>60194.663372451687</v>
      </c>
      <c r="BO50" s="180">
        <v>58455.258397853439</v>
      </c>
      <c r="BP50" s="180">
        <v>57871.249930145044</v>
      </c>
      <c r="BQ50" s="180">
        <v>57458.014048539255</v>
      </c>
      <c r="BR50" s="180">
        <v>57367.677424532965</v>
      </c>
      <c r="BS50" s="180">
        <v>57401.835547051174</v>
      </c>
      <c r="BT50" s="177" t="e">
        <f>GETPIVOTDATA("Students",'[1]Race &amp; Ethnicity'!$A$4,"SchoolYear","2032-33","RaceEthnicity","American Indian/Alaska Native","Projection","Projection","StateName","Missouri")+GETPIVOTDATA("Students",'[1]Race &amp; Ethnicity'!$A$4,"SchoolYear","2032-33","RaceEthnicity","Asian/Pacific Islander (Combined)","Projection","Projection","StateName","Missouri")+GETPIVOTDATA("Students",'[1]Race &amp; Ethnicity'!$A$4,"SchoolYear","2032-33","RaceEthnicity","Black","Projection","Projection","StateName","Missouri")+GETPIVOTDATA("Students",'[1]Race &amp; Ethnicity'!$A$4,"SchoolYear","2032-33","RaceEthnicity","Hispanic (any race)","Projection","Projection","StateName","Missouri")+GETPIVOTDATA("Students",'[1]Race &amp; Ethnicity'!$A$4,"SchoolYear","2032-33","RaceEthnicity","Two or More Races","Projection","Estimate (Two or more races graduates after SY 2029-30","StateName","Missouri")+GETPIVOTDATA("Students",'[1]Race &amp; Ethnicity'!$A$4,"SchoolYear","2032-33","RaceEthnicity","White","Projection","Projection","StateName","Missouri")</f>
        <v>#REF!</v>
      </c>
      <c r="BU50" s="177" t="e">
        <f>GETPIVOTDATA("Students",'[1]Race &amp; Ethnicity'!$A$4,"SchoolYear","2033-34","RaceEthnicity","American Indian/Alaska Native","Projection","Projection","StateName","Missouri")+GETPIVOTDATA("Students",'[1]Race &amp; Ethnicity'!$A$4,"SchoolYear","2033-34","RaceEthnicity","Asian/Pacific Islander (Combined)","Projection","Projection","StateName","Missouri")+GETPIVOTDATA("Students",'[1]Race &amp; Ethnicity'!$A$4,"SchoolYear","2033-34","RaceEthnicity","Black","Projection","Projection","StateName","Missouri")+GETPIVOTDATA("Students",'[1]Race &amp; Ethnicity'!$A$4,"SchoolYear","2033-34","RaceEthnicity","Hispanic (any race)","Projection","Projection","StateName","Missouri")+GETPIVOTDATA("Students",'[1]Race &amp; Ethnicity'!$A$4,"SchoolYear","2033-34","RaceEthnicity","Two or More Races","Projection","Estimate (Two or more races graduates after SY 2029-30","StateName","Missouri")+GETPIVOTDATA("Students",'[1]Race &amp; Ethnicity'!$A$4,"SchoolYear","2033-34","RaceEthnicity","White","Projection","Projection","StateName","Missouri")</f>
        <v>#REF!</v>
      </c>
      <c r="BV50" t="e">
        <f>GETPIVOTDATA("Students",'[1]Race &amp; Ethnicity'!$A$4,"SchoolYear","2034-35","RaceEthnicity","American Indian/Alaska Native","Projection","Projection","StateName","Missouri")+GETPIVOTDATA("Students",'[1]Race &amp; Ethnicity'!$A$4,"SchoolYear","2034-35","RaceEthnicity","Asian/Pacific Islander (Combined)","Projection","Projection","StateName","Missouri")+GETPIVOTDATA("Students",'[1]Race &amp; Ethnicity'!$A$4,"SchoolYear","2034-35","RaceEthnicity","Black","Projection","Projection","StateName","Missouri")+GETPIVOTDATA("Students",'[1]Race &amp; Ethnicity'!$A$4,"SchoolYear","2034-35","RaceEthnicity","Hispanic (any race)","Projection","Projection","StateName","Missouri")+GETPIVOTDATA("Students",'[1]Race &amp; Ethnicity'!$A$4,"SchoolYear","2034-35","RaceEthnicity","Two or More Races","Projection","Estimate (Two or more races graduates after SY 2029-30","StateName","Missouri")+GETPIVOTDATA("Students",'[1]Race &amp; Ethnicity'!$A$4,"SchoolYear","2034-35","RaceEthnicity","White","Projection","Projection","StateName","Missouri")</f>
        <v>#REF!</v>
      </c>
      <c r="BW50" t="e">
        <f>GETPIVOTDATA("Students",'[1]Race &amp; Ethnicity'!$A$4,"SchoolYear","2035-36","RaceEthnicity","American Indian/Alaska Native","Projection","Projection","StateName","Missouri")+GETPIVOTDATA("Students",'[1]Race &amp; Ethnicity'!$A$4,"SchoolYear","2035-36","RaceEthnicity","Asian/Pacific Islander (Combined)","Projection","Projection","StateName","Missouri")+GETPIVOTDATA("Students",'[1]Race &amp; Ethnicity'!$A$4,"SchoolYear","2035-36","RaceEthnicity","Black","StateName","Missouri")+GETPIVOTDATA("Students",'[1]Race &amp; Ethnicity'!$A$4,"SchoolYear","2035-36","RaceEthnicity","Hispanic (any race)","Projection","Projection","StateName","Missouri")+GETPIVOTDATA("Students",'[1]Race &amp; Ethnicity'!$A$4,"SchoolYear","2035-36","RaceEthnicity","Two or More Races","Projection","Estimate (Two or more races graduates after SY 2029-30","StateName","Missouri")+GETPIVOTDATA("Students",'[1]Race &amp; Ethnicity'!$A$4,"SchoolYear","2035-36","RaceEthnicity","White","Projection","Projection","StateName","Missouri")</f>
        <v>#REF!</v>
      </c>
    </row>
    <row r="51" spans="1:75">
      <c r="A51" s="175" t="s">
        <v>72</v>
      </c>
      <c r="B51" s="98">
        <v>14347</v>
      </c>
      <c r="C51" s="95">
        <f t="shared" si="15"/>
        <v>14408</v>
      </c>
      <c r="D51" s="97">
        <v>14469</v>
      </c>
      <c r="E51" s="97">
        <v>14768</v>
      </c>
      <c r="F51" s="97">
        <v>16240</v>
      </c>
      <c r="G51" s="97">
        <v>19886</v>
      </c>
      <c r="H51" s="95">
        <f t="shared" si="16"/>
        <v>20164.8</v>
      </c>
      <c r="I51" s="97">
        <f t="shared" si="16"/>
        <v>20443.599999999999</v>
      </c>
      <c r="J51" s="97">
        <f t="shared" si="16"/>
        <v>20722.399999999998</v>
      </c>
      <c r="K51" s="97">
        <f t="shared" si="16"/>
        <v>21001.199999999997</v>
      </c>
      <c r="L51" s="97">
        <v>21280</v>
      </c>
      <c r="M51" s="97">
        <v>21410</v>
      </c>
      <c r="N51" s="99">
        <v>21720</v>
      </c>
      <c r="O51" s="97">
        <v>22459</v>
      </c>
      <c r="P51" s="99">
        <v>22276</v>
      </c>
      <c r="Q51" s="97">
        <v>22249</v>
      </c>
      <c r="R51" s="127">
        <v>22237</v>
      </c>
      <c r="S51" s="127">
        <v>23067</v>
      </c>
      <c r="T51" s="127">
        <v>23322</v>
      </c>
      <c r="U51" s="127">
        <v>23147</v>
      </c>
      <c r="V51" s="127">
        <v>22410</v>
      </c>
      <c r="W51" s="97">
        <v>21411</v>
      </c>
      <c r="X51" s="98">
        <v>21027</v>
      </c>
      <c r="Y51" s="98">
        <v>19986</v>
      </c>
      <c r="Z51" s="98">
        <v>18674</v>
      </c>
      <c r="AA51" s="98">
        <v>18036</v>
      </c>
      <c r="AB51" s="98">
        <v>17845</v>
      </c>
      <c r="AC51" s="97">
        <v>18129</v>
      </c>
      <c r="AD51" s="98">
        <v>18300</v>
      </c>
      <c r="AE51" s="98">
        <v>18690</v>
      </c>
      <c r="AF51" s="98">
        <v>17664</v>
      </c>
      <c r="AG51" s="98">
        <v>16500</v>
      </c>
      <c r="AH51" s="98">
        <v>17057</v>
      </c>
      <c r="AI51" s="97">
        <v>17569</v>
      </c>
      <c r="AJ51" s="97">
        <v>17072</v>
      </c>
      <c r="AK51" s="97">
        <v>17969</v>
      </c>
      <c r="AL51" s="97">
        <v>18014</v>
      </c>
      <c r="AM51" s="97">
        <v>18636</v>
      </c>
      <c r="AN51" s="97">
        <v>19719</v>
      </c>
      <c r="AO51" s="97">
        <v>20550</v>
      </c>
      <c r="AP51" s="97">
        <v>20149</v>
      </c>
      <c r="AQ51" s="97">
        <v>19658</v>
      </c>
      <c r="AR51" s="97">
        <v>19910</v>
      </c>
      <c r="AS51" s="97">
        <v>20161</v>
      </c>
      <c r="AT51" s="97">
        <v>20309</v>
      </c>
      <c r="AU51" s="97">
        <v>19940</v>
      </c>
      <c r="AV51" s="97">
        <v>19764</v>
      </c>
      <c r="AW51" s="97">
        <v>19873</v>
      </c>
      <c r="AX51" s="97">
        <v>20035</v>
      </c>
      <c r="AY51" s="97">
        <v>19501</v>
      </c>
      <c r="AZ51" s="97">
        <v>19370</v>
      </c>
      <c r="BA51" s="97">
        <v>20331</v>
      </c>
      <c r="BB51" s="97">
        <v>20464</v>
      </c>
      <c r="BC51" s="97">
        <v>20442</v>
      </c>
      <c r="BD51" s="97">
        <v>19504.368000000002</v>
      </c>
      <c r="BE51" s="97">
        <v>19431.761999999999</v>
      </c>
      <c r="BF51" s="97">
        <v>19675.469000000001</v>
      </c>
      <c r="BG51" s="97">
        <v>20775</v>
      </c>
      <c r="BH51" s="97">
        <v>21517</v>
      </c>
      <c r="BI51" s="97">
        <v>21389</v>
      </c>
      <c r="BJ51" s="99">
        <v>21930</v>
      </c>
      <c r="BK51" s="180">
        <v>23036.535146210397</v>
      </c>
      <c r="BL51" s="181">
        <v>21687.164869988221</v>
      </c>
      <c r="BM51" s="180">
        <v>22638.947734301113</v>
      </c>
      <c r="BN51" s="180">
        <v>22751.165622587228</v>
      </c>
      <c r="BO51" s="180">
        <v>21864.555686903597</v>
      </c>
      <c r="BP51" s="180">
        <v>21605.520214855173</v>
      </c>
      <c r="BQ51" s="180">
        <v>21683.729289517934</v>
      </c>
      <c r="BR51" s="180">
        <v>21904.301778844336</v>
      </c>
      <c r="BS51" s="180">
        <v>22517.186057927483</v>
      </c>
      <c r="BT51" s="177" t="e">
        <f>GETPIVOTDATA("Students",'[1]Race &amp; Ethnicity'!$A$4,"SchoolYear","2032-33","RaceEthnicity","American Indian/Alaska Native","Projection","Projection","StateName","Nebraska")+GETPIVOTDATA("Students",'[1]Race &amp; Ethnicity'!$A$4,"SchoolYear","2032-33","RaceEthnicity","Asian/Pacific Islander (Combined)","Projection","Projection","StateName","Nebraska")+GETPIVOTDATA("Students",'[1]Race &amp; Ethnicity'!$A$4,"SchoolYear","2032-33","RaceEthnicity","Black","Projection","Projection","StateName","Nebraska")+GETPIVOTDATA("Students",'[1]Race &amp; Ethnicity'!$A$4,"SchoolYear","2032-33","RaceEthnicity","Hispanic (any race)","Projection","Projection","StateName","Nebraska")+GETPIVOTDATA("Students",'[1]Race &amp; Ethnicity'!$A$4,"SchoolYear","2032-33","RaceEthnicity","Two or More Races","Projection","Estimate (Two or more races graduates after SY 2029-30","StateName","Nebraska")+GETPIVOTDATA("Students",'[1]Race &amp; Ethnicity'!$A$4,"SchoolYear","2032-33","RaceEthnicity","White","Projection","Projection","StateName","Nebraska")</f>
        <v>#REF!</v>
      </c>
      <c r="BU51" s="177" t="e">
        <f>GETPIVOTDATA("Students",'[1]Race &amp; Ethnicity'!$A$4,"SchoolYear","2033-34","RaceEthnicity","American Indian/Alaska Native","Projection","Projection","StateName","Nebraska")+GETPIVOTDATA("Students",'[1]Race &amp; Ethnicity'!$A$4,"SchoolYear","2033-34","RaceEthnicity","Asian/Pacific Islander (Combined)","Projection","Projection","StateName","Nebraska")+GETPIVOTDATA("Students",'[1]Race &amp; Ethnicity'!$A$4,"SchoolYear","2033-34","RaceEthnicity","Black","Projection","Projection","StateName","Nebraska")+GETPIVOTDATA("Students",'[1]Race &amp; Ethnicity'!$A$4,"SchoolYear","2033-34","RaceEthnicity","Hispanic (any race)","Projection","Projection","StateName","Nebraska")+GETPIVOTDATA("Students",'[1]Race &amp; Ethnicity'!$A$4,"SchoolYear","2033-34","RaceEthnicity","Two or More Races","Projection","Estimate (Two or more races graduates after SY 2029-30","StateName","Nebraska")+GETPIVOTDATA("Students",'[1]Race &amp; Ethnicity'!$A$4,"SchoolYear","2033-34","RaceEthnicity","White","Projection","Projection","StateName","Nebraska")</f>
        <v>#REF!</v>
      </c>
      <c r="BV51" t="e">
        <f>GETPIVOTDATA("Students",'[1]Race &amp; Ethnicity'!$A$4,"SchoolYear","2034-35","RaceEthnicity","American Indian/Alaska Native","Projection","Projection","StateName","Nebraska")+GETPIVOTDATA("Students",'[1]Race &amp; Ethnicity'!$A$4,"SchoolYear","2034-35","RaceEthnicity","Asian/Pacific Islander (Combined)","Projection","Projection","StateName","Nebraska")+GETPIVOTDATA("Students",'[1]Race &amp; Ethnicity'!$A$4,"SchoolYear","2034-35","RaceEthnicity","Black","Projection","Projection","StateName","Nebraska")+GETPIVOTDATA("Students",'[1]Race &amp; Ethnicity'!$A$4,"SchoolYear","2034-35","RaceEthnicity","Hispanic (any race)","Projection","Projection","StateName","Nebraska")+GETPIVOTDATA("Students",'[1]Race &amp; Ethnicity'!$A$4,"SchoolYear","2034-35","RaceEthnicity","Two or More Races","Projection","Estimate (Two or more races graduates after SY 2029-30","StateName","Nebraska")+GETPIVOTDATA("Students",'[1]Race &amp; Ethnicity'!$A$4,"SchoolYear","2034-35","RaceEthnicity","White","Projection","Projection","StateName","Nebraska")</f>
        <v>#REF!</v>
      </c>
      <c r="BW51" t="e">
        <f>GETPIVOTDATA("Students",'[1]Race &amp; Ethnicity'!$A$4,"SchoolYear","2035-36","RaceEthnicity","American Indian/Alaska Native","Projection","Projection","StateName","Nebraska")+GETPIVOTDATA("Students",'[1]Race &amp; Ethnicity'!$A$4,"SchoolYear","2035-36","RaceEthnicity","Asian/Pacific Islander (Combined)","Projection","Projection","StateName","Nebraska")+GETPIVOTDATA("Students",'[1]Race &amp; Ethnicity'!$A$4,"SchoolYear","2035-36","RaceEthnicity","Black","StateName","Nebraska")+GETPIVOTDATA("Students",'[1]Race &amp; Ethnicity'!$A$4,"SchoolYear","2035-36","RaceEthnicity","Hispanic (any race)","Projection","Projection","StateName","Nebraska")+GETPIVOTDATA("Students",'[1]Race &amp; Ethnicity'!$A$4,"SchoolYear","2035-36","RaceEthnicity","Two or More Races","Projection","Estimate (Two or more races graduates after SY 2029-30","StateName","Nebraska")+GETPIVOTDATA("Students",'[1]Race &amp; Ethnicity'!$A$4,"SchoolYear","2035-36","RaceEthnicity","White","Projection","Projection","StateName","Nebraska")</f>
        <v>#REF!</v>
      </c>
    </row>
    <row r="52" spans="1:75">
      <c r="A52" s="175" t="s">
        <v>73</v>
      </c>
      <c r="B52" s="98">
        <v>7328</v>
      </c>
      <c r="C52" s="95">
        <f t="shared" si="15"/>
        <v>7466</v>
      </c>
      <c r="D52" s="97">
        <v>7604</v>
      </c>
      <c r="E52" s="97">
        <v>8155</v>
      </c>
      <c r="F52" s="97">
        <v>8733</v>
      </c>
      <c r="G52" s="97">
        <v>9536</v>
      </c>
      <c r="H52" s="95">
        <f t="shared" si="16"/>
        <v>9858.7999999999993</v>
      </c>
      <c r="I52" s="97">
        <f t="shared" si="16"/>
        <v>10181.599999999999</v>
      </c>
      <c r="J52" s="97">
        <f t="shared" si="16"/>
        <v>10504.399999999998</v>
      </c>
      <c r="K52" s="97">
        <f t="shared" si="16"/>
        <v>10827.199999999997</v>
      </c>
      <c r="L52" s="97">
        <v>11150</v>
      </c>
      <c r="M52" s="97">
        <v>11003</v>
      </c>
      <c r="N52" s="99">
        <v>10515</v>
      </c>
      <c r="O52" s="97">
        <v>10563</v>
      </c>
      <c r="P52" s="99">
        <v>10824</v>
      </c>
      <c r="Q52" s="97">
        <v>10690</v>
      </c>
      <c r="R52" s="127">
        <v>10771</v>
      </c>
      <c r="S52" s="127">
        <v>10839</v>
      </c>
      <c r="T52" s="127">
        <v>10526</v>
      </c>
      <c r="U52" s="127">
        <v>10385</v>
      </c>
      <c r="V52" s="127">
        <v>9928</v>
      </c>
      <c r="W52" s="97">
        <v>9924</v>
      </c>
      <c r="X52" s="98">
        <v>9504</v>
      </c>
      <c r="Y52" s="98">
        <v>8886</v>
      </c>
      <c r="Z52" s="98">
        <v>8569</v>
      </c>
      <c r="AA52" s="98">
        <v>8146</v>
      </c>
      <c r="AB52" s="98">
        <v>7610</v>
      </c>
      <c r="AC52" s="97">
        <v>7821</v>
      </c>
      <c r="AD52" s="98">
        <v>8432</v>
      </c>
      <c r="AE52" s="98">
        <v>8077</v>
      </c>
      <c r="AF52" s="98">
        <v>7690</v>
      </c>
      <c r="AG52" s="98">
        <v>7573</v>
      </c>
      <c r="AH52" s="98">
        <v>7438</v>
      </c>
      <c r="AI52" s="97">
        <v>7310</v>
      </c>
      <c r="AJ52" s="97">
        <v>7522</v>
      </c>
      <c r="AK52" s="97">
        <v>7817</v>
      </c>
      <c r="AL52" s="97">
        <v>8027</v>
      </c>
      <c r="AM52" s="97">
        <v>8025</v>
      </c>
      <c r="AN52" s="97">
        <v>8170</v>
      </c>
      <c r="AO52" s="97">
        <v>8388</v>
      </c>
      <c r="AP52" s="97">
        <v>8606</v>
      </c>
      <c r="AQ52" s="97">
        <v>8445</v>
      </c>
      <c r="AR52" s="97">
        <v>8114</v>
      </c>
      <c r="AS52" s="97">
        <v>8169</v>
      </c>
      <c r="AT52" s="97">
        <v>7888</v>
      </c>
      <c r="AU52" s="97">
        <v>7555</v>
      </c>
      <c r="AV52" s="97">
        <v>7192</v>
      </c>
      <c r="AW52" s="97">
        <v>7159</v>
      </c>
      <c r="AX52" s="97">
        <v>6999</v>
      </c>
      <c r="AY52" s="97">
        <v>7232</v>
      </c>
      <c r="AZ52" s="97">
        <v>7155</v>
      </c>
      <c r="BA52" s="97">
        <v>7156</v>
      </c>
      <c r="BB52" s="97">
        <v>6942</v>
      </c>
      <c r="BC52" s="97">
        <v>6900</v>
      </c>
      <c r="BD52" s="97">
        <v>6582.7280000000001</v>
      </c>
      <c r="BE52" s="97">
        <v>6556.4859999999999</v>
      </c>
      <c r="BF52" s="97">
        <v>6649.125</v>
      </c>
      <c r="BG52" s="97">
        <v>6749</v>
      </c>
      <c r="BH52" s="97">
        <v>6618</v>
      </c>
      <c r="BI52" s="97">
        <v>6850</v>
      </c>
      <c r="BJ52" s="99">
        <v>6830</v>
      </c>
      <c r="BK52" s="180">
        <v>9204.3750724699657</v>
      </c>
      <c r="BL52" s="181">
        <v>9498.9164232946005</v>
      </c>
      <c r="BM52" s="180">
        <v>9282.9057831706286</v>
      </c>
      <c r="BN52" s="180">
        <v>9353.141360498108</v>
      </c>
      <c r="BO52" s="180">
        <v>9501.6116350300654</v>
      </c>
      <c r="BP52" s="180">
        <v>10007.940164712296</v>
      </c>
      <c r="BQ52" s="180">
        <v>10607.139408673866</v>
      </c>
      <c r="BR52" s="180">
        <v>11082.490690549355</v>
      </c>
      <c r="BS52" s="180">
        <v>11727.287545095402</v>
      </c>
      <c r="BT52" s="177" t="e">
        <f>GETPIVOTDATA("Students",'[1]Race &amp; Ethnicity'!$A$4,"SchoolYear","2032-33","RaceEthnicity","American Indian/Alaska Native","Projection","Projection","StateName","North Dakota")+GETPIVOTDATA("Students",'[1]Race &amp; Ethnicity'!$A$4,"SchoolYear","2032-33","RaceEthnicity","Asian/Pacific Islander (Combined)","Projection","Projection","StateName","North Dakota")+GETPIVOTDATA("Students",'[1]Race &amp; Ethnicity'!$A$4,"SchoolYear","2032-33","RaceEthnicity","Black","Projection","Projection","StateName","North Dakota")+GETPIVOTDATA("Students",'[1]Race &amp; Ethnicity'!$A$4,"SchoolYear","2032-33","RaceEthnicity","Hispanic (any race)","Projection","Projection","StateName","North Dakota")+GETPIVOTDATA("Students",'[1]Race &amp; Ethnicity'!$A$4,"SchoolYear","2032-33","RaceEthnicity","Two or More Races","Projection","Estimate (Two or more races graduates after SY 2029-30","StateName","North Dakota")+GETPIVOTDATA("Students",'[1]Race &amp; Ethnicity'!$A$4,"SchoolYear","2032-33","RaceEthnicity","White","Projection","Projection","StateName","North Dakota")</f>
        <v>#REF!</v>
      </c>
      <c r="BU52" s="177" t="e">
        <f>GETPIVOTDATA("Students",'[1]Race &amp; Ethnicity'!$A$4,"SchoolYear","2033-34","RaceEthnicity","American Indian/Alaska Native","Projection","Projection","StateName","North Dakota")+GETPIVOTDATA("Students",'[1]Race &amp; Ethnicity'!$A$4,"SchoolYear","2033-34","RaceEthnicity","Asian/Pacific Islander (Combined)","Projection","Projection","StateName","North Dakota")+GETPIVOTDATA("Students",'[1]Race &amp; Ethnicity'!$A$4,"SchoolYear","2033-34","RaceEthnicity","Black","Projection","Projection","StateName","North Dakota")+GETPIVOTDATA("Students",'[1]Race &amp; Ethnicity'!$A$4,"SchoolYear","2033-34","RaceEthnicity","Hispanic (any race)","Projection","Projection","StateName","North Dakota")+GETPIVOTDATA("Students",'[1]Race &amp; Ethnicity'!$A$4,"SchoolYear","2033-34","RaceEthnicity","Two or More Races","Projection","Estimate (Two or more races graduates after SY 2029-30","StateName","North Dakota")+GETPIVOTDATA("Students",'[1]Race &amp; Ethnicity'!$A$4,"SchoolYear","2033-34","RaceEthnicity","White","Projection","Projection","StateName","North Dakota")</f>
        <v>#REF!</v>
      </c>
      <c r="BV52" t="e">
        <f>GETPIVOTDATA("Students",'[1]Race &amp; Ethnicity'!$A$4,"SchoolYear","2034-35","RaceEthnicity","American Indian/Alaska Native","Projection","Projection","StateName","North Dakota")+GETPIVOTDATA("Students",'[1]Race &amp; Ethnicity'!$A$4,"SchoolYear","2034-35","RaceEthnicity","Asian/Pacific Islander (Combined)","Projection","Projection","StateName","North Dakota")+GETPIVOTDATA("Students",'[1]Race &amp; Ethnicity'!$A$4,"SchoolYear","2034-35","RaceEthnicity","Black","Projection","Projection","StateName","North Dakota")+GETPIVOTDATA("Students",'[1]Race &amp; Ethnicity'!$A$4,"SchoolYear","2034-35","RaceEthnicity","Hispanic (any race)","Projection","Projection","StateName","North Dakota")+GETPIVOTDATA("Students",'[1]Race &amp; Ethnicity'!$A$4,"SchoolYear","2034-35","RaceEthnicity","Two or More Races","Projection","Estimate (Two or more races graduates after SY 2029-30","StateName","North Dakota")+GETPIVOTDATA("Students",'[1]Race &amp; Ethnicity'!$A$4,"SchoolYear","2034-35","RaceEthnicity","White","Projection","Projection","StateName","North Dakota")</f>
        <v>#REF!</v>
      </c>
      <c r="BW52" t="e">
        <f>GETPIVOTDATA("Students",'[1]Race &amp; Ethnicity'!$A$4,"SchoolYear","2035-36","RaceEthnicity","American Indian/Alaska Native","Projection","Projection","StateName","North Dakota")+GETPIVOTDATA("Students",'[1]Race &amp; Ethnicity'!$A$4,"SchoolYear","2035-36","RaceEthnicity","Asian/Pacific Islander (Combined)","Projection","Projection","StateName","North Dakota")+GETPIVOTDATA("Students",'[1]Race &amp; Ethnicity'!$A$4,"SchoolYear","2035-36","RaceEthnicity","Black","StateName","North Dakota")+GETPIVOTDATA("Students",'[1]Race &amp; Ethnicity'!$A$4,"SchoolYear","2035-36","RaceEthnicity","Hispanic (any race)","Projection","Projection","StateName","North Dakota")+GETPIVOTDATA("Students",'[1]Race &amp; Ethnicity'!$A$4,"SchoolYear","2035-36","RaceEthnicity","Two or More Races","Projection","Estimate (Two or more races graduates after SY 2029-30","StateName","North Dakota")+GETPIVOTDATA("Students",'[1]Race &amp; Ethnicity'!$A$4,"SchoolYear","2035-36","RaceEthnicity","White","Projection","Projection","StateName","North Dakota")</f>
        <v>#REF!</v>
      </c>
    </row>
    <row r="53" spans="1:75">
      <c r="A53" s="175" t="s">
        <v>74</v>
      </c>
      <c r="B53" s="98">
        <v>89024</v>
      </c>
      <c r="C53" s="95">
        <f t="shared" si="15"/>
        <v>87852.5</v>
      </c>
      <c r="D53" s="97">
        <v>86681</v>
      </c>
      <c r="E53" s="97">
        <v>87193</v>
      </c>
      <c r="F53" s="97">
        <v>108131</v>
      </c>
      <c r="G53" s="97">
        <v>132613</v>
      </c>
      <c r="H53" s="95">
        <f t="shared" si="16"/>
        <v>134540</v>
      </c>
      <c r="I53" s="97">
        <f t="shared" si="16"/>
        <v>136467</v>
      </c>
      <c r="J53" s="97">
        <f t="shared" si="16"/>
        <v>138394</v>
      </c>
      <c r="K53" s="97">
        <f t="shared" si="16"/>
        <v>140321</v>
      </c>
      <c r="L53" s="97">
        <v>142248</v>
      </c>
      <c r="M53" s="97">
        <v>145076</v>
      </c>
      <c r="N53" s="99">
        <v>149472</v>
      </c>
      <c r="O53" s="97">
        <v>152428</v>
      </c>
      <c r="P53" s="99">
        <v>153874</v>
      </c>
      <c r="Q53" s="97">
        <v>158179</v>
      </c>
      <c r="R53" s="127">
        <v>157583</v>
      </c>
      <c r="S53" s="127">
        <v>156220</v>
      </c>
      <c r="T53" s="127">
        <v>152002</v>
      </c>
      <c r="U53" s="127">
        <v>150651</v>
      </c>
      <c r="V53" s="127">
        <v>144169</v>
      </c>
      <c r="W53" s="97">
        <v>143503</v>
      </c>
      <c r="X53" s="98">
        <v>139899</v>
      </c>
      <c r="Y53" s="98">
        <v>133524</v>
      </c>
      <c r="Z53" s="98">
        <v>127837</v>
      </c>
      <c r="AA53" s="98">
        <v>122281</v>
      </c>
      <c r="AB53" s="98">
        <v>119561</v>
      </c>
      <c r="AC53" s="97">
        <v>121121</v>
      </c>
      <c r="AD53" s="98">
        <v>124503</v>
      </c>
      <c r="AE53" s="98">
        <v>125036</v>
      </c>
      <c r="AF53" s="98">
        <v>114513</v>
      </c>
      <c r="AG53" s="98">
        <v>107484</v>
      </c>
      <c r="AH53" s="98">
        <v>104522</v>
      </c>
      <c r="AI53" s="97">
        <v>109200</v>
      </c>
      <c r="AJ53" s="97">
        <v>107700</v>
      </c>
      <c r="AK53" s="97">
        <v>109418</v>
      </c>
      <c r="AL53" s="97">
        <v>102098</v>
      </c>
      <c r="AM53" s="97">
        <v>107422</v>
      </c>
      <c r="AN53" s="97">
        <v>111211</v>
      </c>
      <c r="AO53" s="97">
        <v>111112</v>
      </c>
      <c r="AP53" s="97">
        <v>111668</v>
      </c>
      <c r="AQ53" s="97">
        <v>111281</v>
      </c>
      <c r="AR53" s="97">
        <v>110608</v>
      </c>
      <c r="AS53" s="97">
        <v>115762</v>
      </c>
      <c r="AT53" s="97">
        <v>119029</v>
      </c>
      <c r="AU53" s="97">
        <v>116702</v>
      </c>
      <c r="AV53" s="97">
        <v>117356</v>
      </c>
      <c r="AW53" s="97">
        <v>117658</v>
      </c>
      <c r="AX53" s="97">
        <v>120758</v>
      </c>
      <c r="AY53" s="97">
        <v>122203</v>
      </c>
      <c r="AZ53" s="97">
        <v>123437</v>
      </c>
      <c r="BA53" s="97">
        <v>124229</v>
      </c>
      <c r="BB53" s="97">
        <v>123135</v>
      </c>
      <c r="BC53" s="97">
        <v>122491</v>
      </c>
      <c r="BD53" s="97">
        <v>113543.30799999999</v>
      </c>
      <c r="BE53" s="97">
        <v>110664.717</v>
      </c>
      <c r="BF53" s="97">
        <v>114909.36</v>
      </c>
      <c r="BG53" s="97">
        <v>120556</v>
      </c>
      <c r="BH53" s="97">
        <v>122229</v>
      </c>
      <c r="BI53" s="97">
        <v>123414</v>
      </c>
      <c r="BJ53" s="99">
        <v>119930</v>
      </c>
      <c r="BK53" s="180">
        <v>109831.08561710309</v>
      </c>
      <c r="BL53" s="181">
        <v>110767.0680121622</v>
      </c>
      <c r="BM53" s="180">
        <v>109380.32889787939</v>
      </c>
      <c r="BN53" s="180">
        <v>106394.24073093411</v>
      </c>
      <c r="BO53" s="180">
        <v>102116.13952332911</v>
      </c>
      <c r="BP53" s="180">
        <v>101168.48264040488</v>
      </c>
      <c r="BQ53" s="180">
        <v>101655.50223831792</v>
      </c>
      <c r="BR53" s="180">
        <v>102004.55801302906</v>
      </c>
      <c r="BS53" s="180">
        <v>102381.91177240461</v>
      </c>
      <c r="BT53" s="177" t="e">
        <f>GETPIVOTDATA("Students",'[1]Race &amp; Ethnicity'!$A$4,"SchoolYear","2032-33","RaceEthnicity","American Indian/Alaska Native","Projection","Projection","StateName","Ohio")+GETPIVOTDATA("Students",'[1]Race &amp; Ethnicity'!$A$4,"SchoolYear","2032-33","RaceEthnicity","Asian/Pacific Islander (Combined)","Projection","Projection","StateName","Ohio")+GETPIVOTDATA("Students",'[1]Race &amp; Ethnicity'!$A$4,"SchoolYear","2032-33","RaceEthnicity","Black","Projection","Projection","StateName","Ohio")+GETPIVOTDATA("Students",'[1]Race &amp; Ethnicity'!$A$4,"SchoolYear","2032-33","RaceEthnicity","Hispanic (any race)","Projection","Projection","StateName","Ohio")+GETPIVOTDATA("Students",'[1]Race &amp; Ethnicity'!$A$4,"SchoolYear","2032-33","RaceEthnicity","Two or More Races","Projection","Estimate (Two or more races graduates after SY 2029-30","StateName","Ohio")+GETPIVOTDATA("Students",'[1]Race &amp; Ethnicity'!$A$4,"SchoolYear","2032-33","RaceEthnicity","White","Projection","Projection","StateName","Ohio")</f>
        <v>#REF!</v>
      </c>
      <c r="BU53" s="177" t="e">
        <f>GETPIVOTDATA("Students",'[1]Race &amp; Ethnicity'!$A$4,"SchoolYear","2033-34","RaceEthnicity","American Indian/Alaska Native","Projection","Projection","StateName","Ohio")+GETPIVOTDATA("Students",'[1]Race &amp; Ethnicity'!$A$4,"SchoolYear","2033-34","RaceEthnicity","Asian/Pacific Islander (Combined)","Projection","Projection","StateName","Ohio")+GETPIVOTDATA("Students",'[1]Race &amp; Ethnicity'!$A$4,"SchoolYear","2033-34","RaceEthnicity","Black","Projection","Projection","StateName","Ohio")+GETPIVOTDATA("Students",'[1]Race &amp; Ethnicity'!$A$4,"SchoolYear","2033-34","RaceEthnicity","Hispanic (any race)","Projection","Projection","StateName","Ohio")+GETPIVOTDATA("Students",'[1]Race &amp; Ethnicity'!$A$4,"SchoolYear","2033-34","RaceEthnicity","Two or More Races","Projection","Estimate (Two or more races graduates after SY 2029-30","StateName","Ohio")+GETPIVOTDATA("Students",'[1]Race &amp; Ethnicity'!$A$4,"SchoolYear","2033-34","RaceEthnicity","White","Projection","Projection","StateName","Ohio")</f>
        <v>#REF!</v>
      </c>
      <c r="BV53" t="e">
        <f>GETPIVOTDATA("Students",'[1]Race &amp; Ethnicity'!$A$4,"SchoolYear","2034-35","RaceEthnicity","American Indian/Alaska Native","Projection","Projection","StateName","Ohio")+GETPIVOTDATA("Students",'[1]Race &amp; Ethnicity'!$A$4,"SchoolYear","2034-35","RaceEthnicity","Asian/Pacific Islander (Combined)","Projection","Projection","StateName","Ohio")+GETPIVOTDATA("Students",'[1]Race &amp; Ethnicity'!$A$4,"SchoolYear","2034-35","RaceEthnicity","Black","Projection","Projection","StateName","Ohio")+GETPIVOTDATA("Students",'[1]Race &amp; Ethnicity'!$A$4,"SchoolYear","2034-35","RaceEthnicity","Hispanic (any race)","Projection","Projection","StateName","Ohio")+GETPIVOTDATA("Students",'[1]Race &amp; Ethnicity'!$A$4,"SchoolYear","2034-35","RaceEthnicity","Two or More Races","Projection","Estimate (Two or more races graduates after SY 2029-30","StateName","Ohio")+GETPIVOTDATA("Students",'[1]Race &amp; Ethnicity'!$A$4,"SchoolYear","2034-35","RaceEthnicity","White","Projection","Projection","StateName","Ohio")</f>
        <v>#REF!</v>
      </c>
      <c r="BW53" t="e">
        <f>GETPIVOTDATA("Students",'[1]Race &amp; Ethnicity'!$A$4,"SchoolYear","2035-36","RaceEthnicity","American Indian/Alaska Native","Projection","Projection","StateName","Ohio")+GETPIVOTDATA("Students",'[1]Race &amp; Ethnicity'!$A$4,"SchoolYear","2035-36","RaceEthnicity","Asian/Pacific Islander (Combined)","Projection","Projection","StateName","Ohio")+GETPIVOTDATA("Students",'[1]Race &amp; Ethnicity'!$A$4,"SchoolYear","2035-36","RaceEthnicity","Black","StateName","Ohio")+GETPIVOTDATA("Students",'[1]Race &amp; Ethnicity'!$A$4,"SchoolYear","2035-36","RaceEthnicity","Hispanic (any race)","Projection","Projection","StateName","Ohio")+GETPIVOTDATA("Students",'[1]Race &amp; Ethnicity'!$A$4,"SchoolYear","2035-36","RaceEthnicity","Two or More Races","Projection","Estimate (Two or more races graduates after SY 2029-30","StateName","Ohio")+GETPIVOTDATA("Students",'[1]Race &amp; Ethnicity'!$A$4,"SchoolYear","2035-36","RaceEthnicity","White","Projection","Projection","StateName","Ohio")</f>
        <v>#REF!</v>
      </c>
    </row>
    <row r="54" spans="1:75">
      <c r="A54" s="175" t="s">
        <v>75</v>
      </c>
      <c r="B54" s="98">
        <v>7582</v>
      </c>
      <c r="C54" s="95">
        <f t="shared" si="15"/>
        <v>7884</v>
      </c>
      <c r="D54" s="97">
        <v>8186</v>
      </c>
      <c r="E54" s="97">
        <v>8174</v>
      </c>
      <c r="F54" s="97">
        <v>9086</v>
      </c>
      <c r="G54" s="97">
        <v>9898</v>
      </c>
      <c r="H54" s="95">
        <f t="shared" si="16"/>
        <v>10269.799999999999</v>
      </c>
      <c r="I54" s="97">
        <f t="shared" si="16"/>
        <v>10641.599999999999</v>
      </c>
      <c r="J54" s="97">
        <f t="shared" si="16"/>
        <v>11013.399999999998</v>
      </c>
      <c r="K54" s="97">
        <f t="shared" si="16"/>
        <v>11385.199999999997</v>
      </c>
      <c r="L54" s="97">
        <v>11757</v>
      </c>
      <c r="M54" s="97">
        <v>11875</v>
      </c>
      <c r="N54" s="99">
        <v>11945</v>
      </c>
      <c r="O54" s="97">
        <v>12164</v>
      </c>
      <c r="P54" s="99">
        <v>11894</v>
      </c>
      <c r="Q54" s="97">
        <v>11725</v>
      </c>
      <c r="R54" s="127">
        <v>11340</v>
      </c>
      <c r="S54" s="127">
        <v>11293</v>
      </c>
      <c r="T54" s="127">
        <v>11349</v>
      </c>
      <c r="U54" s="127">
        <v>11092</v>
      </c>
      <c r="V54" s="127">
        <v>10689</v>
      </c>
      <c r="W54" s="97">
        <v>10385</v>
      </c>
      <c r="X54" s="98">
        <v>9864</v>
      </c>
      <c r="Y54" s="98">
        <v>9206</v>
      </c>
      <c r="Z54" s="98">
        <v>8638</v>
      </c>
      <c r="AA54" s="98">
        <v>8206</v>
      </c>
      <c r="AB54" s="98">
        <v>7870</v>
      </c>
      <c r="AC54" s="97">
        <v>8074</v>
      </c>
      <c r="AD54" s="98">
        <v>8415</v>
      </c>
      <c r="AE54" s="98">
        <v>8181</v>
      </c>
      <c r="AF54" s="98">
        <v>7650</v>
      </c>
      <c r="AG54" s="98">
        <v>7127</v>
      </c>
      <c r="AH54" s="98">
        <v>7261</v>
      </c>
      <c r="AI54" s="97">
        <v>7952</v>
      </c>
      <c r="AJ54" s="97">
        <v>8442</v>
      </c>
      <c r="AK54" s="97">
        <v>8355</v>
      </c>
      <c r="AL54" s="97">
        <v>8532</v>
      </c>
      <c r="AM54" s="97">
        <v>9247</v>
      </c>
      <c r="AN54" s="97">
        <v>9140</v>
      </c>
      <c r="AO54" s="97">
        <v>8757</v>
      </c>
      <c r="AP54" s="97">
        <v>9278</v>
      </c>
      <c r="AQ54" s="97">
        <v>8881</v>
      </c>
      <c r="AR54" s="97">
        <v>8796</v>
      </c>
      <c r="AS54" s="97">
        <v>8999</v>
      </c>
      <c r="AT54" s="97">
        <v>9001</v>
      </c>
      <c r="AU54" s="97">
        <v>8585</v>
      </c>
      <c r="AV54" s="97">
        <v>8589</v>
      </c>
      <c r="AW54" s="97">
        <v>8346</v>
      </c>
      <c r="AX54" s="97">
        <v>8582</v>
      </c>
      <c r="AY54" s="97">
        <v>8123</v>
      </c>
      <c r="AZ54" s="97">
        <v>8162</v>
      </c>
      <c r="BA54" s="97">
        <v>8248</v>
      </c>
      <c r="BB54" s="97">
        <v>8196</v>
      </c>
      <c r="BC54" s="97">
        <v>8239</v>
      </c>
      <c r="BD54" s="97">
        <v>7761.3950000000004</v>
      </c>
      <c r="BE54" s="97">
        <v>7801.0220000000008</v>
      </c>
      <c r="BF54" s="97">
        <v>7624.8320000000003</v>
      </c>
      <c r="BG54" s="97">
        <v>8368</v>
      </c>
      <c r="BH54" s="97">
        <v>8517</v>
      </c>
      <c r="BI54" s="97">
        <v>8231</v>
      </c>
      <c r="BJ54" s="99">
        <v>8350</v>
      </c>
      <c r="BK54" s="180">
        <v>8973.2338893239121</v>
      </c>
      <c r="BL54" s="181">
        <v>9247.5083425606244</v>
      </c>
      <c r="BM54" s="180">
        <v>9087.7129829757996</v>
      </c>
      <c r="BN54" s="180">
        <v>9000.2871474765434</v>
      </c>
      <c r="BO54" s="180">
        <v>8935.3903181218739</v>
      </c>
      <c r="BP54" s="180">
        <v>8940.5103206383301</v>
      </c>
      <c r="BQ54" s="180">
        <v>9118.8433104898686</v>
      </c>
      <c r="BR54" s="180">
        <v>9241.9334260351825</v>
      </c>
      <c r="BS54" s="180">
        <v>9253.4025724459516</v>
      </c>
      <c r="BT54" s="177" t="e">
        <f>GETPIVOTDATA("Students",'[1]Race &amp; Ethnicity'!$A$4,"SchoolYear","2032-33","RaceEthnicity","American Indian/Alaska Native","Projection","Projection","StateName","South Dakota")+GETPIVOTDATA("Students",'[1]Race &amp; Ethnicity'!$A$4,"SchoolYear","2032-33","RaceEthnicity","Asian/Pacific Islander (Combined)","Projection","Projection","StateName","South Dakota")+GETPIVOTDATA("Students",'[1]Race &amp; Ethnicity'!$A$4,"SchoolYear","2032-33","RaceEthnicity","Black","Projection","Projection","StateName","South Dakota")+GETPIVOTDATA("Students",'[1]Race &amp; Ethnicity'!$A$4,"SchoolYear","2032-33","RaceEthnicity","Hispanic (any race)","Projection","Projection","StateName","South Dakota")+GETPIVOTDATA("Students",'[1]Race &amp; Ethnicity'!$A$4,"SchoolYear","2032-33","RaceEthnicity","Two or More Races","Projection","Estimate (Two or more races graduates after SY 2029-30","StateName","South Dakota")+GETPIVOTDATA("Students",'[1]Race &amp; Ethnicity'!$A$4,"SchoolYear","2032-33","RaceEthnicity","White","Projection","Projection","StateName","South Dakota")</f>
        <v>#REF!</v>
      </c>
      <c r="BU54" s="177" t="e">
        <f>GETPIVOTDATA("Students",'[1]Race &amp; Ethnicity'!$A$4,"SchoolYear","2033-34","RaceEthnicity","American Indian/Alaska Native","Projection","Projection","StateName","South Dakota")+GETPIVOTDATA("Students",'[1]Race &amp; Ethnicity'!$A$4,"SchoolYear","2033-34","RaceEthnicity","Asian/Pacific Islander (Combined)","Projection","Projection","StateName","South Dakota")+GETPIVOTDATA("Students",'[1]Race &amp; Ethnicity'!$A$4,"SchoolYear","2033-34","RaceEthnicity","Black","Projection","Projection","StateName","South Dakota")+GETPIVOTDATA("Students",'[1]Race &amp; Ethnicity'!$A$4,"SchoolYear","2033-34","RaceEthnicity","Hispanic (any race)","Projection","Projection","StateName","South Dakota")+GETPIVOTDATA("Students",'[1]Race &amp; Ethnicity'!$A$4,"SchoolYear","2033-34","RaceEthnicity","Two or More Races","Projection","Estimate (Two or more races graduates after SY 2029-30","StateName","South Dakota")+GETPIVOTDATA("Students",'[1]Race &amp; Ethnicity'!$A$4,"SchoolYear","2033-34","RaceEthnicity","White","Projection","Projection","StateName","South Dakota")</f>
        <v>#REF!</v>
      </c>
      <c r="BV54" t="e">
        <f>GETPIVOTDATA("Students",'[1]Race &amp; Ethnicity'!$A$4,"SchoolYear","2034-35","RaceEthnicity","American Indian/Alaska Native","Projection","Projection","StateName","South Dakota")+GETPIVOTDATA("Students",'[1]Race &amp; Ethnicity'!$A$4,"SchoolYear","2034-35","RaceEthnicity","Asian/Pacific Islander (Combined)","Projection","Projection","StateName","South Dakota")+GETPIVOTDATA("Students",'[1]Race &amp; Ethnicity'!$A$4,"SchoolYear","2034-35","RaceEthnicity","Black","Projection","Projection","StateName","South Dakota")+GETPIVOTDATA("Students",'[1]Race &amp; Ethnicity'!$A$4,"SchoolYear","2034-35","RaceEthnicity","Hispanic (any race)","Projection","Projection","StateName","South Dakota")+GETPIVOTDATA("Students",'[1]Race &amp; Ethnicity'!$A$4,"SchoolYear","2034-35","RaceEthnicity","Two or More Races","Projection","Estimate (Two or more races graduates after SY 2029-30","StateName","South Dakota")+GETPIVOTDATA("Students",'[1]Race &amp; Ethnicity'!$A$4,"SchoolYear","2034-35","RaceEthnicity","White","Projection","Projection","StateName","South Dakota")</f>
        <v>#REF!</v>
      </c>
      <c r="BW54" t="e">
        <f>GETPIVOTDATA("Students",'[1]Race &amp; Ethnicity'!$A$4,"SchoolYear","2035-36","RaceEthnicity","American Indian/Alaska Native","Projection","Projection","StateName","South Dakota")+GETPIVOTDATA("Students",'[1]Race &amp; Ethnicity'!$A$4,"SchoolYear","2035-36","RaceEthnicity","Asian/Pacific Islander (Combined)","Projection","Projection","StateName","South Dakota")+GETPIVOTDATA("Students",'[1]Race &amp; Ethnicity'!$A$4,"SchoolYear","2035-36","RaceEthnicity","Black","StateName","South Dakota")+GETPIVOTDATA("Students",'[1]Race &amp; Ethnicity'!$A$4,"SchoolYear","2035-36","RaceEthnicity","Hispanic (any race)","Projection","Projection","StateName","South Dakota")+GETPIVOTDATA("Students",'[1]Race &amp; Ethnicity'!$A$4,"SchoolYear","2035-36","RaceEthnicity","Two or More Races","Projection","Estimate (Two or more races graduates after SY 2029-30","StateName","South Dakota")+GETPIVOTDATA("Students",'[1]Race &amp; Ethnicity'!$A$4,"SchoolYear","2035-36","RaceEthnicity","White","Projection","Projection","StateName","South Dakota")</f>
        <v>#REF!</v>
      </c>
    </row>
    <row r="55" spans="1:75">
      <c r="A55" s="176" t="s">
        <v>76</v>
      </c>
      <c r="B55" s="434">
        <v>40004</v>
      </c>
      <c r="C55" s="116">
        <f t="shared" si="15"/>
        <v>40702.5</v>
      </c>
      <c r="D55" s="435">
        <v>41401</v>
      </c>
      <c r="E55" s="435">
        <v>42559</v>
      </c>
      <c r="F55" s="435">
        <v>48304</v>
      </c>
      <c r="G55" s="435">
        <v>58829</v>
      </c>
      <c r="H55" s="116">
        <f t="shared" si="16"/>
        <v>60413.8</v>
      </c>
      <c r="I55" s="435">
        <f t="shared" si="16"/>
        <v>61998.600000000006</v>
      </c>
      <c r="J55" s="435">
        <f t="shared" si="16"/>
        <v>63583.400000000009</v>
      </c>
      <c r="K55" s="435">
        <f t="shared" si="16"/>
        <v>65168.200000000012</v>
      </c>
      <c r="L55" s="435">
        <v>66753</v>
      </c>
      <c r="M55" s="435">
        <v>67182</v>
      </c>
      <c r="N55" s="102">
        <v>69817</v>
      </c>
      <c r="O55" s="435">
        <v>70789</v>
      </c>
      <c r="P55" s="102">
        <v>69341</v>
      </c>
      <c r="Q55" s="435">
        <v>70979</v>
      </c>
      <c r="R55" s="436">
        <v>70355</v>
      </c>
      <c r="S55" s="436">
        <v>72367</v>
      </c>
      <c r="T55" s="436">
        <v>71295</v>
      </c>
      <c r="U55" s="436">
        <v>71291</v>
      </c>
      <c r="V55" s="436">
        <v>69332</v>
      </c>
      <c r="W55" s="435">
        <v>67743</v>
      </c>
      <c r="X55" s="434">
        <v>67357</v>
      </c>
      <c r="Y55" s="434">
        <v>64321</v>
      </c>
      <c r="Z55" s="434">
        <v>62189</v>
      </c>
      <c r="AA55" s="434">
        <v>58851</v>
      </c>
      <c r="AB55" s="434">
        <v>58340</v>
      </c>
      <c r="AC55" s="435">
        <v>56872</v>
      </c>
      <c r="AD55" s="434">
        <v>58428</v>
      </c>
      <c r="AE55" s="434">
        <v>54994</v>
      </c>
      <c r="AF55" s="434">
        <v>52038</v>
      </c>
      <c r="AG55" s="434">
        <v>49340</v>
      </c>
      <c r="AH55" s="434">
        <v>48563</v>
      </c>
      <c r="AI55" s="435">
        <v>50027</v>
      </c>
      <c r="AJ55" s="435">
        <v>48371</v>
      </c>
      <c r="AK55" s="435">
        <v>51735</v>
      </c>
      <c r="AL55" s="435">
        <v>52651</v>
      </c>
      <c r="AM55" s="435">
        <v>55189</v>
      </c>
      <c r="AN55" s="435">
        <v>57607</v>
      </c>
      <c r="AO55" s="435">
        <v>58312</v>
      </c>
      <c r="AP55" s="435">
        <v>58545</v>
      </c>
      <c r="AQ55" s="435">
        <v>59341</v>
      </c>
      <c r="AR55" s="435">
        <v>60575</v>
      </c>
      <c r="AS55" s="435">
        <v>63272</v>
      </c>
      <c r="AT55" s="435">
        <v>62784</v>
      </c>
      <c r="AU55" s="435">
        <v>63229</v>
      </c>
      <c r="AV55" s="435">
        <v>63003</v>
      </c>
      <c r="AW55" s="435">
        <v>63968</v>
      </c>
      <c r="AX55" s="435">
        <v>65183</v>
      </c>
      <c r="AY55" s="435">
        <v>65410</v>
      </c>
      <c r="AZ55" s="435">
        <v>64687</v>
      </c>
      <c r="BA55" s="435">
        <v>64135</v>
      </c>
      <c r="BB55" s="435">
        <v>62705</v>
      </c>
      <c r="BC55" s="435">
        <v>61425</v>
      </c>
      <c r="BD55" s="435">
        <v>58562.827999999994</v>
      </c>
      <c r="BE55" s="435">
        <v>57671.275999999998</v>
      </c>
      <c r="BF55" s="435">
        <v>55804.14</v>
      </c>
      <c r="BG55" s="435">
        <v>60373</v>
      </c>
      <c r="BH55" s="435">
        <v>61838</v>
      </c>
      <c r="BI55" s="435">
        <v>61503</v>
      </c>
      <c r="BJ55" s="101">
        <v>59640</v>
      </c>
      <c r="BK55" s="182">
        <v>61218.893187264519</v>
      </c>
      <c r="BL55" s="179">
        <v>62628.894721308163</v>
      </c>
      <c r="BM55" s="182">
        <v>62140.074348961425</v>
      </c>
      <c r="BN55" s="182">
        <v>60873.452385838515</v>
      </c>
      <c r="BO55" s="182">
        <v>58700.055113846254</v>
      </c>
      <c r="BP55" s="182">
        <v>58095.086303348886</v>
      </c>
      <c r="BQ55" s="182">
        <v>57753.331907664659</v>
      </c>
      <c r="BR55" s="182">
        <v>57200.909676056413</v>
      </c>
      <c r="BS55" s="182">
        <v>57623.72086907761</v>
      </c>
      <c r="BT55" s="177" t="e">
        <f>GETPIVOTDATA("Students",'[1]Race &amp; Ethnicity'!$A$4,"SchoolYear","2032-33","RaceEthnicity","American Indian/Alaska Native","Projection","Projection","StateName","Wisconsin")+GETPIVOTDATA("Students",'[1]Race &amp; Ethnicity'!$A$4,"SchoolYear","2032-33","RaceEthnicity","Asian/Pacific Islander (Combined)","Projection","Projection","StateName","Wisconsin")+GETPIVOTDATA("Students",'[1]Race &amp; Ethnicity'!$A$4,"SchoolYear","2032-33","RaceEthnicity","Black","Projection","Projection","StateName","Wisconsin")+GETPIVOTDATA("Students",'[1]Race &amp; Ethnicity'!$A$4,"SchoolYear","2032-33","RaceEthnicity","Hispanic (any race)","Projection","Projection","StateName","Wisconsin")+GETPIVOTDATA("Students",'[1]Race &amp; Ethnicity'!$A$4,"SchoolYear","2032-33","RaceEthnicity","Two or More Races","Projection","Estimate (Two or more races graduates after SY 2029-30","StateName","Wisconsin")+GETPIVOTDATA("Students",'[1]Race &amp; Ethnicity'!$A$4,"SchoolYear","2032-33","RaceEthnicity","White","Projection","Projection","StateName","Wisconsin")</f>
        <v>#REF!</v>
      </c>
      <c r="BU55" s="177" t="e">
        <f>GETPIVOTDATA("Students",'[1]Race &amp; Ethnicity'!$A$4,"SchoolYear","2033-34","RaceEthnicity","American Indian/Alaska Native","Projection","Projection","StateName","Wisconsin")+GETPIVOTDATA("Students",'[1]Race &amp; Ethnicity'!$A$4,"SchoolYear","2033-34","RaceEthnicity","Asian/Pacific Islander (Combined)","Projection","Projection","StateName","Wisconsin")+GETPIVOTDATA("Students",'[1]Race &amp; Ethnicity'!$A$4,"SchoolYear","2033-34","RaceEthnicity","Black","Projection","Projection","StateName","Wisconsin")+GETPIVOTDATA("Students",'[1]Race &amp; Ethnicity'!$A$4,"SchoolYear","2033-34","RaceEthnicity","Hispanic (any race)","Projection","Projection","StateName","Wisconsin")+GETPIVOTDATA("Students",'[1]Race &amp; Ethnicity'!$A$4,"SchoolYear","2033-34","RaceEthnicity","Two or More Races","Projection","Estimate (Two or more races graduates after SY 2029-30","StateName","Wisconsin")+GETPIVOTDATA("Students",'[1]Race &amp; Ethnicity'!$A$4,"SchoolYear","2033-34","RaceEthnicity","White","Projection","Projection","StateName","Wisconsin")</f>
        <v>#REF!</v>
      </c>
      <c r="BV55" t="e">
        <f>GETPIVOTDATA("Students",'[1]Race &amp; Ethnicity'!$A$4,"SchoolYear","2034-35","RaceEthnicity","American Indian/Alaska Native","Projection","Projection","StateName","Wisconsin")+GETPIVOTDATA("Students",'[1]Race &amp; Ethnicity'!$A$4,"SchoolYear","2034-35","RaceEthnicity","Asian/Pacific Islander (Combined)","Projection","Projection","StateName","Wisconsin")+GETPIVOTDATA("Students",'[1]Race &amp; Ethnicity'!$A$4,"SchoolYear","2034-35","RaceEthnicity","Black","Projection","Projection","StateName","Wisconsin")+GETPIVOTDATA("Students",'[1]Race &amp; Ethnicity'!$A$4,"SchoolYear","2034-35","RaceEthnicity","Hispanic (any race)","Projection","Projection","StateName","Wisconsin")+GETPIVOTDATA("Students",'[1]Race &amp; Ethnicity'!$A$4,"SchoolYear","2034-35","RaceEthnicity","Two or More Races","Projection","Estimate (Two or more races graduates after SY 2029-30","StateName","Wisconsin")+GETPIVOTDATA("Students",'[1]Race &amp; Ethnicity'!$A$4,"SchoolYear","2034-35","RaceEthnicity","White","Projection","Projection","StateName","Wisconsin")</f>
        <v>#REF!</v>
      </c>
      <c r="BW55" t="e">
        <f>GETPIVOTDATA("Students",'[1]Race &amp; Ethnicity'!$A$4,"SchoolYear","2035-36","RaceEthnicity","American Indian/Alaska Native","Projection","Projection","StateName","Wisconsin")+GETPIVOTDATA("Students",'[1]Race &amp; Ethnicity'!$A$4,"SchoolYear","2035-36","RaceEthnicity","Asian/Pacific Islander (Combined)","Projection","Projection","StateName","Wisconsin")+GETPIVOTDATA("Students",'[1]Race &amp; Ethnicity'!$A$4,"SchoolYear","2035-36","RaceEthnicity","Black","StateName","Wisconsin")+GETPIVOTDATA("Students",'[1]Race &amp; Ethnicity'!$A$4,"SchoolYear","2035-36","RaceEthnicity","Hispanic (any race)","Projection","Projection","StateName","Wisconsin")+GETPIVOTDATA("Students",'[1]Race &amp; Ethnicity'!$A$4,"SchoolYear","2035-36","RaceEthnicity","Two or More Races","Projection","Estimate (Two or more races graduates after SY 2029-30","StateName","Wisconsin")+GETPIVOTDATA("Students",'[1]Race &amp; Ethnicity'!$A$4,"SchoolYear","2035-36","RaceEthnicity","White","Projection","Projection","StateName","Wisconsin")</f>
        <v>#REF!</v>
      </c>
    </row>
    <row r="56" spans="1:75" ht="12.95">
      <c r="A56" s="285" t="s">
        <v>77</v>
      </c>
      <c r="B56" s="95">
        <f>SUM(B58:B66)</f>
        <v>386563</v>
      </c>
      <c r="C56" s="95">
        <f t="shared" ref="C56:AY56" si="17">SUM(C58:C66)</f>
        <v>381699.5</v>
      </c>
      <c r="D56" s="95">
        <f t="shared" si="17"/>
        <v>376836</v>
      </c>
      <c r="E56" s="95">
        <f t="shared" si="17"/>
        <v>383066</v>
      </c>
      <c r="F56" s="95">
        <f t="shared" si="17"/>
        <v>473382</v>
      </c>
      <c r="G56" s="95">
        <f t="shared" si="17"/>
        <v>532565</v>
      </c>
      <c r="H56" s="95">
        <f t="shared" si="17"/>
        <v>539030.4</v>
      </c>
      <c r="I56" s="95">
        <f t="shared" si="17"/>
        <v>545495.79999999993</v>
      </c>
      <c r="J56" s="95">
        <f t="shared" si="17"/>
        <v>551961.20000000007</v>
      </c>
      <c r="K56" s="95">
        <f t="shared" si="17"/>
        <v>558426.6</v>
      </c>
      <c r="L56" s="95">
        <f t="shared" si="17"/>
        <v>564892</v>
      </c>
      <c r="M56" s="95">
        <f t="shared" si="17"/>
        <v>570751</v>
      </c>
      <c r="N56" s="95">
        <f t="shared" si="17"/>
        <v>591023</v>
      </c>
      <c r="O56" s="95">
        <f t="shared" si="17"/>
        <v>601609</v>
      </c>
      <c r="P56" s="95">
        <f t="shared" si="17"/>
        <v>620292</v>
      </c>
      <c r="Q56" s="95">
        <f t="shared" si="17"/>
        <v>635073</v>
      </c>
      <c r="R56" s="95">
        <f t="shared" si="17"/>
        <v>641103</v>
      </c>
      <c r="S56" s="95">
        <f t="shared" si="17"/>
        <v>630114</v>
      </c>
      <c r="T56" s="95">
        <f t="shared" si="17"/>
        <v>626306</v>
      </c>
      <c r="U56" s="95">
        <f t="shared" si="17"/>
        <v>621105</v>
      </c>
      <c r="V56" s="95">
        <f t="shared" si="17"/>
        <v>601335</v>
      </c>
      <c r="W56" s="95">
        <f t="shared" si="17"/>
        <v>593727</v>
      </c>
      <c r="X56" s="95">
        <f t="shared" si="17"/>
        <v>586322</v>
      </c>
      <c r="Y56" s="95">
        <f t="shared" si="17"/>
        <v>561601</v>
      </c>
      <c r="Z56" s="95">
        <f t="shared" si="17"/>
        <v>533542</v>
      </c>
      <c r="AA56" s="95">
        <f t="shared" si="17"/>
        <v>511189</v>
      </c>
      <c r="AB56" s="95">
        <f t="shared" si="17"/>
        <v>496104</v>
      </c>
      <c r="AC56" s="95">
        <f t="shared" si="17"/>
        <v>495738</v>
      </c>
      <c r="AD56" s="95">
        <f t="shared" si="17"/>
        <v>503041</v>
      </c>
      <c r="AE56" s="95">
        <f t="shared" si="17"/>
        <v>477668</v>
      </c>
      <c r="AF56" s="95">
        <f t="shared" si="17"/>
        <v>446045</v>
      </c>
      <c r="AG56" s="95">
        <f t="shared" si="17"/>
        <v>419007</v>
      </c>
      <c r="AH56" s="95">
        <f t="shared" si="17"/>
        <v>419115</v>
      </c>
      <c r="AI56" s="95">
        <f t="shared" si="17"/>
        <v>413955</v>
      </c>
      <c r="AJ56" s="95">
        <f t="shared" si="17"/>
        <v>408755</v>
      </c>
      <c r="AK56" s="95">
        <f t="shared" si="17"/>
        <v>413417</v>
      </c>
      <c r="AL56" s="95">
        <f t="shared" si="17"/>
        <v>417843</v>
      </c>
      <c r="AM56" s="95">
        <f t="shared" si="17"/>
        <v>432280</v>
      </c>
      <c r="AN56" s="95">
        <f t="shared" si="17"/>
        <v>430450</v>
      </c>
      <c r="AO56" s="95">
        <f t="shared" si="17"/>
        <v>437156</v>
      </c>
      <c r="AP56" s="95">
        <f t="shared" si="17"/>
        <v>453814</v>
      </c>
      <c r="AQ56" s="95">
        <f t="shared" si="17"/>
        <v>457638</v>
      </c>
      <c r="AR56" s="95">
        <f t="shared" si="17"/>
        <v>461479</v>
      </c>
      <c r="AS56" s="95">
        <f t="shared" si="17"/>
        <v>477241</v>
      </c>
      <c r="AT56" s="95">
        <f t="shared" si="17"/>
        <v>485670</v>
      </c>
      <c r="AU56" s="95">
        <f t="shared" si="17"/>
        <v>503528</v>
      </c>
      <c r="AV56" s="95">
        <f t="shared" si="17"/>
        <v>521015</v>
      </c>
      <c r="AW56" s="95">
        <f t="shared" si="17"/>
        <v>536697</v>
      </c>
      <c r="AX56" s="95">
        <f t="shared" si="17"/>
        <v>552289</v>
      </c>
      <c r="AY56" s="95">
        <f t="shared" si="17"/>
        <v>552973</v>
      </c>
      <c r="AZ56" s="95">
        <f>SUM(AZ58:AZ66)</f>
        <v>556400</v>
      </c>
      <c r="BA56" s="95">
        <f>SUM(BA58:BA66)</f>
        <v>556611</v>
      </c>
      <c r="BB56" s="95">
        <f>SUM(BB58:BB66)</f>
        <v>554705</v>
      </c>
      <c r="BC56" s="95">
        <f>SUM(BC58:BC66)</f>
        <v>555202</v>
      </c>
      <c r="BD56" s="95">
        <f t="shared" ref="BD56:BJ56" si="18">SUM(BD58:BD66)</f>
        <v>525281.25900000008</v>
      </c>
      <c r="BE56" s="95">
        <f t="shared" si="18"/>
        <v>520340.98600000003</v>
      </c>
      <c r="BF56" s="95">
        <f t="shared" si="18"/>
        <v>522815.26900000003</v>
      </c>
      <c r="BG56" s="95">
        <f t="shared" si="18"/>
        <v>547812</v>
      </c>
      <c r="BH56" s="95">
        <f t="shared" si="18"/>
        <v>554318</v>
      </c>
      <c r="BI56" s="95">
        <f t="shared" si="18"/>
        <v>552579</v>
      </c>
      <c r="BJ56" s="185">
        <f t="shared" si="18"/>
        <v>546690</v>
      </c>
      <c r="BK56" s="289">
        <v>539670.98248313821</v>
      </c>
      <c r="BL56" s="289">
        <v>548100.92832216539</v>
      </c>
      <c r="BM56" s="289">
        <v>535025.77855899895</v>
      </c>
      <c r="BN56" s="289">
        <v>525733.42781507073</v>
      </c>
      <c r="BO56" s="289">
        <v>514459.99031483749</v>
      </c>
      <c r="BP56" s="289">
        <v>510609.11684384965</v>
      </c>
      <c r="BQ56" s="289">
        <v>506973.27962995548</v>
      </c>
      <c r="BR56" s="289">
        <v>500075.83375174645</v>
      </c>
      <c r="BS56" s="289">
        <v>503354.81684228522</v>
      </c>
      <c r="BT56" s="177" t="e">
        <f>SUM(BT58:BT66)</f>
        <v>#REF!</v>
      </c>
      <c r="BU56" s="177" t="e">
        <f>SUM(BU58:BU66)</f>
        <v>#REF!</v>
      </c>
      <c r="BV56" s="177" t="e">
        <f>SUM(BV58:BV66)</f>
        <v>#REF!</v>
      </c>
      <c r="BW56" s="177" t="e">
        <f>SUM(BW58:BW66)</f>
        <v>#REF!</v>
      </c>
    </row>
    <row r="57" spans="1:75">
      <c r="A57" s="113" t="s">
        <v>129</v>
      </c>
      <c r="B57" s="98"/>
      <c r="C57" s="95"/>
      <c r="D57" s="97"/>
      <c r="E57" s="97"/>
      <c r="F57" s="97"/>
      <c r="G57" s="97"/>
      <c r="H57" s="95"/>
      <c r="I57" s="97"/>
      <c r="J57" s="97"/>
      <c r="K57" s="97"/>
      <c r="L57" s="97"/>
      <c r="M57" s="97"/>
      <c r="N57" s="99"/>
      <c r="O57" s="97"/>
      <c r="P57" s="99"/>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c r="BG57" s="97"/>
      <c r="BH57" s="97"/>
      <c r="BI57" s="97"/>
      <c r="BJ57" s="99"/>
      <c r="BK57" s="181"/>
      <c r="BL57" s="181"/>
      <c r="BM57" s="181"/>
      <c r="BN57" s="181"/>
      <c r="BO57" s="181"/>
      <c r="BP57" s="181"/>
      <c r="BQ57" s="181"/>
      <c r="BR57" s="181"/>
      <c r="BS57" s="181"/>
    </row>
    <row r="58" spans="1:75">
      <c r="A58" s="175" t="s">
        <v>78</v>
      </c>
      <c r="B58" s="98">
        <v>22200</v>
      </c>
      <c r="C58" s="95">
        <f t="shared" ref="C58:C67" si="19">((D58-B58)/2)+B58</f>
        <v>22070.5</v>
      </c>
      <c r="D58" s="97">
        <v>21941</v>
      </c>
      <c r="E58" s="97">
        <v>22378</v>
      </c>
      <c r="F58" s="97">
        <v>27929</v>
      </c>
      <c r="G58" s="97">
        <v>31729</v>
      </c>
      <c r="H58" s="95">
        <f t="shared" ref="H58:K67" si="20">(($L58-$G58)/5)+G58</f>
        <v>32334.2</v>
      </c>
      <c r="I58" s="97">
        <f t="shared" si="20"/>
        <v>32939.4</v>
      </c>
      <c r="J58" s="97">
        <f t="shared" si="20"/>
        <v>33544.6</v>
      </c>
      <c r="K58" s="97">
        <f t="shared" si="20"/>
        <v>34149.799999999996</v>
      </c>
      <c r="L58" s="97">
        <v>34755</v>
      </c>
      <c r="M58" s="97">
        <v>35155</v>
      </c>
      <c r="N58" s="99">
        <v>37804</v>
      </c>
      <c r="O58" s="97">
        <v>37871</v>
      </c>
      <c r="P58" s="99">
        <v>39171</v>
      </c>
      <c r="Q58" s="97">
        <v>42792</v>
      </c>
      <c r="R58" s="127">
        <v>40612</v>
      </c>
      <c r="S58" s="127">
        <v>39485</v>
      </c>
      <c r="T58" s="127">
        <v>38860</v>
      </c>
      <c r="U58" s="127">
        <v>38369</v>
      </c>
      <c r="V58" s="127">
        <v>37683</v>
      </c>
      <c r="W58" s="97">
        <v>38369</v>
      </c>
      <c r="X58" s="98">
        <v>37706</v>
      </c>
      <c r="Y58" s="98">
        <v>36204</v>
      </c>
      <c r="Z58" s="98">
        <v>33679</v>
      </c>
      <c r="AA58" s="98">
        <v>32126</v>
      </c>
      <c r="AB58" s="98">
        <v>33571</v>
      </c>
      <c r="AC58" s="97">
        <v>31141</v>
      </c>
      <c r="AD58" s="98">
        <v>32383</v>
      </c>
      <c r="AE58" s="98">
        <v>30862</v>
      </c>
      <c r="AF58" s="98">
        <v>27878</v>
      </c>
      <c r="AG58" s="98">
        <v>27290</v>
      </c>
      <c r="AH58" s="98">
        <v>27079</v>
      </c>
      <c r="AI58" s="97">
        <v>26799</v>
      </c>
      <c r="AJ58" s="97">
        <v>26330</v>
      </c>
      <c r="AK58" s="97">
        <v>26445</v>
      </c>
      <c r="AL58" s="97">
        <v>26319</v>
      </c>
      <c r="AM58" s="97">
        <v>27029</v>
      </c>
      <c r="AN58" s="97">
        <v>27885</v>
      </c>
      <c r="AO58" s="97">
        <v>28284</v>
      </c>
      <c r="AP58" s="97">
        <v>31562</v>
      </c>
      <c r="AQ58" s="97">
        <v>30388</v>
      </c>
      <c r="AR58" s="97">
        <v>32327</v>
      </c>
      <c r="AS58" s="97">
        <v>33667</v>
      </c>
      <c r="AT58" s="97">
        <v>34573</v>
      </c>
      <c r="AU58" s="97">
        <v>35515</v>
      </c>
      <c r="AV58" s="97">
        <v>36222</v>
      </c>
      <c r="AW58" s="97">
        <v>37541</v>
      </c>
      <c r="AX58" s="97">
        <v>38419</v>
      </c>
      <c r="AY58" s="97">
        <v>34968</v>
      </c>
      <c r="AZ58" s="97">
        <v>34495</v>
      </c>
      <c r="BA58" s="97">
        <v>38854</v>
      </c>
      <c r="BB58" s="97">
        <v>38681</v>
      </c>
      <c r="BC58" s="97">
        <v>38722</v>
      </c>
      <c r="BD58" s="97">
        <v>37453.5</v>
      </c>
      <c r="BE58" s="97">
        <v>36969.311999999998</v>
      </c>
      <c r="BF58" s="97">
        <v>37213.172000000006</v>
      </c>
      <c r="BG58" s="97">
        <v>38775</v>
      </c>
      <c r="BH58" s="97">
        <v>38781</v>
      </c>
      <c r="BI58" s="97">
        <v>38318</v>
      </c>
      <c r="BJ58" s="99">
        <v>37440</v>
      </c>
      <c r="BK58" s="180">
        <v>33803.026200216707</v>
      </c>
      <c r="BL58" s="181">
        <v>34103.293855526237</v>
      </c>
      <c r="BM58" s="180">
        <v>33177.255892759509</v>
      </c>
      <c r="BN58" s="180">
        <v>31909.865901892692</v>
      </c>
      <c r="BO58" s="180">
        <v>30897.321470368275</v>
      </c>
      <c r="BP58" s="180">
        <v>30497.256301497018</v>
      </c>
      <c r="BQ58" s="180">
        <v>29931.240900381006</v>
      </c>
      <c r="BR58" s="180">
        <v>29572.424103744383</v>
      </c>
      <c r="BS58" s="180">
        <v>29730.259385658748</v>
      </c>
      <c r="BT58" s="177" t="e">
        <f>GETPIVOTDATA("Students",'[1]Race &amp; Ethnicity'!$A$4,"SchoolYear","2032-33","RaceEthnicity","American Indian/Alaska Native","Projection","Projection","StateName","Connecticut")+GETPIVOTDATA("Students",'[1]Race &amp; Ethnicity'!$A$4,"SchoolYear","2032-33","RaceEthnicity","Asian/Pacific Islander (Combined)","Projection","Projection","StateName","Connecticut")+GETPIVOTDATA("Students",'[1]Race &amp; Ethnicity'!$A$4,"SchoolYear","2032-33","RaceEthnicity","Black","Projection","Projection","StateName","Connecticut")+GETPIVOTDATA("Students",'[1]Race &amp; Ethnicity'!$A$4,"SchoolYear","2032-33","RaceEthnicity","Hispanic (any race)","Projection","Projection","StateName","Connecticut")+GETPIVOTDATA("Students",'[1]Race &amp; Ethnicity'!$A$4,"SchoolYear","2032-33","RaceEthnicity","Two or More Races","Projection","Estimate (Two or more races graduates after SY 2029-30","StateName","Connecticut")+GETPIVOTDATA("Students",'[1]Race &amp; Ethnicity'!$A$4,"SchoolYear","2032-33","RaceEthnicity","White","Projection","Projection","StateName","Connecticut")</f>
        <v>#REF!</v>
      </c>
      <c r="BU58" s="177" t="e">
        <f>GETPIVOTDATA("Students",'[1]Race &amp; Ethnicity'!$A$4,"SchoolYear","2033-34","RaceEthnicity","American Indian/Alaska Native","Projection","Projection","StateName","Connecticut")+GETPIVOTDATA("Students",'[1]Race &amp; Ethnicity'!$A$4,"SchoolYear","2033-34","RaceEthnicity","Asian/Pacific Islander (Combined)","Projection","Projection","StateName","Connecticut")+GETPIVOTDATA("Students",'[1]Race &amp; Ethnicity'!$A$4,"SchoolYear","2033-34","RaceEthnicity","Black","Projection","Projection","StateName","Connecticut")+GETPIVOTDATA("Students",'[1]Race &amp; Ethnicity'!$A$4,"SchoolYear","2033-34","RaceEthnicity","Hispanic (any race)","Projection","Projection","StateName","Connecticut")+GETPIVOTDATA("Students",'[1]Race &amp; Ethnicity'!$A$4,"SchoolYear","2033-34","RaceEthnicity","Two or More Races","Projection","Estimate (Two or more races graduates after SY 2029-30","StateName","Connecticut")+GETPIVOTDATA("Students",'[1]Race &amp; Ethnicity'!$A$4,"SchoolYear","2033-34","RaceEthnicity","White","Projection","Projection","StateName","Connecticut")</f>
        <v>#REF!</v>
      </c>
      <c r="BV58" t="e">
        <f>GETPIVOTDATA("Students",'[1]Race &amp; Ethnicity'!$A$4,"SchoolYear","2034-35","RaceEthnicity","American Indian/Alaska Native","Projection","Projection","StateName","Connecticut")+GETPIVOTDATA("Students",'[1]Race &amp; Ethnicity'!$A$4,"SchoolYear","2034-35","RaceEthnicity","Asian/Pacific Islander (Combined)","Projection","Projection","StateName","Connecticut")+GETPIVOTDATA("Students",'[1]Race &amp; Ethnicity'!$A$4,"SchoolYear","2034-35","RaceEthnicity","Black","Projection","Projection","StateName","Connecticut")+GETPIVOTDATA("Students",'[1]Race &amp; Ethnicity'!$A$4,"SchoolYear","2034-35","RaceEthnicity","Hispanic (any race)","Projection","Projection","StateName","Connecticut")+GETPIVOTDATA("Students",'[1]Race &amp; Ethnicity'!$A$4,"SchoolYear","2034-35","RaceEthnicity","Two or More Races","Projection","Estimate (Two or more races graduates after SY 2029-30","StateName","Connecticut")+GETPIVOTDATA("Students",'[1]Race &amp; Ethnicity'!$A$4,"SchoolYear","2034-35","RaceEthnicity","White","Projection","Projection","StateName","Connecticut")</f>
        <v>#REF!</v>
      </c>
      <c r="BW58" t="e">
        <f>GETPIVOTDATA("Students",'[1]Race &amp; Ethnicity'!$A$4,"SchoolYear","2035-36","RaceEthnicity","American Indian/Alaska Native","Projection","Projection","StateName","Connecticut")+GETPIVOTDATA("Students",'[1]Race &amp; Ethnicity'!$A$4,"SchoolYear","2035-36","RaceEthnicity","Asian/Pacific Islander (Combined)","Projection","Projection","StateName","Connecticut")+GETPIVOTDATA("Students",'[1]Race &amp; Ethnicity'!$A$4,"SchoolYear","2035-36","RaceEthnicity","Black","StateName","Connecticut")+GETPIVOTDATA("Students",'[1]Race &amp; Ethnicity'!$A$4,"SchoolYear","2035-36","RaceEthnicity","Hispanic (any race)","Projection","Projection","StateName","Connecticut")+GETPIVOTDATA("Students",'[1]Race &amp; Ethnicity'!$A$4,"SchoolYear","2035-36","RaceEthnicity","Two or More Races","Projection","Estimate (Two or more races graduates after SY 2029-30","StateName","Connecticut")+GETPIVOTDATA("Students",'[1]Race &amp; Ethnicity'!$A$4,"SchoolYear","2035-36","RaceEthnicity","White","Projection","Projection","StateName","Connecticut")</f>
        <v>#REF!</v>
      </c>
    </row>
    <row r="59" spans="1:75">
      <c r="A59" s="175" t="s">
        <v>79</v>
      </c>
      <c r="B59" s="98">
        <v>8304</v>
      </c>
      <c r="C59" s="95">
        <f t="shared" si="19"/>
        <v>8479.5</v>
      </c>
      <c r="D59" s="97">
        <v>8655</v>
      </c>
      <c r="E59" s="97">
        <v>8513</v>
      </c>
      <c r="F59" s="97">
        <v>9779</v>
      </c>
      <c r="G59" s="97">
        <v>12661</v>
      </c>
      <c r="H59" s="95">
        <f t="shared" si="20"/>
        <v>12929.4</v>
      </c>
      <c r="I59" s="97">
        <f t="shared" si="20"/>
        <v>13197.8</v>
      </c>
      <c r="J59" s="97">
        <f t="shared" si="20"/>
        <v>13466.199999999999</v>
      </c>
      <c r="K59" s="97">
        <f t="shared" si="20"/>
        <v>13734.599999999999</v>
      </c>
      <c r="L59" s="97">
        <v>14003</v>
      </c>
      <c r="M59" s="97">
        <v>13857</v>
      </c>
      <c r="N59" s="99">
        <v>14356</v>
      </c>
      <c r="O59" s="97">
        <v>14377</v>
      </c>
      <c r="P59" s="99">
        <v>14491</v>
      </c>
      <c r="Q59" s="97">
        <v>14830</v>
      </c>
      <c r="R59" s="127">
        <v>15200</v>
      </c>
      <c r="S59" s="127">
        <v>15205</v>
      </c>
      <c r="T59" s="127">
        <v>15364</v>
      </c>
      <c r="U59" s="127">
        <v>15402</v>
      </c>
      <c r="V59" s="127">
        <v>15445</v>
      </c>
      <c r="W59" s="97">
        <v>15554</v>
      </c>
      <c r="X59" s="98">
        <v>14764</v>
      </c>
      <c r="Y59" s="98">
        <v>14600</v>
      </c>
      <c r="Z59" s="98">
        <v>13935</v>
      </c>
      <c r="AA59" s="98">
        <v>13924</v>
      </c>
      <c r="AB59" s="98">
        <v>13006</v>
      </c>
      <c r="AC59" s="97">
        <v>13692</v>
      </c>
      <c r="AD59" s="98">
        <v>13808</v>
      </c>
      <c r="AE59" s="98">
        <v>13857</v>
      </c>
      <c r="AF59" s="98">
        <v>13839</v>
      </c>
      <c r="AG59" s="98">
        <v>13151</v>
      </c>
      <c r="AH59" s="98">
        <v>13177</v>
      </c>
      <c r="AI59" s="97">
        <v>12103</v>
      </c>
      <c r="AJ59" s="97">
        <v>11384</v>
      </c>
      <c r="AK59" s="97">
        <v>11501</v>
      </c>
      <c r="AL59" s="97">
        <v>11795</v>
      </c>
      <c r="AM59" s="97">
        <v>12019</v>
      </c>
      <c r="AN59" s="97">
        <v>12171</v>
      </c>
      <c r="AO59" s="97">
        <v>11988</v>
      </c>
      <c r="AP59" s="97">
        <v>12211</v>
      </c>
      <c r="AQ59" s="97">
        <v>12654</v>
      </c>
      <c r="AR59" s="97">
        <v>12593</v>
      </c>
      <c r="AS59" s="97">
        <v>12947</v>
      </c>
      <c r="AT59" s="97">
        <v>13278</v>
      </c>
      <c r="AU59" s="97">
        <v>13077</v>
      </c>
      <c r="AV59" s="97">
        <v>12950</v>
      </c>
      <c r="AW59" s="97">
        <v>13151</v>
      </c>
      <c r="AX59" s="97">
        <v>14350</v>
      </c>
      <c r="AY59" s="97">
        <v>14093</v>
      </c>
      <c r="AZ59" s="97">
        <v>14069</v>
      </c>
      <c r="BA59" s="97">
        <v>13653</v>
      </c>
      <c r="BB59" s="97">
        <v>13473</v>
      </c>
      <c r="BC59" s="97">
        <v>13170</v>
      </c>
      <c r="BD59" s="97">
        <v>12363.445</v>
      </c>
      <c r="BE59" s="97">
        <v>12358.5</v>
      </c>
      <c r="BF59" s="97">
        <v>12396.63</v>
      </c>
      <c r="BG59" s="97">
        <v>11639</v>
      </c>
      <c r="BH59" s="97">
        <v>12511</v>
      </c>
      <c r="BI59" s="97">
        <v>11679</v>
      </c>
      <c r="BJ59" s="99">
        <v>11850</v>
      </c>
      <c r="BK59" s="180">
        <v>11715.904444639238</v>
      </c>
      <c r="BL59" s="181">
        <v>11819.033813933622</v>
      </c>
      <c r="BM59" s="180">
        <v>11457.740513441639</v>
      </c>
      <c r="BN59" s="180">
        <v>11337.309816929919</v>
      </c>
      <c r="BO59" s="180">
        <v>10882.725755763851</v>
      </c>
      <c r="BP59" s="180">
        <v>10644.857795906084</v>
      </c>
      <c r="BQ59" s="180">
        <v>10699.644876513121</v>
      </c>
      <c r="BR59" s="180">
        <v>10705.787242960112</v>
      </c>
      <c r="BS59" s="180">
        <v>10655.704582043541</v>
      </c>
      <c r="BT59" s="177" t="e">
        <f>GETPIVOTDATA("Students",'[1]Race &amp; Ethnicity'!$A$4,"SchoolYear","2032-33","RaceEthnicity","American Indian/Alaska Native","Projection","Projection","StateName","Maine")+GETPIVOTDATA("Students",'[1]Race &amp; Ethnicity'!$A$4,"SchoolYear","2032-33","RaceEthnicity","Asian/Pacific Islander (Combined)","Projection","Projection","StateName","Maine")+GETPIVOTDATA("Students",'[1]Race &amp; Ethnicity'!$A$4,"SchoolYear","2032-33","RaceEthnicity","Black","Projection","Projection","StateName","Maine")+GETPIVOTDATA("Students",'[1]Race &amp; Ethnicity'!$A$4,"SchoolYear","2032-33","RaceEthnicity","Hispanic (any race)","Projection","Projection","StateName","Maine")+GETPIVOTDATA("Students",'[1]Race &amp; Ethnicity'!$A$4,"SchoolYear","2032-33","RaceEthnicity","Two or More Races","Projection","Estimate (Two or more races graduates after SY 2029-30","StateName","Maine")+GETPIVOTDATA("Students",'[1]Race &amp; Ethnicity'!$A$4,"SchoolYear","2032-33","RaceEthnicity","White","Projection","Projection","StateName","Maine")</f>
        <v>#REF!</v>
      </c>
      <c r="BU59" s="177" t="e">
        <f>GETPIVOTDATA("Students",'[1]Race &amp; Ethnicity'!$A$4,"SchoolYear","2033-34","RaceEthnicity","American Indian/Alaska Native","Projection","Projection","StateName","Maine")+GETPIVOTDATA("Students",'[1]Race &amp; Ethnicity'!$A$4,"SchoolYear","2033-34","RaceEthnicity","Asian/Pacific Islander (Combined)","Projection","Projection","StateName","Maine")+GETPIVOTDATA("Students",'[1]Race &amp; Ethnicity'!$A$4,"SchoolYear","2033-34","RaceEthnicity","Black","Projection","Projection","StateName","Maine")+GETPIVOTDATA("Students",'[1]Race &amp; Ethnicity'!$A$4,"SchoolYear","2033-34","RaceEthnicity","Hispanic (any race)","Projection","Projection","StateName","Maine")+GETPIVOTDATA("Students",'[1]Race &amp; Ethnicity'!$A$4,"SchoolYear","2033-34","RaceEthnicity","Two or More Races","Projection","Estimate (Two or more races graduates after SY 2029-30","StateName","Maine")+GETPIVOTDATA("Students",'[1]Race &amp; Ethnicity'!$A$4,"SchoolYear","2033-34","RaceEthnicity","White","Projection","Projection","StateName","Maine")</f>
        <v>#REF!</v>
      </c>
      <c r="BV59" t="e">
        <f>GETPIVOTDATA("Students",'[1]Race &amp; Ethnicity'!$A$4,"SchoolYear","2034-35","RaceEthnicity","American Indian/Alaska Native","Projection","Projection","StateName","Maine")+GETPIVOTDATA("Students",'[1]Race &amp; Ethnicity'!$A$4,"SchoolYear","2034-35","RaceEthnicity","Asian/Pacific Islander (Combined)","Projection","Projection","StateName","Maine")+GETPIVOTDATA("Students",'[1]Race &amp; Ethnicity'!$A$4,"SchoolYear","2034-35","RaceEthnicity","Black","Projection","Projection","StateName","Maine")+GETPIVOTDATA("Students",'[1]Race &amp; Ethnicity'!$A$4,"SchoolYear","2034-35","RaceEthnicity","Hispanic (any race)","Projection","Projection","StateName","Maine")+GETPIVOTDATA("Students",'[1]Race &amp; Ethnicity'!$A$4,"SchoolYear","2034-35","RaceEthnicity","Two or More Races","Projection","Estimate (Two or more races graduates after SY 2029-30","StateName","Maine")+GETPIVOTDATA("Students",'[1]Race &amp; Ethnicity'!$A$4,"SchoolYear","2034-35","RaceEthnicity","White","Projection","Projection","StateName","Maine")</f>
        <v>#REF!</v>
      </c>
      <c r="BW59" t="e">
        <f>GETPIVOTDATA("Students",'[1]Race &amp; Ethnicity'!$A$4,"SchoolYear","2035-36","RaceEthnicity","American Indian/Alaska Native","Projection","Projection","StateName","Maine")+GETPIVOTDATA("Students",'[1]Race &amp; Ethnicity'!$A$4,"SchoolYear","2035-36","RaceEthnicity","Asian/Pacific Islander (Combined)","Projection","Projection","StateName","Maine")+GETPIVOTDATA("Students",'[1]Race &amp; Ethnicity'!$A$4,"SchoolYear","2035-36","RaceEthnicity","Black","StateName","Maine")+GETPIVOTDATA("Students",'[1]Race &amp; Ethnicity'!$A$4,"SchoolYear","2035-36","RaceEthnicity","Hispanic (any race)","Projection","Projection","StateName","Maine")+GETPIVOTDATA("Students",'[1]Race &amp; Ethnicity'!$A$4,"SchoolYear","2035-36","RaceEthnicity","Two or More Races","Projection","Estimate (Two or more races graduates after SY 2029-30","StateName","Maine")+GETPIVOTDATA("Students",'[1]Race &amp; Ethnicity'!$A$4,"SchoolYear","2035-36","RaceEthnicity","White","Projection","Projection","StateName","Maine")</f>
        <v>#REF!</v>
      </c>
    </row>
    <row r="60" spans="1:75">
      <c r="A60" s="175" t="s">
        <v>80</v>
      </c>
      <c r="B60" s="98">
        <v>47599</v>
      </c>
      <c r="C60" s="95">
        <f t="shared" si="19"/>
        <v>46712.5</v>
      </c>
      <c r="D60" s="97">
        <v>45826</v>
      </c>
      <c r="E60" s="97">
        <v>43909</v>
      </c>
      <c r="F60" s="97">
        <v>53606</v>
      </c>
      <c r="G60" s="97">
        <v>63364</v>
      </c>
      <c r="H60" s="95">
        <f t="shared" si="20"/>
        <v>63464.2</v>
      </c>
      <c r="I60" s="97">
        <f t="shared" si="20"/>
        <v>63564.399999999994</v>
      </c>
      <c r="J60" s="97">
        <f t="shared" si="20"/>
        <v>63664.599999999991</v>
      </c>
      <c r="K60" s="97">
        <f t="shared" si="20"/>
        <v>63764.799999999988</v>
      </c>
      <c r="L60" s="97">
        <v>63865</v>
      </c>
      <c r="M60" s="97">
        <v>62153</v>
      </c>
      <c r="N60" s="99">
        <v>67487</v>
      </c>
      <c r="O60" s="97">
        <v>72696</v>
      </c>
      <c r="P60" s="99">
        <v>78000</v>
      </c>
      <c r="Q60" s="97">
        <v>79000</v>
      </c>
      <c r="R60" s="127">
        <v>81207</v>
      </c>
      <c r="S60" s="127">
        <v>75386</v>
      </c>
      <c r="T60" s="127">
        <v>78348</v>
      </c>
      <c r="U60" s="127">
        <v>76097</v>
      </c>
      <c r="V60" s="127">
        <v>73802</v>
      </c>
      <c r="W60" s="97">
        <v>74831</v>
      </c>
      <c r="X60" s="98">
        <v>73414</v>
      </c>
      <c r="Y60" s="98">
        <v>71219</v>
      </c>
      <c r="Z60" s="98">
        <v>65885</v>
      </c>
      <c r="AA60" s="98">
        <v>63411</v>
      </c>
      <c r="AB60" s="98">
        <v>60360</v>
      </c>
      <c r="AC60" s="97">
        <v>61010</v>
      </c>
      <c r="AD60" s="98">
        <v>59515</v>
      </c>
      <c r="AE60" s="98">
        <v>57328</v>
      </c>
      <c r="AF60" s="98">
        <v>55941</v>
      </c>
      <c r="AG60" s="98">
        <v>50216</v>
      </c>
      <c r="AH60" s="98">
        <v>50317</v>
      </c>
      <c r="AI60" s="97">
        <v>48321</v>
      </c>
      <c r="AJ60" s="97">
        <v>47453</v>
      </c>
      <c r="AK60" s="97">
        <v>47679</v>
      </c>
      <c r="AL60" s="97">
        <v>47993</v>
      </c>
      <c r="AM60" s="97">
        <v>49008</v>
      </c>
      <c r="AN60" s="97">
        <v>50452</v>
      </c>
      <c r="AO60" s="97">
        <v>51465</v>
      </c>
      <c r="AP60" s="97">
        <v>52950</v>
      </c>
      <c r="AQ60" s="97">
        <v>54393</v>
      </c>
      <c r="AR60" s="97">
        <v>55272</v>
      </c>
      <c r="AS60" s="97">
        <v>55987</v>
      </c>
      <c r="AT60" s="97">
        <v>58326</v>
      </c>
      <c r="AU60" s="97">
        <v>59665</v>
      </c>
      <c r="AV60" s="97">
        <v>61272</v>
      </c>
      <c r="AW60" s="97">
        <v>63903</v>
      </c>
      <c r="AX60" s="97">
        <v>65197</v>
      </c>
      <c r="AY60" s="97">
        <v>65258</v>
      </c>
      <c r="AZ60" s="97">
        <v>64462</v>
      </c>
      <c r="BA60" s="97">
        <v>64724</v>
      </c>
      <c r="BB60" s="97">
        <v>65157</v>
      </c>
      <c r="BC60" s="97">
        <v>66360</v>
      </c>
      <c r="BD60" s="97">
        <v>62997.648000000001</v>
      </c>
      <c r="BE60" s="97">
        <v>63269.802000000003</v>
      </c>
      <c r="BF60" s="97">
        <v>64789.375</v>
      </c>
      <c r="BG60" s="97">
        <v>67052</v>
      </c>
      <c r="BH60" s="97">
        <v>67061</v>
      </c>
      <c r="BI60" s="97">
        <v>67914</v>
      </c>
      <c r="BJ60" s="99">
        <v>67240</v>
      </c>
      <c r="BK60" s="180">
        <v>64609.636641717669</v>
      </c>
      <c r="BL60" s="181">
        <v>65731.458393113469</v>
      </c>
      <c r="BM60" s="180">
        <v>64056.360198874325</v>
      </c>
      <c r="BN60" s="180">
        <v>62434.53720960614</v>
      </c>
      <c r="BO60" s="180">
        <v>60736.935573044604</v>
      </c>
      <c r="BP60" s="180">
        <v>61038.1133975556</v>
      </c>
      <c r="BQ60" s="180">
        <v>60470.741328512246</v>
      </c>
      <c r="BR60" s="180">
        <v>59847.776330210865</v>
      </c>
      <c r="BS60" s="180">
        <v>59949.593571858371</v>
      </c>
      <c r="BT60" s="177" t="e">
        <f>GETPIVOTDATA("Students",'[1]Race &amp; Ethnicity'!$A$4,"SchoolYear","2032-33","RaceEthnicity","American Indian/Alaska Native","Projection","Projection","StateName","Massachusetts")+GETPIVOTDATA("Students",'[1]Race &amp; Ethnicity'!$A$4,"SchoolYear","2032-33","RaceEthnicity","Asian/Pacific Islander (Combined)","Projection","Projection","StateName","Massachusetts")+GETPIVOTDATA("Students",'[1]Race &amp; Ethnicity'!$A$4,"SchoolYear","2032-33","RaceEthnicity","Black","Projection","Projection","StateName","Massachusetts")+GETPIVOTDATA("Students",'[1]Race &amp; Ethnicity'!$A$4,"SchoolYear","2032-33","RaceEthnicity","Hispanic (any race)","Projection","Projection","StateName","Massachusetts")+GETPIVOTDATA("Students",'[1]Race &amp; Ethnicity'!$A$4,"SchoolYear","2032-33","RaceEthnicity","Two or More Races","Projection","Estimate (Two or more races graduates after SY 2029-30","StateName","Massachusetts")+GETPIVOTDATA("Students",'[1]Race &amp; Ethnicity'!$A$4,"SchoolYear","2032-33","RaceEthnicity","White","Projection","Projection","StateName","Massachusetts")</f>
        <v>#REF!</v>
      </c>
      <c r="BU60" s="177" t="e">
        <f>GETPIVOTDATA("Students",'[1]Race &amp; Ethnicity'!$A$4,"SchoolYear","2033-34","RaceEthnicity","American Indian/Alaska Native","Projection","Projection","StateName","Massachusetts")+GETPIVOTDATA("Students",'[1]Race &amp; Ethnicity'!$A$4,"SchoolYear","2033-34","RaceEthnicity","Asian/Pacific Islander (Combined)","Projection","Projection","StateName","Massachusetts")+GETPIVOTDATA("Students",'[1]Race &amp; Ethnicity'!$A$4,"SchoolYear","2033-34","RaceEthnicity","Black","Projection","Projection","StateName","Massachusetts")+GETPIVOTDATA("Students",'[1]Race &amp; Ethnicity'!$A$4,"SchoolYear","2033-34","RaceEthnicity","Hispanic (any race)","Projection","Projection","StateName","Massachusetts")+GETPIVOTDATA("Students",'[1]Race &amp; Ethnicity'!$A$4,"SchoolYear","2033-34","RaceEthnicity","Two or More Races","Projection","Estimate (Two or more races graduates after SY 2029-30","StateName","Massachusetts")+GETPIVOTDATA("Students",'[1]Race &amp; Ethnicity'!$A$4,"SchoolYear","2033-34","RaceEthnicity","White","Projection","Projection","StateName","Massachusetts")</f>
        <v>#REF!</v>
      </c>
      <c r="BV60" t="e">
        <f>GETPIVOTDATA("Students",'[1]Race &amp; Ethnicity'!$A$4,"SchoolYear","2034-35","RaceEthnicity","American Indian/Alaska Native","Projection","Projection","StateName","Massachusetts")+GETPIVOTDATA("Students",'[1]Race &amp; Ethnicity'!$A$4,"SchoolYear","2034-35","RaceEthnicity","Asian/Pacific Islander (Combined)","Projection","Projection","StateName","Massachusetts")+GETPIVOTDATA("Students",'[1]Race &amp; Ethnicity'!$A$4,"SchoolYear","2034-35","RaceEthnicity","Black","Projection","Projection","StateName","Massachusetts")+GETPIVOTDATA("Students",'[1]Race &amp; Ethnicity'!$A$4,"SchoolYear","2034-35","RaceEthnicity","Hispanic (any race)","Projection","Projection","StateName","Massachusetts")+GETPIVOTDATA("Students",'[1]Race &amp; Ethnicity'!$A$4,"SchoolYear","2034-35","RaceEthnicity","Two or More Races","Projection","Estimate (Two or more races graduates after SY 2029-30","StateName","Massachusetts")+GETPIVOTDATA("Students",'[1]Race &amp; Ethnicity'!$A$4,"SchoolYear","2034-35","RaceEthnicity","White","Projection","Projection","StateName","Massachusetts")</f>
        <v>#REF!</v>
      </c>
      <c r="BW60" t="e">
        <f>GETPIVOTDATA("Students",'[1]Race &amp; Ethnicity'!$A$4,"SchoolYear","2035-36","RaceEthnicity","American Indian/Alaska Native","Projection","Projection","StateName","Massachusetts")+GETPIVOTDATA("Students",'[1]Race &amp; Ethnicity'!$A$4,"SchoolYear","2035-36","RaceEthnicity","Asian/Pacific Islander (Combined)","Projection","Projection","StateName","Massachusetts")+GETPIVOTDATA("Students",'[1]Race &amp; Ethnicity'!$A$4,"SchoolYear","2035-36","RaceEthnicity","Black","StateName","Massachusetts")+GETPIVOTDATA("Students",'[1]Race &amp; Ethnicity'!$A$4,"SchoolYear","2035-36","RaceEthnicity","Hispanic (any race)","Projection","Projection","StateName","Massachusetts")+GETPIVOTDATA("Students",'[1]Race &amp; Ethnicity'!$A$4,"SchoolYear","2035-36","RaceEthnicity","Two or More Races","Projection","Estimate (Two or more races graduates after SY 2029-30","StateName","Massachusetts")+GETPIVOTDATA("Students",'[1]Race &amp; Ethnicity'!$A$4,"SchoolYear","2035-36","RaceEthnicity","White","Projection","Projection","StateName","Massachusetts")</f>
        <v>#REF!</v>
      </c>
    </row>
    <row r="61" spans="1:75">
      <c r="A61" s="175" t="s">
        <v>81</v>
      </c>
      <c r="B61" s="98">
        <v>4947</v>
      </c>
      <c r="C61" s="95">
        <f t="shared" si="19"/>
        <v>4921.5</v>
      </c>
      <c r="D61" s="97">
        <v>4896</v>
      </c>
      <c r="E61" s="97">
        <v>4840</v>
      </c>
      <c r="F61" s="97">
        <v>6181</v>
      </c>
      <c r="G61" s="97">
        <v>7775</v>
      </c>
      <c r="H61" s="95">
        <f t="shared" si="20"/>
        <v>7923.2</v>
      </c>
      <c r="I61" s="97">
        <f t="shared" si="20"/>
        <v>8071.4</v>
      </c>
      <c r="J61" s="97">
        <f t="shared" si="20"/>
        <v>8219.6</v>
      </c>
      <c r="K61" s="97">
        <f t="shared" si="20"/>
        <v>8367.8000000000011</v>
      </c>
      <c r="L61" s="97">
        <v>8516</v>
      </c>
      <c r="M61" s="97">
        <v>9119</v>
      </c>
      <c r="N61" s="99">
        <v>9290</v>
      </c>
      <c r="O61" s="97">
        <v>9849</v>
      </c>
      <c r="P61" s="99">
        <v>9932</v>
      </c>
      <c r="Q61" s="97">
        <v>11050</v>
      </c>
      <c r="R61" s="127">
        <v>10663</v>
      </c>
      <c r="S61" s="127">
        <v>11477</v>
      </c>
      <c r="T61" s="127">
        <v>11360</v>
      </c>
      <c r="U61" s="127">
        <v>11853</v>
      </c>
      <c r="V61" s="127">
        <v>11722</v>
      </c>
      <c r="W61" s="97">
        <v>11552</v>
      </c>
      <c r="X61" s="98">
        <v>11669</v>
      </c>
      <c r="Y61" s="98">
        <v>11470</v>
      </c>
      <c r="Z61" s="98">
        <v>11478</v>
      </c>
      <c r="AA61" s="98">
        <v>11052</v>
      </c>
      <c r="AB61" s="98">
        <v>10648</v>
      </c>
      <c r="AC61" s="97">
        <v>10796</v>
      </c>
      <c r="AD61" s="98">
        <v>11685</v>
      </c>
      <c r="AE61" s="98">
        <v>11340</v>
      </c>
      <c r="AF61" s="98">
        <v>10766</v>
      </c>
      <c r="AG61" s="98">
        <v>10059</v>
      </c>
      <c r="AH61" s="98">
        <v>10329</v>
      </c>
      <c r="AI61" s="97">
        <v>10065</v>
      </c>
      <c r="AJ61" s="97">
        <v>9933</v>
      </c>
      <c r="AK61" s="97">
        <v>10145</v>
      </c>
      <c r="AL61" s="97">
        <v>10094</v>
      </c>
      <c r="AM61" s="97">
        <v>10487</v>
      </c>
      <c r="AN61" s="97">
        <v>10843</v>
      </c>
      <c r="AO61" s="97">
        <v>11251</v>
      </c>
      <c r="AP61" s="97">
        <v>11829</v>
      </c>
      <c r="AQ61" s="97">
        <v>12294</v>
      </c>
      <c r="AR61" s="97">
        <v>12452</v>
      </c>
      <c r="AS61" s="97">
        <v>13210</v>
      </c>
      <c r="AT61" s="97">
        <v>13309</v>
      </c>
      <c r="AU61" s="97">
        <v>13775</v>
      </c>
      <c r="AV61" s="97">
        <v>13988</v>
      </c>
      <c r="AW61" s="97">
        <v>14452</v>
      </c>
      <c r="AX61" s="97">
        <v>14982</v>
      </c>
      <c r="AY61" s="97">
        <v>14757</v>
      </c>
      <c r="AZ61" s="97">
        <v>15034</v>
      </c>
      <c r="BA61" s="97">
        <v>14495</v>
      </c>
      <c r="BB61" s="97">
        <v>14426</v>
      </c>
      <c r="BC61" s="97">
        <v>14262</v>
      </c>
      <c r="BD61" s="97">
        <v>13385.032999999998</v>
      </c>
      <c r="BE61" s="97">
        <v>13017.655999999999</v>
      </c>
      <c r="BF61" s="97">
        <v>12943.35</v>
      </c>
      <c r="BG61" s="97">
        <v>13037</v>
      </c>
      <c r="BH61" s="97">
        <v>12962</v>
      </c>
      <c r="BI61" s="97">
        <v>12785</v>
      </c>
      <c r="BJ61" s="99">
        <v>13040</v>
      </c>
      <c r="BK61" s="180">
        <v>12068.117876345505</v>
      </c>
      <c r="BL61" s="181">
        <v>11896.055290849818</v>
      </c>
      <c r="BM61" s="180">
        <v>11558.655567987085</v>
      </c>
      <c r="BN61" s="180">
        <v>11284.484396595366</v>
      </c>
      <c r="BO61" s="180">
        <v>10839.831686208307</v>
      </c>
      <c r="BP61" s="180">
        <v>10819.187130176388</v>
      </c>
      <c r="BQ61" s="180">
        <v>10403.488712825845</v>
      </c>
      <c r="BR61" s="180">
        <v>10446.508146755665</v>
      </c>
      <c r="BS61" s="180">
        <v>10365.050381670699</v>
      </c>
      <c r="BT61" s="177" t="e">
        <f>GETPIVOTDATA("Students",'[1]Race &amp; Ethnicity'!$A$4,"SchoolYear","2032-33","RaceEthnicity","American Indian/Alaska Native","Projection","Projection","StateName","New Hampshire")+GETPIVOTDATA("Students",'[1]Race &amp; Ethnicity'!$A$4,"SchoolYear","2032-33","RaceEthnicity","Asian/Pacific Islander (Combined)","Projection","Projection","StateName","New Hampshire")+GETPIVOTDATA("Students",'[1]Race &amp; Ethnicity'!$A$4,"SchoolYear","2032-33","RaceEthnicity","Black","Projection","Projection","StateName","New Hampshire")+GETPIVOTDATA("Students",'[1]Race &amp; Ethnicity'!$A$4,"SchoolYear","2032-33","RaceEthnicity","Hispanic (any race)","Projection","Projection","StateName","New Hampshire")+GETPIVOTDATA("Students",'[1]Race &amp; Ethnicity'!$A$4,"SchoolYear","2032-33","RaceEthnicity","Two or More Races","Projection","Estimate (Two or more races graduates after SY 2029-30","StateName","New Hampshire")+GETPIVOTDATA("Students",'[1]Race &amp; Ethnicity'!$A$4,"SchoolYear","2032-33","RaceEthnicity","White","Projection","Projection","StateName","New Hampshire")</f>
        <v>#REF!</v>
      </c>
      <c r="BU61" s="177" t="e">
        <f>GETPIVOTDATA("Students",'[1]Race &amp; Ethnicity'!$A$4,"SchoolYear","2033-34","RaceEthnicity","American Indian/Alaska Native","Projection","Projection","StateName","New Hampshire")+GETPIVOTDATA("Students",'[1]Race &amp; Ethnicity'!$A$4,"SchoolYear","2033-34","RaceEthnicity","Asian/Pacific Islander (Combined)","Projection","Projection","StateName","New Hampshire")+GETPIVOTDATA("Students",'[1]Race &amp; Ethnicity'!$A$4,"SchoolYear","2033-34","RaceEthnicity","Black","Projection","Projection","StateName","New Hampshire")+GETPIVOTDATA("Students",'[1]Race &amp; Ethnicity'!$A$4,"SchoolYear","2033-34","RaceEthnicity","Hispanic (any race)","Projection","Projection","StateName","New Hampshire")+GETPIVOTDATA("Students",'[1]Race &amp; Ethnicity'!$A$4,"SchoolYear","2033-34","RaceEthnicity","Two or More Races","Projection","Estimate (Two or more races graduates after SY 2029-30","StateName","New Hampshire")+GETPIVOTDATA("Students",'[1]Race &amp; Ethnicity'!$A$4,"SchoolYear","2033-34","RaceEthnicity","White","Projection","Projection","StateName","New Hampshire")</f>
        <v>#REF!</v>
      </c>
      <c r="BV61" t="e">
        <f>GETPIVOTDATA("Students",'[1]Race &amp; Ethnicity'!$A$4,"SchoolYear","2034-35","RaceEthnicity","American Indian/Alaska Native","Projection","Projection","StateName","New Hampshire")+GETPIVOTDATA("Students",'[1]Race &amp; Ethnicity'!$A$4,"SchoolYear","2034-35","RaceEthnicity","Asian/Pacific Islander (Combined)","Projection","Projection","StateName","New Hampshire")+GETPIVOTDATA("Students",'[1]Race &amp; Ethnicity'!$A$4,"SchoolYear","2034-35","RaceEthnicity","Black","Projection","Projection","StateName","New Hampshire")+GETPIVOTDATA("Students",'[1]Race &amp; Ethnicity'!$A$4,"SchoolYear","2034-35","RaceEthnicity","Hispanic (any race)","Projection","Projection","StateName","New Hampshire")+GETPIVOTDATA("Students",'[1]Race &amp; Ethnicity'!$A$4,"SchoolYear","2034-35","RaceEthnicity","Two or More Races","Projection","Estimate (Two or more races graduates after SY 2029-30","StateName","New Hampshire")+GETPIVOTDATA("Students",'[1]Race &amp; Ethnicity'!$A$4,"SchoolYear","2034-35","RaceEthnicity","White","Projection","Projection","StateName","New Hampshire")</f>
        <v>#REF!</v>
      </c>
      <c r="BW61" t="e">
        <f>GETPIVOTDATA("Students",'[1]Race &amp; Ethnicity'!$A$4,"SchoolYear","2035-36","RaceEthnicity","American Indian/Alaska Native","Projection","Projection","StateName","New Hampshire")+GETPIVOTDATA("Students",'[1]Race &amp; Ethnicity'!$A$4,"SchoolYear","2035-36","RaceEthnicity","Asian/Pacific Islander (Combined)","Projection","Projection","StateName","New Hampshire")+GETPIVOTDATA("Students",'[1]Race &amp; Ethnicity'!$A$4,"SchoolYear","2035-36","RaceEthnicity","Black","StateName","New Hampshire")+GETPIVOTDATA("Students",'[1]Race &amp; Ethnicity'!$A$4,"SchoolYear","2035-36","RaceEthnicity","Hispanic (any race)","Projection","Projection","StateName","New Hampshire")+GETPIVOTDATA("Students",'[1]Race &amp; Ethnicity'!$A$4,"SchoolYear","2035-36","RaceEthnicity","Two or More Races","Projection","Estimate (Two or more races graduates after SY 2029-30","StateName","New Hampshire")+GETPIVOTDATA("Students",'[1]Race &amp; Ethnicity'!$A$4,"SchoolYear","2035-36","RaceEthnicity","White","Projection","Projection","StateName","New Hampshire")</f>
        <v>#REF!</v>
      </c>
    </row>
    <row r="62" spans="1:75">
      <c r="A62" s="175" t="s">
        <v>82</v>
      </c>
      <c r="B62" s="98">
        <v>52442</v>
      </c>
      <c r="C62" s="95">
        <f t="shared" si="19"/>
        <v>51709.5</v>
      </c>
      <c r="D62" s="97">
        <v>50977</v>
      </c>
      <c r="E62" s="97">
        <v>54439</v>
      </c>
      <c r="F62" s="97">
        <v>68142</v>
      </c>
      <c r="G62" s="97">
        <v>78000</v>
      </c>
      <c r="H62" s="95">
        <f t="shared" si="20"/>
        <v>79699.600000000006</v>
      </c>
      <c r="I62" s="97">
        <f t="shared" si="20"/>
        <v>81399.200000000012</v>
      </c>
      <c r="J62" s="97">
        <f t="shared" si="20"/>
        <v>83098.800000000017</v>
      </c>
      <c r="K62" s="97">
        <f t="shared" si="20"/>
        <v>84798.400000000023</v>
      </c>
      <c r="L62" s="97">
        <v>86498</v>
      </c>
      <c r="M62" s="97">
        <v>87718</v>
      </c>
      <c r="N62" s="99">
        <v>88106</v>
      </c>
      <c r="O62" s="97">
        <v>91629</v>
      </c>
      <c r="P62" s="99">
        <v>93918</v>
      </c>
      <c r="Q62" s="97">
        <v>96000</v>
      </c>
      <c r="R62" s="127">
        <v>97985</v>
      </c>
      <c r="S62" s="127">
        <v>97494</v>
      </c>
      <c r="T62" s="127">
        <v>97079</v>
      </c>
      <c r="U62" s="127">
        <v>97643</v>
      </c>
      <c r="V62" s="127">
        <v>94564</v>
      </c>
      <c r="W62" s="97">
        <v>93168</v>
      </c>
      <c r="X62" s="98">
        <v>93750</v>
      </c>
      <c r="Y62" s="98">
        <v>90048</v>
      </c>
      <c r="Z62" s="98">
        <v>85569</v>
      </c>
      <c r="AA62" s="98">
        <v>81547</v>
      </c>
      <c r="AB62" s="98">
        <v>78781</v>
      </c>
      <c r="AC62" s="97">
        <v>79376</v>
      </c>
      <c r="AD62" s="98">
        <v>80863</v>
      </c>
      <c r="AE62" s="98">
        <v>76263</v>
      </c>
      <c r="AF62" s="98">
        <v>69824</v>
      </c>
      <c r="AG62" s="98">
        <v>67003</v>
      </c>
      <c r="AH62" s="98">
        <v>66669</v>
      </c>
      <c r="AI62" s="97">
        <v>67134</v>
      </c>
      <c r="AJ62" s="97">
        <v>66125</v>
      </c>
      <c r="AK62" s="97">
        <v>67403</v>
      </c>
      <c r="AL62" s="97">
        <v>67704</v>
      </c>
      <c r="AM62" s="97">
        <v>70028</v>
      </c>
      <c r="AN62" s="97">
        <v>65106</v>
      </c>
      <c r="AO62" s="97">
        <v>67410</v>
      </c>
      <c r="AP62" s="97">
        <v>74420</v>
      </c>
      <c r="AQ62" s="97">
        <v>76130</v>
      </c>
      <c r="AR62" s="97">
        <v>77664</v>
      </c>
      <c r="AS62" s="97">
        <v>81391</v>
      </c>
      <c r="AT62" s="97">
        <v>83826</v>
      </c>
      <c r="AU62" s="97">
        <v>86502</v>
      </c>
      <c r="AV62" s="97">
        <v>90049</v>
      </c>
      <c r="AW62" s="97">
        <v>93013</v>
      </c>
      <c r="AX62" s="97">
        <v>94994</v>
      </c>
      <c r="AY62" s="97">
        <v>95085</v>
      </c>
      <c r="AZ62" s="97">
        <v>96225</v>
      </c>
      <c r="BA62" s="97">
        <v>95186</v>
      </c>
      <c r="BB62" s="97">
        <v>93819</v>
      </c>
      <c r="BC62" s="97">
        <v>96490</v>
      </c>
      <c r="BD62" s="97">
        <v>94059.531999999992</v>
      </c>
      <c r="BE62" s="97">
        <v>95183.361000000004</v>
      </c>
      <c r="BF62" s="97">
        <v>95774.497999999992</v>
      </c>
      <c r="BG62" s="97">
        <v>96773</v>
      </c>
      <c r="BH62" s="97">
        <v>99116</v>
      </c>
      <c r="BI62" s="97">
        <v>98061</v>
      </c>
      <c r="BJ62" s="99">
        <v>96610</v>
      </c>
      <c r="BK62" s="180">
        <v>93845.971781491651</v>
      </c>
      <c r="BL62" s="181">
        <v>95094.946104973933</v>
      </c>
      <c r="BM62" s="180">
        <v>91799.377172852517</v>
      </c>
      <c r="BN62" s="180">
        <v>90000.345529626982</v>
      </c>
      <c r="BO62" s="180">
        <v>87274.954099340524</v>
      </c>
      <c r="BP62" s="180">
        <v>86434.911969570705</v>
      </c>
      <c r="BQ62" s="180">
        <v>85093.469511073825</v>
      </c>
      <c r="BR62" s="180">
        <v>83698.926248447649</v>
      </c>
      <c r="BS62" s="180">
        <v>84306.92463113938</v>
      </c>
      <c r="BT62" s="177" t="e">
        <f>GETPIVOTDATA("Students",'[1]Race &amp; Ethnicity'!$A$4,"SchoolYear","2032-33","RaceEthnicity","American Indian/Alaska Native","Projection","Projection","StateName","New Jersey")+GETPIVOTDATA("Students",'[1]Race &amp; Ethnicity'!$A$4,"SchoolYear","2032-33","RaceEthnicity","Asian/Pacific Islander (Combined)","Projection","Projection","StateName","New Jersey")+GETPIVOTDATA("Students",'[1]Race &amp; Ethnicity'!$A$4,"SchoolYear","2032-33","RaceEthnicity","Black","Projection","Projection","StateName","New Jersey")+GETPIVOTDATA("Students",'[1]Race &amp; Ethnicity'!$A$4,"SchoolYear","2032-33","RaceEthnicity","Hispanic (any race)","Projection","Projection","StateName","New Jersey")+GETPIVOTDATA("Students",'[1]Race &amp; Ethnicity'!$A$4,"SchoolYear","2032-33","RaceEthnicity","Two or More Races","Projection","Estimate (Two or more races graduates after SY 2029-30","StateName","New Jersey")+GETPIVOTDATA("Students",'[1]Race &amp; Ethnicity'!$A$4,"SchoolYear","2032-33","RaceEthnicity","White","Projection","Projection","StateName","New Jersey")</f>
        <v>#REF!</v>
      </c>
      <c r="BU62" s="177" t="e">
        <f>GETPIVOTDATA("Students",'[1]Race &amp; Ethnicity'!$A$4,"SchoolYear","2033-34","RaceEthnicity","American Indian/Alaska Native","Projection","Projection","StateName","New Jersey")+GETPIVOTDATA("Students",'[1]Race &amp; Ethnicity'!$A$4,"SchoolYear","2033-34","RaceEthnicity","Asian/Pacific Islander (Combined)","Projection","Projection","StateName","New Jersey")+GETPIVOTDATA("Students",'[1]Race &amp; Ethnicity'!$A$4,"SchoolYear","2033-34","RaceEthnicity","Black","Projection","Projection","StateName","New Jersey")+GETPIVOTDATA("Students",'[1]Race &amp; Ethnicity'!$A$4,"SchoolYear","2033-34","RaceEthnicity","Hispanic (any race)","Projection","Projection","StateName","New Jersey")+GETPIVOTDATA("Students",'[1]Race &amp; Ethnicity'!$A$4,"SchoolYear","2033-34","RaceEthnicity","Two or More Races","Projection","Estimate (Two or more races graduates after SY 2029-30","StateName","New Jersey")+GETPIVOTDATA("Students",'[1]Race &amp; Ethnicity'!$A$4,"SchoolYear","2033-34","RaceEthnicity","White","Projection","Projection","StateName","New Jersey")</f>
        <v>#REF!</v>
      </c>
      <c r="BV62" t="e">
        <f>GETPIVOTDATA("Students",'[1]Race &amp; Ethnicity'!$A$4,"SchoolYear","2034-35","RaceEthnicity","American Indian/Alaska Native","Projection","Projection","StateName","New Jersey")+GETPIVOTDATA("Students",'[1]Race &amp; Ethnicity'!$A$4,"SchoolYear","2034-35","RaceEthnicity","Asian/Pacific Islander (Combined)","Projection","Projection","StateName","New Jersey")+GETPIVOTDATA("Students",'[1]Race &amp; Ethnicity'!$A$4,"SchoolYear","2034-35","RaceEthnicity","Black","Projection","Projection","StateName","New Jersey")+GETPIVOTDATA("Students",'[1]Race &amp; Ethnicity'!$A$4,"SchoolYear","2034-35","RaceEthnicity","Hispanic (any race)","Projection","Projection","StateName","New Jersey")+GETPIVOTDATA("Students",'[1]Race &amp; Ethnicity'!$A$4,"SchoolYear","2034-35","RaceEthnicity","Two or More Races","Projection","Estimate (Two or more races graduates after SY 2029-30","StateName","New Jersey")+GETPIVOTDATA("Students",'[1]Race &amp; Ethnicity'!$A$4,"SchoolYear","2034-35","RaceEthnicity","White","Projection","Projection","StateName","New Jersey")</f>
        <v>#REF!</v>
      </c>
      <c r="BW62" t="e">
        <f>GETPIVOTDATA("Students",'[1]Race &amp; Ethnicity'!$A$4,"SchoolYear","2035-36","RaceEthnicity","American Indian/Alaska Native","Projection","Projection","StateName","New Jersey")+GETPIVOTDATA("Students",'[1]Race &amp; Ethnicity'!$A$4,"SchoolYear","2035-36","RaceEthnicity","Asian/Pacific Islander (Combined)","Projection","Projection","StateName","New Jersey")+GETPIVOTDATA("Students",'[1]Race &amp; Ethnicity'!$A$4,"SchoolYear","2035-36","RaceEthnicity","Black","StateName","New Jersey")+GETPIVOTDATA("Students",'[1]Race &amp; Ethnicity'!$A$4,"SchoolYear","2035-36","RaceEthnicity","Hispanic (any race)","Projection","Projection","StateName","New Jersey")+GETPIVOTDATA("Students",'[1]Race &amp; Ethnicity'!$A$4,"SchoolYear","2035-36","RaceEthnicity","Two or More Races","Projection","Estimate (Two or more races graduates after SY 2029-30","StateName","New Jersey")+GETPIVOTDATA("Students",'[1]Race &amp; Ethnicity'!$A$4,"SchoolYear","2035-36","RaceEthnicity","White","Projection","Projection","StateName","New Jersey")</f>
        <v>#REF!</v>
      </c>
    </row>
    <row r="63" spans="1:75">
      <c r="A63" s="175" t="s">
        <v>83</v>
      </c>
      <c r="B63" s="98">
        <v>134471</v>
      </c>
      <c r="C63" s="95">
        <f t="shared" si="19"/>
        <v>133106</v>
      </c>
      <c r="D63" s="97">
        <v>131741</v>
      </c>
      <c r="E63" s="97">
        <v>139500</v>
      </c>
      <c r="F63" s="97">
        <v>170698</v>
      </c>
      <c r="G63" s="97">
        <v>182227</v>
      </c>
      <c r="H63" s="95">
        <f t="shared" si="20"/>
        <v>183781.6</v>
      </c>
      <c r="I63" s="97">
        <f t="shared" si="20"/>
        <v>185336.2</v>
      </c>
      <c r="J63" s="97">
        <f t="shared" si="20"/>
        <v>186890.80000000002</v>
      </c>
      <c r="K63" s="97">
        <f t="shared" si="20"/>
        <v>188445.40000000002</v>
      </c>
      <c r="L63" s="97">
        <v>190000</v>
      </c>
      <c r="M63" s="97">
        <v>192807</v>
      </c>
      <c r="N63" s="100">
        <v>199771</v>
      </c>
      <c r="O63" s="97">
        <v>204037</v>
      </c>
      <c r="P63" s="100">
        <v>207413</v>
      </c>
      <c r="Q63" s="97">
        <v>210780</v>
      </c>
      <c r="R63" s="66">
        <v>214234</v>
      </c>
      <c r="S63" s="66">
        <v>212907</v>
      </c>
      <c r="T63" s="66">
        <v>210720</v>
      </c>
      <c r="U63" s="66">
        <v>208335</v>
      </c>
      <c r="V63" s="66">
        <v>204064</v>
      </c>
      <c r="W63" s="97">
        <v>198465</v>
      </c>
      <c r="X63" s="98">
        <v>194605</v>
      </c>
      <c r="Y63" s="98">
        <v>184022</v>
      </c>
      <c r="Z63" s="98">
        <v>174762</v>
      </c>
      <c r="AA63" s="98">
        <v>166752</v>
      </c>
      <c r="AB63" s="98">
        <v>162165</v>
      </c>
      <c r="AC63" s="97">
        <v>163765</v>
      </c>
      <c r="AD63" s="98">
        <v>165379</v>
      </c>
      <c r="AE63" s="98">
        <v>154580</v>
      </c>
      <c r="AF63" s="98">
        <v>143318</v>
      </c>
      <c r="AG63" s="98">
        <v>133562</v>
      </c>
      <c r="AH63" s="98">
        <v>134573</v>
      </c>
      <c r="AI63" s="97">
        <v>132963</v>
      </c>
      <c r="AJ63" s="97">
        <v>132708</v>
      </c>
      <c r="AK63" s="97">
        <v>132401</v>
      </c>
      <c r="AL63" s="97">
        <v>134401</v>
      </c>
      <c r="AM63" s="97">
        <v>140861</v>
      </c>
      <c r="AN63" s="97">
        <v>138531</v>
      </c>
      <c r="AO63" s="97">
        <v>139426</v>
      </c>
      <c r="AP63" s="97">
        <v>141731</v>
      </c>
      <c r="AQ63" s="97">
        <v>141884</v>
      </c>
      <c r="AR63" s="97">
        <v>140139</v>
      </c>
      <c r="AS63" s="97">
        <v>143818</v>
      </c>
      <c r="AT63" s="97">
        <v>142526</v>
      </c>
      <c r="AU63" s="97">
        <v>153203</v>
      </c>
      <c r="AV63" s="97">
        <v>161817</v>
      </c>
      <c r="AW63" s="97">
        <v>168333</v>
      </c>
      <c r="AX63" s="97">
        <v>176310</v>
      </c>
      <c r="AY63" s="97">
        <v>180917</v>
      </c>
      <c r="AZ63" s="97">
        <v>183826</v>
      </c>
      <c r="BA63" s="97">
        <v>182759</v>
      </c>
      <c r="BB63" s="97">
        <v>180806</v>
      </c>
      <c r="BC63" s="97">
        <v>180351</v>
      </c>
      <c r="BD63" s="97">
        <v>169744.818</v>
      </c>
      <c r="BE63" s="97">
        <v>167774.90400000001</v>
      </c>
      <c r="BF63" s="97">
        <v>167544.75600000002</v>
      </c>
      <c r="BG63" s="97">
        <v>180236</v>
      </c>
      <c r="BH63" s="97">
        <v>183149</v>
      </c>
      <c r="BI63" s="97">
        <v>182799</v>
      </c>
      <c r="BJ63" s="99">
        <v>181640</v>
      </c>
      <c r="BK63" s="180">
        <v>183765.46675663089</v>
      </c>
      <c r="BL63" s="181">
        <v>187183.14028225184</v>
      </c>
      <c r="BM63" s="180">
        <v>182088.0210149209</v>
      </c>
      <c r="BN63" s="180">
        <v>180563.83540332352</v>
      </c>
      <c r="BO63" s="180">
        <v>178441.80920832284</v>
      </c>
      <c r="BP63" s="180">
        <v>176477.25782839613</v>
      </c>
      <c r="BQ63" s="180">
        <v>176130.7772503834</v>
      </c>
      <c r="BR63" s="180">
        <v>172974.74746188126</v>
      </c>
      <c r="BS63" s="180">
        <v>174308.99280800787</v>
      </c>
      <c r="BT63" s="177" t="e">
        <f>GETPIVOTDATA("Students",'[1]Race &amp; Ethnicity'!$A$4,"SchoolYear","2032-33","RaceEthnicity","American Indian/Alaska Native","Projection","Projection","StateName","New York")+GETPIVOTDATA("Students",'[1]Race &amp; Ethnicity'!$A$4,"SchoolYear","2032-33","RaceEthnicity","Asian/Pacific Islander (Combined)","Projection","Projection","StateName","New York")+GETPIVOTDATA("Students",'[1]Race &amp; Ethnicity'!$A$4,"SchoolYear","2032-33","RaceEthnicity","Black","Projection","Projection","StateName","New York")+GETPIVOTDATA("Students",'[1]Race &amp; Ethnicity'!$A$4,"SchoolYear","2032-33","RaceEthnicity","Hispanic (any race)","Projection","Projection","StateName","New York")+GETPIVOTDATA("Students",'[1]Race &amp; Ethnicity'!$A$4,"SchoolYear","2032-33","RaceEthnicity","Two or More Races","Projection","Estimate (Two or more races graduates after SY 2029-30","StateName","New York")+GETPIVOTDATA("Students",'[1]Race &amp; Ethnicity'!$A$4,"SchoolYear","2032-33","RaceEthnicity","White","Projection","Projection","StateName","New York")</f>
        <v>#REF!</v>
      </c>
      <c r="BU63" s="177" t="e">
        <f>GETPIVOTDATA("Students",'[1]Race &amp; Ethnicity'!$A$4,"SchoolYear","2033-34","RaceEthnicity","American Indian/Alaska Native","Projection","Projection","StateName","New York")+GETPIVOTDATA("Students",'[1]Race &amp; Ethnicity'!$A$4,"SchoolYear","2033-34","RaceEthnicity","Asian/Pacific Islander (Combined)","Projection","Projection","StateName","New York")+GETPIVOTDATA("Students",'[1]Race &amp; Ethnicity'!$A$4,"SchoolYear","2033-34","RaceEthnicity","Black","Projection","Projection","StateName","New York")+GETPIVOTDATA("Students",'[1]Race &amp; Ethnicity'!$A$4,"SchoolYear","2033-34","RaceEthnicity","Hispanic (any race)","Projection","Projection","StateName","New York")+GETPIVOTDATA("Students",'[1]Race &amp; Ethnicity'!$A$4,"SchoolYear","2033-34","RaceEthnicity","Two or More Races","Projection","Estimate (Two or more races graduates after SY 2029-30","StateName","New York")+GETPIVOTDATA("Students",'[1]Race &amp; Ethnicity'!$A$4,"SchoolYear","2033-34","RaceEthnicity","White","Projection","Projection","StateName","New York")</f>
        <v>#REF!</v>
      </c>
      <c r="BV63" t="e">
        <f>GETPIVOTDATA("Students",'[1]Race &amp; Ethnicity'!$A$4,"SchoolYear","2034-35","RaceEthnicity","American Indian/Alaska Native","Projection","Projection","StateName","New York")+GETPIVOTDATA("Students",'[1]Race &amp; Ethnicity'!$A$4,"SchoolYear","2034-35","RaceEthnicity","Asian/Pacific Islander (Combined)","Projection","Projection","StateName","New York")+GETPIVOTDATA("Students",'[1]Race &amp; Ethnicity'!$A$4,"SchoolYear","2034-35","RaceEthnicity","Black","Projection","Projection","StateName","New York")+GETPIVOTDATA("Students",'[1]Race &amp; Ethnicity'!$A$4,"SchoolYear","2034-35","RaceEthnicity","Hispanic (any race)","Projection","Projection","StateName","New York")+GETPIVOTDATA("Students",'[1]Race &amp; Ethnicity'!$A$4,"SchoolYear","2034-35","RaceEthnicity","Two or More Races","Projection","Estimate (Two or more races graduates after SY 2029-30","StateName","New York")+GETPIVOTDATA("Students",'[1]Race &amp; Ethnicity'!$A$4,"SchoolYear","2034-35","RaceEthnicity","White","Projection","Projection","StateName","New York")</f>
        <v>#REF!</v>
      </c>
      <c r="BW63" t="e">
        <f>GETPIVOTDATA("Students",'[1]Race &amp; Ethnicity'!$A$4,"SchoolYear","2035-36","RaceEthnicity","American Indian/Alaska Native","Projection","Projection","StateName","New York")+GETPIVOTDATA("Students",'[1]Race &amp; Ethnicity'!$A$4,"SchoolYear","2035-36","RaceEthnicity","Asian/Pacific Islander (Combined)","Projection","Projection","StateName","New York")+GETPIVOTDATA("Students",'[1]Race &amp; Ethnicity'!$A$4,"SchoolYear","2035-36","RaceEthnicity","Black","StateName","New York")+GETPIVOTDATA("Students",'[1]Race &amp; Ethnicity'!$A$4,"SchoolYear","2035-36","RaceEthnicity","Hispanic (any race)","Projection","Projection","StateName","New York")+GETPIVOTDATA("Students",'[1]Race &amp; Ethnicity'!$A$4,"SchoolYear","2035-36","RaceEthnicity","Two or More Races","Projection","Estimate (Two or more races graduates after SY 2029-30","StateName","New York")+GETPIVOTDATA("Students",'[1]Race &amp; Ethnicity'!$A$4,"SchoolYear","2035-36","RaceEthnicity","White","Projection","Projection","StateName","New York")</f>
        <v>#REF!</v>
      </c>
    </row>
    <row r="64" spans="1:75">
      <c r="A64" s="175" t="s">
        <v>84</v>
      </c>
      <c r="B64" s="98">
        <v>107175</v>
      </c>
      <c r="C64" s="95">
        <f t="shared" si="19"/>
        <v>105106</v>
      </c>
      <c r="D64" s="97">
        <v>103037</v>
      </c>
      <c r="E64" s="97">
        <v>99600</v>
      </c>
      <c r="F64" s="97">
        <v>125099</v>
      </c>
      <c r="G64" s="97">
        <v>143200</v>
      </c>
      <c r="H64" s="95">
        <f t="shared" si="20"/>
        <v>144762.79999999999</v>
      </c>
      <c r="I64" s="97">
        <f t="shared" si="20"/>
        <v>146325.59999999998</v>
      </c>
      <c r="J64" s="97">
        <f t="shared" si="20"/>
        <v>147888.39999999997</v>
      </c>
      <c r="K64" s="97">
        <f t="shared" si="20"/>
        <v>149451.19999999995</v>
      </c>
      <c r="L64" s="97">
        <v>151014</v>
      </c>
      <c r="M64" s="97">
        <v>153568</v>
      </c>
      <c r="N64" s="99">
        <v>157415</v>
      </c>
      <c r="O64" s="97">
        <v>154045</v>
      </c>
      <c r="P64" s="100">
        <v>159934</v>
      </c>
      <c r="Q64" s="97">
        <v>163124</v>
      </c>
      <c r="R64" s="127">
        <v>163812</v>
      </c>
      <c r="S64" s="127">
        <v>160665</v>
      </c>
      <c r="T64" s="127">
        <v>156918</v>
      </c>
      <c r="U64" s="127">
        <v>155442</v>
      </c>
      <c r="V64" s="127">
        <v>146458</v>
      </c>
      <c r="W64" s="97">
        <v>144645</v>
      </c>
      <c r="X64" s="98">
        <v>143356</v>
      </c>
      <c r="Y64" s="98">
        <v>137494</v>
      </c>
      <c r="Z64" s="98">
        <v>132412</v>
      </c>
      <c r="AA64" s="98">
        <v>127226</v>
      </c>
      <c r="AB64" s="98">
        <v>122871</v>
      </c>
      <c r="AC64" s="97">
        <v>121219</v>
      </c>
      <c r="AD64" s="98">
        <v>124376</v>
      </c>
      <c r="AE64" s="98">
        <v>118921</v>
      </c>
      <c r="AF64" s="98">
        <v>110527</v>
      </c>
      <c r="AG64" s="98">
        <v>104770</v>
      </c>
      <c r="AH64" s="98">
        <v>103881</v>
      </c>
      <c r="AI64" s="97">
        <v>103715</v>
      </c>
      <c r="AJ64" s="97">
        <v>101958</v>
      </c>
      <c r="AK64" s="97">
        <v>104146</v>
      </c>
      <c r="AL64" s="97">
        <v>105981</v>
      </c>
      <c r="AM64" s="97">
        <v>108817</v>
      </c>
      <c r="AN64" s="97">
        <v>110919</v>
      </c>
      <c r="AO64" s="97">
        <v>112632</v>
      </c>
      <c r="AP64" s="97">
        <v>113959</v>
      </c>
      <c r="AQ64" s="97">
        <v>114436</v>
      </c>
      <c r="AR64" s="97">
        <v>114943</v>
      </c>
      <c r="AS64" s="97">
        <v>119933</v>
      </c>
      <c r="AT64" s="97">
        <v>123474</v>
      </c>
      <c r="AU64" s="97">
        <v>124758</v>
      </c>
      <c r="AV64" s="97">
        <v>127830</v>
      </c>
      <c r="AW64" s="97">
        <v>128603</v>
      </c>
      <c r="AX64" s="97">
        <v>130298</v>
      </c>
      <c r="AY64" s="97">
        <v>130658</v>
      </c>
      <c r="AZ64" s="97">
        <v>131182</v>
      </c>
      <c r="BA64" s="97">
        <v>130284</v>
      </c>
      <c r="BB64" s="97">
        <v>131733</v>
      </c>
      <c r="BC64" s="97">
        <v>129777</v>
      </c>
      <c r="BD64" s="97">
        <v>120671.351</v>
      </c>
      <c r="BE64" s="97">
        <v>117286.03199999999</v>
      </c>
      <c r="BF64" s="97">
        <v>117628.098</v>
      </c>
      <c r="BG64" s="97">
        <v>125505</v>
      </c>
      <c r="BH64" s="97">
        <v>125746</v>
      </c>
      <c r="BI64" s="97">
        <v>125515</v>
      </c>
      <c r="BJ64" s="99">
        <v>123450</v>
      </c>
      <c r="BK64" s="180">
        <v>125708.12834110225</v>
      </c>
      <c r="BL64" s="181">
        <v>127817.28485823386</v>
      </c>
      <c r="BM64" s="180">
        <v>126977.93828972208</v>
      </c>
      <c r="BN64" s="180">
        <v>124678.56716359622</v>
      </c>
      <c r="BO64" s="180">
        <v>121774.14517485134</v>
      </c>
      <c r="BP64" s="180">
        <v>121538.62146338448</v>
      </c>
      <c r="BQ64" s="180">
        <v>121068.38382727468</v>
      </c>
      <c r="BR64" s="180">
        <v>119768.43078485137</v>
      </c>
      <c r="BS64" s="180">
        <v>120910.79539327569</v>
      </c>
      <c r="BT64" s="177" t="e">
        <f>GETPIVOTDATA("Students",'[1]Race &amp; Ethnicity'!$A$4,"SchoolYear","2032-33","RaceEthnicity","American Indian/Alaska Native","Projection","Projection","StateName","Pennsylvania")+GETPIVOTDATA("Students",'[1]Race &amp; Ethnicity'!$A$4,"SchoolYear","2032-33","RaceEthnicity","Asian/Pacific Islander (Combined)","Projection","Projection","StateName","Pennsylvania")+GETPIVOTDATA("Students",'[1]Race &amp; Ethnicity'!$A$4,"SchoolYear","2032-33","RaceEthnicity","Black","Projection","Projection","StateName","Pennsylvania")+GETPIVOTDATA("Students",'[1]Race &amp; Ethnicity'!$A$4,"SchoolYear","2032-33","RaceEthnicity","Hispanic (any race)","Projection","Projection","StateName","Pennsylvania")+GETPIVOTDATA("Students",'[1]Race &amp; Ethnicity'!$A$4,"SchoolYear","2032-33","RaceEthnicity","Two or More Races","Projection","Estimate (Two or more races graduates after SY 2029-30","StateName","Pennsylvania")+GETPIVOTDATA("Students",'[1]Race &amp; Ethnicity'!$A$4,"SchoolYear","2032-33","RaceEthnicity","White","Projection","Projection","StateName","Pennsylvania")</f>
        <v>#REF!</v>
      </c>
      <c r="BU64" s="177" t="e">
        <f>GETPIVOTDATA("Students",'[1]Race &amp; Ethnicity'!$A$4,"SchoolYear","2033-34","RaceEthnicity","American Indian/Alaska Native","Projection","Projection","StateName","Pennsylvania")+GETPIVOTDATA("Students",'[1]Race &amp; Ethnicity'!$A$4,"SchoolYear","2033-34","RaceEthnicity","Asian/Pacific Islander (Combined)","Projection","Projection","StateName","Pennsylvania")+GETPIVOTDATA("Students",'[1]Race &amp; Ethnicity'!$A$4,"SchoolYear","2033-34","RaceEthnicity","Black","Projection","Projection","StateName","Pennsylvania")+GETPIVOTDATA("Students",'[1]Race &amp; Ethnicity'!$A$4,"SchoolYear","2033-34","RaceEthnicity","Hispanic (any race)","Projection","Projection","StateName","Pennsylvania")+GETPIVOTDATA("Students",'[1]Race &amp; Ethnicity'!$A$4,"SchoolYear","2033-34","RaceEthnicity","Two or More Races","Projection","Estimate (Two or more races graduates after SY 2029-30","StateName","Pennsylvania")+GETPIVOTDATA("Students",'[1]Race &amp; Ethnicity'!$A$4,"SchoolYear","2033-34","RaceEthnicity","White","Projection","Projection","StateName","Pennsylvania")</f>
        <v>#REF!</v>
      </c>
      <c r="BV64" t="e">
        <f>GETPIVOTDATA("Students",'[1]Race &amp; Ethnicity'!$A$4,"SchoolYear","2034-35","RaceEthnicity","American Indian/Alaska Native","Projection","Projection","StateName","Pennsylvania")+GETPIVOTDATA("Students",'[1]Race &amp; Ethnicity'!$A$4,"SchoolYear","2034-35","RaceEthnicity","Asian/Pacific Islander (Combined)","Projection","Projection","StateName","Pennsylvania")+GETPIVOTDATA("Students",'[1]Race &amp; Ethnicity'!$A$4,"SchoolYear","2034-35","RaceEthnicity","Black","Projection","Projection","StateName","Pennsylvania")+GETPIVOTDATA("Students",'[1]Race &amp; Ethnicity'!$A$4,"SchoolYear","2034-35","RaceEthnicity","Hispanic (any race)","Projection","Projection","StateName","Pennsylvania")+GETPIVOTDATA("Students",'[1]Race &amp; Ethnicity'!$A$4,"SchoolYear","2034-35","RaceEthnicity","Two or More Races","Projection","Estimate (Two or more races graduates after SY 2029-30","StateName","Pennsylvania")+GETPIVOTDATA("Students",'[1]Race &amp; Ethnicity'!$A$4,"SchoolYear","2034-35","RaceEthnicity","White","Projection","Projection","StateName","Pennsylvania")</f>
        <v>#REF!</v>
      </c>
      <c r="BW64" t="e">
        <f>GETPIVOTDATA("Students",'[1]Race &amp; Ethnicity'!$A$4,"SchoolYear","2035-36","RaceEthnicity","American Indian/Alaska Native","Projection","Projection","StateName","Pennsylvania")+GETPIVOTDATA("Students",'[1]Race &amp; Ethnicity'!$A$4,"SchoolYear","2035-36","RaceEthnicity","Asian/Pacific Islander (Combined)","Projection","Projection","StateName","Pennsylvania")+GETPIVOTDATA("Students",'[1]Race &amp; Ethnicity'!$A$4,"SchoolYear","2035-36","RaceEthnicity","Black","StateName","Pennsylvania")+GETPIVOTDATA("Students",'[1]Race &amp; Ethnicity'!$A$4,"SchoolYear","2035-36","RaceEthnicity","Hispanic (any race)","Projection","Projection","StateName","Pennsylvania")+GETPIVOTDATA("Students",'[1]Race &amp; Ethnicity'!$A$4,"SchoolYear","2035-36","RaceEthnicity","Two or More Races","Projection","Estimate (Two or more races graduates after SY 2029-30","StateName","Pennsylvania")+GETPIVOTDATA("Students",'[1]Race &amp; Ethnicity'!$A$4,"SchoolYear","2035-36","RaceEthnicity","White","Projection","Projection","StateName","Pennsylvania")</f>
        <v>#REF!</v>
      </c>
    </row>
    <row r="65" spans="1:75">
      <c r="A65" s="175" t="s">
        <v>85</v>
      </c>
      <c r="B65" s="98">
        <v>6250</v>
      </c>
      <c r="C65" s="95">
        <f t="shared" si="19"/>
        <v>6349</v>
      </c>
      <c r="D65" s="97">
        <v>6448</v>
      </c>
      <c r="E65" s="97">
        <v>6485</v>
      </c>
      <c r="F65" s="97">
        <v>8157</v>
      </c>
      <c r="G65" s="97">
        <v>9157</v>
      </c>
      <c r="H65" s="95">
        <f t="shared" si="20"/>
        <v>9354.7999999999993</v>
      </c>
      <c r="I65" s="97">
        <f t="shared" si="20"/>
        <v>9552.5999999999985</v>
      </c>
      <c r="J65" s="97">
        <f t="shared" si="20"/>
        <v>9750.3999999999978</v>
      </c>
      <c r="K65" s="97">
        <f t="shared" si="20"/>
        <v>9948.1999999999971</v>
      </c>
      <c r="L65" s="97">
        <v>10146</v>
      </c>
      <c r="M65" s="97">
        <v>10435</v>
      </c>
      <c r="N65" s="99">
        <v>10909</v>
      </c>
      <c r="O65" s="97">
        <v>10802</v>
      </c>
      <c r="P65" s="99">
        <v>11117</v>
      </c>
      <c r="Q65" s="97">
        <v>11042</v>
      </c>
      <c r="R65" s="127">
        <v>10831</v>
      </c>
      <c r="S65" s="127">
        <v>10796</v>
      </c>
      <c r="T65" s="127">
        <v>10884</v>
      </c>
      <c r="U65" s="127">
        <v>11243</v>
      </c>
      <c r="V65" s="127">
        <v>10864</v>
      </c>
      <c r="W65" s="97">
        <v>10719</v>
      </c>
      <c r="X65" s="98">
        <v>10545</v>
      </c>
      <c r="Y65" s="98">
        <v>10533</v>
      </c>
      <c r="Z65" s="98">
        <v>9820</v>
      </c>
      <c r="AA65" s="98">
        <v>9382</v>
      </c>
      <c r="AB65" s="98">
        <v>8908</v>
      </c>
      <c r="AC65" s="97">
        <v>8771</v>
      </c>
      <c r="AD65" s="98">
        <v>8855</v>
      </c>
      <c r="AE65" s="98">
        <v>8554</v>
      </c>
      <c r="AF65" s="98">
        <v>7825</v>
      </c>
      <c r="AG65" s="98">
        <v>7744</v>
      </c>
      <c r="AH65" s="98">
        <v>7859</v>
      </c>
      <c r="AI65" s="97">
        <v>7640</v>
      </c>
      <c r="AJ65" s="97">
        <v>7450</v>
      </c>
      <c r="AK65" s="97">
        <v>7826</v>
      </c>
      <c r="AL65" s="97">
        <v>7689</v>
      </c>
      <c r="AM65" s="97">
        <v>7850</v>
      </c>
      <c r="AN65" s="97">
        <v>8074</v>
      </c>
      <c r="AO65" s="97">
        <v>8179</v>
      </c>
      <c r="AP65" s="97">
        <v>8477</v>
      </c>
      <c r="AQ65" s="97">
        <v>8603</v>
      </c>
      <c r="AR65" s="97">
        <v>9006</v>
      </c>
      <c r="AS65" s="97">
        <v>9318</v>
      </c>
      <c r="AT65" s="97">
        <v>9258</v>
      </c>
      <c r="AU65" s="97">
        <v>9881</v>
      </c>
      <c r="AV65" s="97">
        <v>10108</v>
      </c>
      <c r="AW65" s="97">
        <v>10384</v>
      </c>
      <c r="AX65" s="97">
        <v>10347</v>
      </c>
      <c r="AY65" s="97">
        <v>10028</v>
      </c>
      <c r="AZ65" s="97">
        <v>9908</v>
      </c>
      <c r="BA65" s="97">
        <v>9724</v>
      </c>
      <c r="BB65" s="97">
        <v>9751</v>
      </c>
      <c r="BC65" s="97">
        <v>9579</v>
      </c>
      <c r="BD65" s="97">
        <v>9157.0639999999985</v>
      </c>
      <c r="BE65" s="97">
        <v>9072.9600000000009</v>
      </c>
      <c r="BF65" s="97">
        <v>9209.0159999999996</v>
      </c>
      <c r="BG65" s="97">
        <v>8715</v>
      </c>
      <c r="BH65" s="97">
        <v>9202</v>
      </c>
      <c r="BI65" s="97">
        <v>9798</v>
      </c>
      <c r="BJ65" s="99">
        <v>9780</v>
      </c>
      <c r="BK65" s="180">
        <v>9027.8595604883449</v>
      </c>
      <c r="BL65" s="181">
        <v>9226.5895470951818</v>
      </c>
      <c r="BM65" s="180">
        <v>8757.1526703505897</v>
      </c>
      <c r="BN65" s="180">
        <v>8330.8130724616894</v>
      </c>
      <c r="BO65" s="180">
        <v>8141.9483131329989</v>
      </c>
      <c r="BP65" s="180">
        <v>8011.0579928830757</v>
      </c>
      <c r="BQ65" s="180">
        <v>7994.6633562743591</v>
      </c>
      <c r="BR65" s="180">
        <v>7888.7765654220866</v>
      </c>
      <c r="BS65" s="180">
        <v>7898.7599479150686</v>
      </c>
      <c r="BT65" s="177" t="e">
        <f>GETPIVOTDATA("Students",'[1]Race &amp; Ethnicity'!$A$4,"SchoolYear","2032-33","RaceEthnicity","American Indian/Alaska Native","Projection","Projection","StateName","Rhode Island")+GETPIVOTDATA("Students",'[1]Race &amp; Ethnicity'!$A$4,"SchoolYear","2032-33","RaceEthnicity","Asian/Pacific Islander (Combined)","Projection","Projection","StateName","Rhode Island")+GETPIVOTDATA("Students",'[1]Race &amp; Ethnicity'!$A$4,"SchoolYear","2032-33","RaceEthnicity","Black","Projection","Projection","StateName","Rhode Island")+GETPIVOTDATA("Students",'[1]Race &amp; Ethnicity'!$A$4,"SchoolYear","2032-33","RaceEthnicity","Hispanic (any race)","Projection","Projection","StateName","Rhode Island")+GETPIVOTDATA("Students",'[1]Race &amp; Ethnicity'!$A$4,"SchoolYear","2032-33","RaceEthnicity","Two or More Races","Projection","Estimate (Two or more races graduates after SY 2029-30","StateName","Rhode Island")+GETPIVOTDATA("Students",'[1]Race &amp; Ethnicity'!$A$4,"SchoolYear","2032-33","RaceEthnicity","White","Projection","Projection","StateName","Rhode Island")</f>
        <v>#REF!</v>
      </c>
      <c r="BU65" s="177" t="e">
        <f>GETPIVOTDATA("Students",'[1]Race &amp; Ethnicity'!$A$4,"SchoolYear","2033-34","RaceEthnicity","American Indian/Alaska Native","Projection","Projection","StateName","Rhode Island")+GETPIVOTDATA("Students",'[1]Race &amp; Ethnicity'!$A$4,"SchoolYear","2033-34","RaceEthnicity","Asian/Pacific Islander (Combined)","Projection","Projection","StateName","Rhode Island")+GETPIVOTDATA("Students",'[1]Race &amp; Ethnicity'!$A$4,"SchoolYear","2033-34","RaceEthnicity","Black","Projection","Projection","StateName","Rhode Island")+GETPIVOTDATA("Students",'[1]Race &amp; Ethnicity'!$A$4,"SchoolYear","2033-34","RaceEthnicity","Hispanic (any race)","Projection","Projection","StateName","Rhode Island")+GETPIVOTDATA("Students",'[1]Race &amp; Ethnicity'!$A$4,"SchoolYear","2033-34","RaceEthnicity","Two or More Races","Projection","Estimate (Two or more races graduates after SY 2029-30","StateName","Rhode Island")+GETPIVOTDATA("Students",'[1]Race &amp; Ethnicity'!$A$4,"SchoolYear","2033-34","RaceEthnicity","White","Projection","Projection","StateName","Rhode Island")</f>
        <v>#REF!</v>
      </c>
      <c r="BV65" t="e">
        <f>GETPIVOTDATA("Students",'[1]Race &amp; Ethnicity'!$A$4,"SchoolYear","2034-35","RaceEthnicity","American Indian/Alaska Native","Projection","Projection","StateName","Rhode Island")+GETPIVOTDATA("Students",'[1]Race &amp; Ethnicity'!$A$4,"SchoolYear","2034-35","RaceEthnicity","Asian/Pacific Islander (Combined)","Projection","Projection","StateName","Rhode Island")+GETPIVOTDATA("Students",'[1]Race &amp; Ethnicity'!$A$4,"SchoolYear","2034-35","RaceEthnicity","Black","Projection","Projection","StateName","Rhode Island")+GETPIVOTDATA("Students",'[1]Race &amp; Ethnicity'!$A$4,"SchoolYear","2034-35","RaceEthnicity","Hispanic (any race)","Projection","Projection","StateName","Rhode Island")+GETPIVOTDATA("Students",'[1]Race &amp; Ethnicity'!$A$4,"SchoolYear","2034-35","RaceEthnicity","Two or More Races","Projection","Estimate (Two or more races graduates after SY 2029-30","StateName","Rhode Island")+GETPIVOTDATA("Students",'[1]Race &amp; Ethnicity'!$A$4,"SchoolYear","2034-35","RaceEthnicity","White","Projection","Projection","StateName","Rhode Island")</f>
        <v>#REF!</v>
      </c>
      <c r="BW65" t="e">
        <f>GETPIVOTDATA("Students",'[1]Race &amp; Ethnicity'!$A$4,"SchoolYear","2035-36","RaceEthnicity","American Indian/Alaska Native","Projection","Projection","StateName","Rhode Island")+GETPIVOTDATA("Students",'[1]Race &amp; Ethnicity'!$A$4,"SchoolYear","2035-36","RaceEthnicity","Asian/Pacific Islander (Combined)","Projection","Projection","StateName","Rhode Island")+GETPIVOTDATA("Students",'[1]Race &amp; Ethnicity'!$A$4,"SchoolYear","2035-36","RaceEthnicity","Black","StateName","Rhode Island")+GETPIVOTDATA("Students",'[1]Race &amp; Ethnicity'!$A$4,"SchoolYear","2035-36","RaceEthnicity","Hispanic (any race)","Projection","Projection","StateName","Rhode Island")+GETPIVOTDATA("Students",'[1]Race &amp; Ethnicity'!$A$4,"SchoolYear","2035-36","RaceEthnicity","Two or More Races","Projection","Estimate (Two or more races graduates after SY 2029-30","StateName","Rhode Island")+GETPIVOTDATA("Students",'[1]Race &amp; Ethnicity'!$A$4,"SchoolYear","2035-36","RaceEthnicity","White","Projection","Projection","StateName","Rhode Island")</f>
        <v>#REF!</v>
      </c>
    </row>
    <row r="66" spans="1:75">
      <c r="A66" s="176" t="s">
        <v>86</v>
      </c>
      <c r="B66" s="434">
        <v>3175</v>
      </c>
      <c r="C66" s="116">
        <f t="shared" si="19"/>
        <v>3245</v>
      </c>
      <c r="D66" s="435">
        <v>3315</v>
      </c>
      <c r="E66" s="435">
        <v>3402</v>
      </c>
      <c r="F66" s="435">
        <v>3791</v>
      </c>
      <c r="G66" s="435">
        <v>4452</v>
      </c>
      <c r="H66" s="116">
        <f t="shared" si="20"/>
        <v>4780.6000000000004</v>
      </c>
      <c r="I66" s="435">
        <f t="shared" si="20"/>
        <v>5109.2000000000007</v>
      </c>
      <c r="J66" s="435">
        <f t="shared" si="20"/>
        <v>5437.8000000000011</v>
      </c>
      <c r="K66" s="435">
        <f t="shared" si="20"/>
        <v>5766.4000000000015</v>
      </c>
      <c r="L66" s="435">
        <v>6095</v>
      </c>
      <c r="M66" s="435">
        <v>5939</v>
      </c>
      <c r="N66" s="101">
        <v>5885</v>
      </c>
      <c r="O66" s="435">
        <v>6303</v>
      </c>
      <c r="P66" s="101">
        <v>6316</v>
      </c>
      <c r="Q66" s="435">
        <v>6455</v>
      </c>
      <c r="R66" s="436">
        <v>6559</v>
      </c>
      <c r="S66" s="436">
        <v>6699</v>
      </c>
      <c r="T66" s="436">
        <v>6773</v>
      </c>
      <c r="U66" s="436">
        <v>6721</v>
      </c>
      <c r="V66" s="436">
        <v>6733</v>
      </c>
      <c r="W66" s="435">
        <v>6424</v>
      </c>
      <c r="X66" s="434">
        <v>6513</v>
      </c>
      <c r="Y66" s="434">
        <v>6011</v>
      </c>
      <c r="Z66" s="434">
        <v>6002</v>
      </c>
      <c r="AA66" s="434">
        <v>5769</v>
      </c>
      <c r="AB66" s="434">
        <v>5794</v>
      </c>
      <c r="AC66" s="435">
        <v>5968</v>
      </c>
      <c r="AD66" s="434">
        <v>6177</v>
      </c>
      <c r="AE66" s="434">
        <v>5963</v>
      </c>
      <c r="AF66" s="434">
        <v>6127</v>
      </c>
      <c r="AG66" s="434">
        <v>5212</v>
      </c>
      <c r="AH66" s="434">
        <v>5231</v>
      </c>
      <c r="AI66" s="435">
        <v>5215</v>
      </c>
      <c r="AJ66" s="435">
        <v>5414</v>
      </c>
      <c r="AK66" s="435">
        <v>5871</v>
      </c>
      <c r="AL66" s="435">
        <v>5867</v>
      </c>
      <c r="AM66" s="435">
        <v>6181</v>
      </c>
      <c r="AN66" s="435">
        <v>6469</v>
      </c>
      <c r="AO66" s="435">
        <v>6521</v>
      </c>
      <c r="AP66" s="435">
        <v>6675</v>
      </c>
      <c r="AQ66" s="435">
        <v>6856</v>
      </c>
      <c r="AR66" s="435">
        <v>7083</v>
      </c>
      <c r="AS66" s="435">
        <v>6970</v>
      </c>
      <c r="AT66" s="435">
        <v>7100</v>
      </c>
      <c r="AU66" s="435">
        <v>7152</v>
      </c>
      <c r="AV66" s="435">
        <v>6779</v>
      </c>
      <c r="AW66" s="435">
        <v>7317</v>
      </c>
      <c r="AX66" s="435">
        <v>7392</v>
      </c>
      <c r="AY66" s="435">
        <v>7209</v>
      </c>
      <c r="AZ66" s="435">
        <v>7199</v>
      </c>
      <c r="BA66" s="435">
        <v>6932</v>
      </c>
      <c r="BB66" s="435">
        <v>6859</v>
      </c>
      <c r="BC66" s="435">
        <v>6491</v>
      </c>
      <c r="BD66" s="435">
        <v>5448.8680000000004</v>
      </c>
      <c r="BE66" s="435">
        <v>5408.4589999999998</v>
      </c>
      <c r="BF66" s="435">
        <v>5316.3739999999998</v>
      </c>
      <c r="BG66" s="435">
        <v>6080</v>
      </c>
      <c r="BH66" s="435">
        <v>5790</v>
      </c>
      <c r="BI66" s="435">
        <v>5710</v>
      </c>
      <c r="BJ66" s="101">
        <v>5640</v>
      </c>
      <c r="BK66" s="182">
        <v>5725.7147947986068</v>
      </c>
      <c r="BL66" s="179">
        <v>5895.7438663894482</v>
      </c>
      <c r="BM66" s="182">
        <v>5721.7511216988896</v>
      </c>
      <c r="BN66" s="182">
        <v>5527.1391706978884</v>
      </c>
      <c r="BO66" s="182">
        <v>5642.7066571130299</v>
      </c>
      <c r="BP66" s="182">
        <v>5479.0842513057505</v>
      </c>
      <c r="BQ66" s="182">
        <v>5393.6927861188096</v>
      </c>
      <c r="BR66" s="182">
        <v>5482.7638416015661</v>
      </c>
      <c r="BS66" s="182">
        <v>5520.2586506875568</v>
      </c>
      <c r="BT66" s="177" t="e">
        <f>GETPIVOTDATA("Students",'[1]Race &amp; Ethnicity'!$A$4,"SchoolYear","2032-33","RaceEthnicity","American Indian/Alaska Native","Projection","Projection","StateName","Vermont")+GETPIVOTDATA("Students",'[1]Race &amp; Ethnicity'!$A$4,"SchoolYear","2032-33","RaceEthnicity","Asian/Pacific Islander (Combined)","Projection","Projection","StateName","Vermont")+GETPIVOTDATA("Students",'[1]Race &amp; Ethnicity'!$A$4,"SchoolYear","2032-33","RaceEthnicity","Black","Projection","Projection","StateName","Vermont")+GETPIVOTDATA("Students",'[1]Race &amp; Ethnicity'!$A$4,"SchoolYear","2032-33","RaceEthnicity","Hispanic (any race)","Projection","Projection","StateName","Vermont")+GETPIVOTDATA("Students",'[1]Race &amp; Ethnicity'!$A$4,"SchoolYear","2032-33","RaceEthnicity","Two or More Races","Projection","Estimate (Two or more races graduates after SY 2029-30","StateName","Vermont")+GETPIVOTDATA("Students",'[1]Race &amp; Ethnicity'!$A$4,"SchoolYear","2032-33","RaceEthnicity","White","Projection","Projection","StateName","Vermont")</f>
        <v>#REF!</v>
      </c>
      <c r="BU66" s="177" t="e">
        <f>GETPIVOTDATA("Students",'[1]Race &amp; Ethnicity'!$A$4,"SchoolYear","2033-34","RaceEthnicity","American Indian/Alaska Native","Projection","Projection","StateName","Vermont")+GETPIVOTDATA("Students",'[1]Race &amp; Ethnicity'!$A$4,"SchoolYear","2033-34","RaceEthnicity","Asian/Pacific Islander (Combined)","Projection","Projection","StateName","Vermont")+GETPIVOTDATA("Students",'[1]Race &amp; Ethnicity'!$A$4,"SchoolYear","2033-34","RaceEthnicity","Black","Projection","Projection","StateName","Vermont")+GETPIVOTDATA("Students",'[1]Race &amp; Ethnicity'!$A$4,"SchoolYear","2033-34","RaceEthnicity","Hispanic (any race)","Projection","Projection","StateName","Vermont")+GETPIVOTDATA("Students",'[1]Race &amp; Ethnicity'!$A$4,"SchoolYear","2033-34","RaceEthnicity","Two or More Races","Projection","Estimate (Two or more races graduates after SY 2029-30","StateName","Vermont")+GETPIVOTDATA("Students",'[1]Race &amp; Ethnicity'!$A$4,"SchoolYear","2033-34","RaceEthnicity","White","Projection","Projection","StateName","Vermont")</f>
        <v>#REF!</v>
      </c>
      <c r="BV66" t="e">
        <f>GETPIVOTDATA("Students",'[1]Race &amp; Ethnicity'!$A$4,"SchoolYear","2034-35","RaceEthnicity","American Indian/Alaska Native","Projection","Projection","StateName","Vermont")+GETPIVOTDATA("Students",'[1]Race &amp; Ethnicity'!$A$4,"SchoolYear","2034-35","RaceEthnicity","Asian/Pacific Islander (Combined)","Projection","Projection","StateName","Vermont")+GETPIVOTDATA("Students",'[1]Race &amp; Ethnicity'!$A$4,"SchoolYear","2034-35","RaceEthnicity","Black","Projection","Projection","StateName","Vermont")+GETPIVOTDATA("Students",'[1]Race &amp; Ethnicity'!$A$4,"SchoolYear","2034-35","RaceEthnicity","Hispanic (any race)","Projection","Projection","StateName","Vermont")+GETPIVOTDATA("Students",'[1]Race &amp; Ethnicity'!$A$4,"SchoolYear","2034-35","RaceEthnicity","Two or More Races","Projection","Estimate (Two or more races graduates after SY 2029-30","StateName","Vermont")+GETPIVOTDATA("Students",'[1]Race &amp; Ethnicity'!$A$4,"SchoolYear","2034-35","RaceEthnicity","White","Projection","Projection","StateName","Vermont")</f>
        <v>#REF!</v>
      </c>
      <c r="BW66" t="e">
        <f>GETPIVOTDATA("Students",'[1]Race &amp; Ethnicity'!$A$4,"SchoolYear","2035-36","RaceEthnicity","American Indian/Alaska Native","Projection","Projection","StateName","Vermont")+GETPIVOTDATA("Students",'[1]Race &amp; Ethnicity'!$A$4,"SchoolYear","2035-36","RaceEthnicity","Asian/Pacific Islander (Combined)","Projection","Projection","StateName","Vermont")+GETPIVOTDATA("Students",'[1]Race &amp; Ethnicity'!$A$4,"SchoolYear","2035-36","RaceEthnicity","Black","StateName","Vermont")+GETPIVOTDATA("Students",'[1]Race &amp; Ethnicity'!$A$4,"SchoolYear","2035-36","RaceEthnicity","Hispanic (any race)","Projection","Projection","StateName","Vermont")+GETPIVOTDATA("Students",'[1]Race &amp; Ethnicity'!$A$4,"SchoolYear","2035-36","RaceEthnicity","Two or More Races","Projection","Estimate (Two or more races graduates after SY 2029-30","StateName","Vermont")+GETPIVOTDATA("Students",'[1]Race &amp; Ethnicity'!$A$4,"SchoolYear","2035-36","RaceEthnicity","White","Projection","Projection","StateName","Vermont")</f>
        <v>#REF!</v>
      </c>
    </row>
    <row r="67" spans="1:75">
      <c r="A67" s="111" t="s">
        <v>87</v>
      </c>
      <c r="B67" s="103">
        <v>3599</v>
      </c>
      <c r="C67" s="119">
        <f t="shared" si="19"/>
        <v>3558</v>
      </c>
      <c r="D67" s="104">
        <v>3517</v>
      </c>
      <c r="E67" s="104">
        <v>3527</v>
      </c>
      <c r="F67" s="104">
        <v>4058</v>
      </c>
      <c r="G67" s="104">
        <v>4709</v>
      </c>
      <c r="H67" s="119">
        <f t="shared" si="20"/>
        <v>4763.2</v>
      </c>
      <c r="I67" s="104">
        <f t="shared" si="20"/>
        <v>4817.3999999999996</v>
      </c>
      <c r="J67" s="104">
        <f t="shared" si="20"/>
        <v>4871.5999999999995</v>
      </c>
      <c r="K67" s="104">
        <f t="shared" si="20"/>
        <v>4925.7999999999993</v>
      </c>
      <c r="L67" s="104">
        <v>4980</v>
      </c>
      <c r="M67" s="104">
        <v>4760</v>
      </c>
      <c r="N67" s="105">
        <v>4965</v>
      </c>
      <c r="O67" s="104">
        <v>5213</v>
      </c>
      <c r="P67" s="106">
        <v>5540</v>
      </c>
      <c r="Q67" s="104">
        <v>5367</v>
      </c>
      <c r="R67" s="129">
        <v>5106</v>
      </c>
      <c r="S67" s="129">
        <v>5335</v>
      </c>
      <c r="T67" s="129">
        <v>5186</v>
      </c>
      <c r="U67" s="129">
        <v>5812</v>
      </c>
      <c r="V67" s="129">
        <v>4959</v>
      </c>
      <c r="W67" s="104">
        <v>4848</v>
      </c>
      <c r="X67" s="103">
        <v>4871</v>
      </c>
      <c r="Y67" s="103">
        <v>4909</v>
      </c>
      <c r="Z67" s="103">
        <v>4073</v>
      </c>
      <c r="AA67" s="103">
        <v>3940</v>
      </c>
      <c r="AB67" s="103">
        <v>3875</v>
      </c>
      <c r="AC67" s="104">
        <v>3842</v>
      </c>
      <c r="AD67" s="103">
        <v>3882</v>
      </c>
      <c r="AE67" s="103">
        <v>3565</v>
      </c>
      <c r="AF67" s="103">
        <v>3626</v>
      </c>
      <c r="AG67" s="103">
        <v>3369</v>
      </c>
      <c r="AH67" s="103">
        <v>3385</v>
      </c>
      <c r="AI67" s="104">
        <v>3136</v>
      </c>
      <c r="AJ67" s="104">
        <v>3207</v>
      </c>
      <c r="AK67" s="104">
        <v>2974</v>
      </c>
      <c r="AL67" s="104">
        <v>2696</v>
      </c>
      <c r="AM67" s="104">
        <v>2853</v>
      </c>
      <c r="AN67" s="104">
        <v>2777</v>
      </c>
      <c r="AO67" s="104">
        <v>2675</v>
      </c>
      <c r="AP67" s="104">
        <v>2695</v>
      </c>
      <c r="AQ67" s="104">
        <v>2808</v>
      </c>
      <c r="AR67" s="104">
        <v>3090</v>
      </c>
      <c r="AS67" s="104">
        <v>2725</v>
      </c>
      <c r="AT67" s="104">
        <v>3031</v>
      </c>
      <c r="AU67" s="104">
        <v>2781</v>
      </c>
      <c r="AV67" s="104">
        <v>3150</v>
      </c>
      <c r="AW67" s="104">
        <v>2944</v>
      </c>
      <c r="AX67" s="104">
        <v>3352</v>
      </c>
      <c r="AY67" s="104">
        <v>3517</v>
      </c>
      <c r="AZ67" s="104">
        <v>3602</v>
      </c>
      <c r="BA67" s="104">
        <v>3477</v>
      </c>
      <c r="BB67" s="104">
        <v>3860</v>
      </c>
      <c r="BC67" s="104">
        <v>3961</v>
      </c>
      <c r="BD67" s="104">
        <v>3131.4</v>
      </c>
      <c r="BE67" s="104">
        <v>3041.4</v>
      </c>
      <c r="BF67" s="104">
        <v>3376.9600000000005</v>
      </c>
      <c r="BG67" s="104">
        <v>3436</v>
      </c>
      <c r="BH67" s="104">
        <v>3534</v>
      </c>
      <c r="BI67" s="104">
        <v>3275</v>
      </c>
      <c r="BJ67" s="105">
        <v>3500</v>
      </c>
      <c r="BK67" s="183">
        <v>4685.5564675629739</v>
      </c>
      <c r="BL67" s="184">
        <v>5177.4592657555368</v>
      </c>
      <c r="BM67" s="183">
        <v>5023.9669077355484</v>
      </c>
      <c r="BN67" s="183">
        <v>4952.6653819788271</v>
      </c>
      <c r="BO67" s="183">
        <v>5075.716028929497</v>
      </c>
      <c r="BP67" s="183">
        <v>5170.9775689929993</v>
      </c>
      <c r="BQ67" s="183">
        <v>5243.993093414907</v>
      </c>
      <c r="BR67" s="183">
        <v>5149.3876433839041</v>
      </c>
      <c r="BS67" s="183">
        <v>5269.4492750803211</v>
      </c>
      <c r="BT67" s="177" t="e">
        <f>GETPIVOTDATA("Students",'[1]Race &amp; Ethnicity'!$A$4,"SchoolYear","2032-33","RaceEthnicity","American Indian/Alaska Native","Projection","Projection","StateName","District of Columbia")+GETPIVOTDATA("Students",'[1]Race &amp; Ethnicity'!$A$4,"SchoolYear","2032-33","RaceEthnicity","Asian/Pacific Islander (Combined)","Projection","Projection","StateName","District of Columbia")+GETPIVOTDATA("Students",'[1]Race &amp; Ethnicity'!$A$4,"SchoolYear","2032-33","RaceEthnicity","Black","Projection","Projection","StateName","District of Columbia")+GETPIVOTDATA("Students",'[1]Race &amp; Ethnicity'!$A$4,"SchoolYear","2032-33","RaceEthnicity","Hispanic (any race)","Projection","Projection","StateName","District of Columbia")+GETPIVOTDATA("Students",'[1]Race &amp; Ethnicity'!$A$4,"SchoolYear","2032-33","RaceEthnicity","Two or More Races","Projection","Estimate (Two or more races graduates after SY 2029-30","StateName","District of Columbia")+GETPIVOTDATA("Students",'[1]Race &amp; Ethnicity'!$A$4,"SchoolYear","2032-33","RaceEthnicity","White","Projection","Projection","StateName","District of Columbia")</f>
        <v>#REF!</v>
      </c>
      <c r="BU67" s="177" t="e">
        <f>GETPIVOTDATA("Students",'[1]Race &amp; Ethnicity'!$A$4,"SchoolYear","2033-34","RaceEthnicity","American Indian/Alaska Native","Projection","Projection","StateName","District of Columbia")+GETPIVOTDATA("Students",'[1]Race &amp; Ethnicity'!$A$4,"SchoolYear","2033-34","RaceEthnicity","Asian/Pacific Islander (Combined)","Projection","Projection","StateName","District of Columbia")+GETPIVOTDATA("Students",'[1]Race &amp; Ethnicity'!$A$4,"SchoolYear","2033-34","RaceEthnicity","Black","Projection","Projection","StateName","District of Columbia")+GETPIVOTDATA("Students",'[1]Race &amp; Ethnicity'!$A$4,"SchoolYear","2033-34","RaceEthnicity","Hispanic (any race)","Projection","Projection","StateName","District of Columbia")+GETPIVOTDATA("Students",'[1]Race &amp; Ethnicity'!$A$4,"SchoolYear","2033-34","RaceEthnicity","Two or More Races","Projection","Estimate (Two or more races graduates after SY 2029-30","StateName","District of Columbia")+GETPIVOTDATA("Students",'[1]Race &amp; Ethnicity'!$A$4,"SchoolYear","2033-34","RaceEthnicity","White","Projection","Projection","StateName","District of Columbia")</f>
        <v>#REF!</v>
      </c>
      <c r="BV67" t="e">
        <f>GETPIVOTDATA("Students",'[1]Race &amp; Ethnicity'!$A$4,"SchoolYear","2034-35","RaceEthnicity","American Indian/Alaska Native","Projection","Projection","StateName","District of Columbia")+GETPIVOTDATA("Students",'[1]Race &amp; Ethnicity'!$A$4,"SchoolYear","2034-35","RaceEthnicity","Asian/Pacific Islander (Combined)","Projection","Projection","StateName","District of Columbia")+GETPIVOTDATA("Students",'[1]Race &amp; Ethnicity'!$A$4,"SchoolYear","2034-35","RaceEthnicity","Black","Projection","Projection","StateName","District of Columbia")+GETPIVOTDATA("Students",'[1]Race &amp; Ethnicity'!$A$4,"SchoolYear","2034-35","RaceEthnicity","Hispanic (any race)","Projection","Projection","StateName","District of Columbia")+GETPIVOTDATA("Students",'[1]Race &amp; Ethnicity'!$A$4,"SchoolYear","2034-35","RaceEthnicity","Two or More Races","Projection","Estimate (Two or more races graduates after SY 2029-30","StateName","District of Columbia")+GETPIVOTDATA("Students",'[1]Race &amp; Ethnicity'!$A$4,"SchoolYear","2034-35","RaceEthnicity","White","Projection","Projection","StateName","District of Columbia")</f>
        <v>#REF!</v>
      </c>
      <c r="BW67" t="e">
        <f>GETPIVOTDATA("Students",'[1]Race &amp; Ethnicity'!$A$4,"SchoolYear","2035-36","RaceEthnicity","American Indian/Alaska Native","Projection","Projection","StateName","District of Columbia")+GETPIVOTDATA("Students",'[1]Race &amp; Ethnicity'!$A$4,"SchoolYear","2035-36","RaceEthnicity","Asian/Pacific Islander (Combined)","Projection","Projection","StateName","District of Columbia")+GETPIVOTDATA("Students",'[1]Race &amp; Ethnicity'!$A$4,"SchoolYear","2035-36","RaceEthnicity","Black","StateName","District of Columbia")+GETPIVOTDATA("Students",'[1]Race &amp; Ethnicity'!$A$4,"SchoolYear","2035-36","RaceEthnicity","Hispanic (any race)","Projection","Projection","StateName","District of Columbia")+GETPIVOTDATA("Students",'[1]Race &amp; Ethnicity'!$A$4,"SchoolYear","2035-36","RaceEthnicity","Two or More Races","Projection","Estimate (Two or more races graduates after SY 2029-30","StateName","District of Columbia")+GETPIVOTDATA("Students",'[1]Race &amp; Ethnicity'!$A$4,"SchoolYear","2035-36","RaceEthnicity","White","Projection","Projection","StateName","District of Columbia")</f>
        <v>#REF!</v>
      </c>
    </row>
    <row r="68" spans="1:75">
      <c r="BK68" s="41"/>
      <c r="BL68" s="41"/>
      <c r="BM68" s="41"/>
      <c r="BN68" s="41"/>
      <c r="BO68" s="41"/>
      <c r="BP68" s="41"/>
      <c r="BQ68" s="41"/>
      <c r="BR68" s="41"/>
      <c r="BS68" s="41"/>
    </row>
    <row r="69" spans="1:75">
      <c r="A69" s="76"/>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KB64"/>
  <sheetViews>
    <sheetView zoomScale="90" zoomScaleNormal="90" workbookViewId="0">
      <pane xSplit="1" ySplit="4" topLeftCell="B19" activePane="bottomRight" state="frozen"/>
      <selection pane="bottomRight" activeCell="E42" sqref="E42"/>
      <selection pane="bottomLeft"/>
      <selection pane="topRight"/>
    </sheetView>
  </sheetViews>
  <sheetFormatPr defaultColWidth="9.140625" defaultRowHeight="12.6"/>
  <cols>
    <col min="1" max="1" width="23.42578125" style="76" customWidth="1"/>
  </cols>
  <sheetData>
    <row r="1" spans="1:288" ht="12.95">
      <c r="A1" s="4"/>
      <c r="AK1" s="4"/>
      <c r="AL1" s="4"/>
      <c r="AM1" s="4"/>
      <c r="AN1" s="4"/>
      <c r="AO1" s="4"/>
      <c r="AP1" s="4"/>
      <c r="BZ1" s="4"/>
      <c r="CA1" s="4"/>
      <c r="CB1" s="4"/>
      <c r="CC1" s="4"/>
      <c r="CD1" s="4"/>
      <c r="CE1" s="4"/>
      <c r="DO1" s="4"/>
      <c r="DP1" s="4"/>
      <c r="DQ1" s="4"/>
      <c r="DR1" s="4"/>
      <c r="DS1" s="4"/>
      <c r="DT1" s="4"/>
      <c r="FD1" s="4"/>
      <c r="FE1" s="4"/>
      <c r="FF1" s="4"/>
      <c r="FG1" s="4"/>
      <c r="FH1" s="4"/>
      <c r="FI1" s="4"/>
      <c r="GS1" s="4"/>
      <c r="GT1" s="4"/>
      <c r="GU1" s="4"/>
      <c r="GV1" s="4"/>
      <c r="GW1" s="4"/>
      <c r="GX1" s="4"/>
      <c r="IH1" s="4"/>
      <c r="II1" s="4"/>
      <c r="IJ1" s="4"/>
      <c r="IK1" s="4"/>
      <c r="IL1" s="4"/>
      <c r="IM1" s="4"/>
    </row>
    <row r="3" spans="1:288" ht="12.95">
      <c r="B3" s="187" t="s">
        <v>343</v>
      </c>
      <c r="X3" s="252" t="s">
        <v>311</v>
      </c>
      <c r="Y3" s="177"/>
      <c r="Z3" s="177"/>
      <c r="AA3" s="177"/>
      <c r="AB3" s="177"/>
      <c r="AC3" s="177"/>
      <c r="AD3" s="177"/>
      <c r="AE3" s="177"/>
      <c r="AF3" s="177"/>
      <c r="AG3" s="177"/>
      <c r="AH3" s="177"/>
      <c r="AI3" s="177"/>
      <c r="AJ3" s="177"/>
      <c r="AK3" s="177"/>
      <c r="AL3" s="177"/>
      <c r="AM3" s="177"/>
      <c r="AN3" s="177"/>
      <c r="AO3" s="177"/>
      <c r="AP3" s="279"/>
      <c r="AQ3" s="40" t="s">
        <v>113</v>
      </c>
      <c r="BM3" s="252" t="s">
        <v>311</v>
      </c>
      <c r="BN3" s="177"/>
      <c r="BO3" s="177"/>
      <c r="BP3" s="177"/>
      <c r="BQ3" s="177"/>
      <c r="BR3" s="177"/>
      <c r="BS3" s="177"/>
      <c r="BT3" s="177"/>
      <c r="BU3" s="177"/>
      <c r="BV3" s="177"/>
      <c r="BW3" s="177"/>
      <c r="BX3" s="177"/>
      <c r="BY3" s="177"/>
      <c r="BZ3" s="177"/>
      <c r="CA3" s="177"/>
      <c r="CB3" s="177"/>
      <c r="CC3" s="177"/>
      <c r="CD3" s="177"/>
      <c r="CE3" s="177"/>
      <c r="CF3" s="187" t="s">
        <v>20</v>
      </c>
      <c r="DB3" s="252" t="s">
        <v>311</v>
      </c>
      <c r="DC3" s="177"/>
      <c r="DD3" s="177"/>
      <c r="DE3" s="177"/>
      <c r="DF3" s="177"/>
      <c r="DG3" s="177"/>
      <c r="DH3" s="177"/>
      <c r="DI3" s="177"/>
      <c r="DJ3" s="177"/>
      <c r="DK3" s="177"/>
      <c r="DL3" s="177"/>
      <c r="DM3" s="177"/>
      <c r="DN3" s="177"/>
      <c r="DO3" s="177"/>
      <c r="DP3" s="177"/>
      <c r="DQ3" s="177"/>
      <c r="DR3" s="177"/>
      <c r="DS3" s="177"/>
      <c r="DT3" s="177"/>
      <c r="DU3" s="187" t="s">
        <v>313</v>
      </c>
      <c r="EQ3" s="252" t="s">
        <v>311</v>
      </c>
      <c r="ER3" s="177"/>
      <c r="ES3" s="177"/>
      <c r="ET3" s="177"/>
      <c r="EU3" s="177"/>
      <c r="EV3" s="177"/>
      <c r="EW3" s="177"/>
      <c r="EX3" s="177"/>
      <c r="EY3" s="177"/>
      <c r="EZ3" s="177"/>
      <c r="FA3" s="177"/>
      <c r="FB3" s="177"/>
      <c r="FC3" s="177"/>
      <c r="FD3" s="177"/>
      <c r="FE3" s="177"/>
      <c r="FF3" s="177"/>
      <c r="FG3" s="177"/>
      <c r="FH3" s="177"/>
      <c r="FI3" s="177"/>
      <c r="FJ3" s="187" t="s">
        <v>21</v>
      </c>
      <c r="FO3" s="40"/>
      <c r="GF3" s="252" t="s">
        <v>311</v>
      </c>
      <c r="GG3" s="177"/>
      <c r="GH3" s="177"/>
      <c r="GI3" s="177"/>
      <c r="GJ3" s="177"/>
      <c r="GK3" s="177"/>
      <c r="GL3" s="177"/>
      <c r="GM3" s="177"/>
      <c r="GN3" s="177"/>
      <c r="GO3" s="177"/>
      <c r="GP3" s="177"/>
      <c r="GQ3" s="177"/>
      <c r="GR3" s="177"/>
      <c r="GS3" s="177"/>
      <c r="GT3" s="177"/>
      <c r="GU3" s="177"/>
      <c r="GV3" s="177"/>
      <c r="GW3" s="177"/>
      <c r="GX3" s="279"/>
      <c r="GY3" s="40" t="s">
        <v>314</v>
      </c>
      <c r="HU3" s="252" t="s">
        <v>311</v>
      </c>
      <c r="HV3" s="177"/>
      <c r="HW3" s="177"/>
      <c r="HX3" s="177"/>
      <c r="HY3" s="177"/>
      <c r="HZ3" s="177"/>
      <c r="IA3" s="177"/>
      <c r="IB3" s="177"/>
      <c r="IC3" s="177"/>
      <c r="ID3" s="177"/>
      <c r="IE3" s="177"/>
      <c r="IF3" s="177"/>
      <c r="IG3" s="177"/>
      <c r="IH3" s="177"/>
      <c r="II3" s="177"/>
      <c r="IJ3" s="177"/>
      <c r="IK3" s="177"/>
      <c r="IL3" s="177"/>
      <c r="IM3" s="177"/>
      <c r="IN3" s="272" t="s">
        <v>344</v>
      </c>
      <c r="IO3" s="273"/>
      <c r="IP3" s="273"/>
      <c r="IQ3" s="273"/>
      <c r="IR3" s="273"/>
      <c r="IS3" s="273"/>
      <c r="IT3" s="273"/>
      <c r="IU3" s="273"/>
      <c r="IV3" s="273"/>
      <c r="IW3" s="273"/>
      <c r="IX3" s="273"/>
      <c r="IY3" s="273"/>
      <c r="IZ3" s="273"/>
      <c r="JA3" s="273"/>
      <c r="JB3" s="273"/>
      <c r="JC3" s="273"/>
      <c r="JD3" s="273"/>
      <c r="JE3" s="273"/>
      <c r="JF3" s="273"/>
      <c r="JG3" s="274"/>
      <c r="JH3" s="273"/>
      <c r="JI3" s="273"/>
      <c r="JJ3" s="273"/>
      <c r="JK3" s="273"/>
      <c r="JL3" s="273"/>
      <c r="JM3" s="273"/>
      <c r="JN3" s="273"/>
      <c r="JO3" s="273"/>
      <c r="JP3" s="273"/>
      <c r="JQ3" s="273"/>
      <c r="JR3" s="273"/>
      <c r="JS3" s="273"/>
      <c r="JT3" s="273"/>
      <c r="JU3" s="273"/>
      <c r="JV3" s="273"/>
      <c r="JW3" s="273"/>
      <c r="JX3" s="273"/>
      <c r="JY3" s="273"/>
      <c r="JZ3" s="273"/>
      <c r="KA3" s="273"/>
      <c r="KB3" s="273"/>
    </row>
    <row r="4" spans="1:288" s="17" customFormat="1">
      <c r="B4" s="188" t="s">
        <v>216</v>
      </c>
      <c r="C4" s="172" t="s">
        <v>217</v>
      </c>
      <c r="D4" s="172" t="s">
        <v>270</v>
      </c>
      <c r="E4" s="172" t="s">
        <v>271</v>
      </c>
      <c r="F4" s="172" t="s">
        <v>272</v>
      </c>
      <c r="G4" s="172" t="s">
        <v>273</v>
      </c>
      <c r="H4" s="172" t="s">
        <v>274</v>
      </c>
      <c r="I4" s="172" t="s">
        <v>275</v>
      </c>
      <c r="J4" s="172" t="s">
        <v>276</v>
      </c>
      <c r="K4" s="172" t="s">
        <v>277</v>
      </c>
      <c r="L4" s="172" t="s">
        <v>278</v>
      </c>
      <c r="M4" s="172" t="s">
        <v>279</v>
      </c>
      <c r="N4" s="172" t="s">
        <v>280</v>
      </c>
      <c r="O4" s="172" t="s">
        <v>281</v>
      </c>
      <c r="P4" s="172" t="s">
        <v>282</v>
      </c>
      <c r="Q4" s="172" t="s">
        <v>283</v>
      </c>
      <c r="R4" s="172" t="s">
        <v>30</v>
      </c>
      <c r="S4" s="172" t="s">
        <v>232</v>
      </c>
      <c r="T4" s="172" t="s">
        <v>284</v>
      </c>
      <c r="U4" s="172" t="s">
        <v>95</v>
      </c>
      <c r="V4" s="172" t="s">
        <v>96</v>
      </c>
      <c r="W4" s="172" t="s">
        <v>97</v>
      </c>
      <c r="X4" s="178" t="s">
        <v>98</v>
      </c>
      <c r="Y4" s="178" t="s">
        <v>99</v>
      </c>
      <c r="Z4" s="178" t="s">
        <v>100</v>
      </c>
      <c r="AA4" s="178" t="s">
        <v>101</v>
      </c>
      <c r="AB4" s="178" t="s">
        <v>29</v>
      </c>
      <c r="AC4" s="178" t="s">
        <v>28</v>
      </c>
      <c r="AD4" s="178" t="s">
        <v>27</v>
      </c>
      <c r="AE4" s="178" t="s">
        <v>315</v>
      </c>
      <c r="AF4" s="178" t="s">
        <v>243</v>
      </c>
      <c r="AG4" s="178" t="s">
        <v>244</v>
      </c>
      <c r="AH4" s="178" t="s">
        <v>316</v>
      </c>
      <c r="AI4" s="178" t="s">
        <v>317</v>
      </c>
      <c r="AJ4" s="178" t="s">
        <v>318</v>
      </c>
      <c r="AK4" s="178" t="s">
        <v>319</v>
      </c>
      <c r="AL4" s="178" t="s">
        <v>320</v>
      </c>
      <c r="AM4" s="178" t="s">
        <v>321</v>
      </c>
      <c r="AN4" s="178" t="s">
        <v>322</v>
      </c>
      <c r="AO4" s="178" t="s">
        <v>323</v>
      </c>
      <c r="AP4" s="280" t="s">
        <v>324</v>
      </c>
      <c r="AQ4" s="172" t="s">
        <v>216</v>
      </c>
      <c r="AR4" s="172" t="s">
        <v>217</v>
      </c>
      <c r="AS4" s="172" t="s">
        <v>270</v>
      </c>
      <c r="AT4" s="172" t="s">
        <v>271</v>
      </c>
      <c r="AU4" s="172" t="s">
        <v>272</v>
      </c>
      <c r="AV4" s="172" t="s">
        <v>273</v>
      </c>
      <c r="AW4" s="172" t="s">
        <v>274</v>
      </c>
      <c r="AX4" s="172" t="s">
        <v>275</v>
      </c>
      <c r="AY4" s="172" t="s">
        <v>276</v>
      </c>
      <c r="AZ4" s="172" t="s">
        <v>277</v>
      </c>
      <c r="BA4" s="172" t="s">
        <v>278</v>
      </c>
      <c r="BB4" s="172" t="s">
        <v>279</v>
      </c>
      <c r="BC4" s="172" t="s">
        <v>280</v>
      </c>
      <c r="BD4" s="172" t="s">
        <v>281</v>
      </c>
      <c r="BE4" s="172" t="s">
        <v>282</v>
      </c>
      <c r="BF4" s="172" t="s">
        <v>283</v>
      </c>
      <c r="BG4" s="172" t="s">
        <v>30</v>
      </c>
      <c r="BH4" s="172" t="s">
        <v>232</v>
      </c>
      <c r="BI4" s="172" t="s">
        <v>284</v>
      </c>
      <c r="BJ4" s="172" t="s">
        <v>95</v>
      </c>
      <c r="BK4" s="172" t="s">
        <v>96</v>
      </c>
      <c r="BL4" s="172" t="s">
        <v>97</v>
      </c>
      <c r="BM4" s="178" t="s">
        <v>98</v>
      </c>
      <c r="BN4" s="178" t="s">
        <v>99</v>
      </c>
      <c r="BO4" s="178" t="s">
        <v>100</v>
      </c>
      <c r="BP4" s="178" t="s">
        <v>101</v>
      </c>
      <c r="BQ4" s="178" t="s">
        <v>29</v>
      </c>
      <c r="BR4" s="178" t="s">
        <v>28</v>
      </c>
      <c r="BS4" s="178" t="s">
        <v>27</v>
      </c>
      <c r="BT4" s="178" t="s">
        <v>315</v>
      </c>
      <c r="BU4" s="178" t="s">
        <v>243</v>
      </c>
      <c r="BV4" s="178" t="s">
        <v>244</v>
      </c>
      <c r="BW4" s="178" t="s">
        <v>316</v>
      </c>
      <c r="BX4" s="178" t="s">
        <v>317</v>
      </c>
      <c r="BY4" s="178" t="s">
        <v>318</v>
      </c>
      <c r="BZ4" s="178" t="s">
        <v>319</v>
      </c>
      <c r="CA4" s="178" t="s">
        <v>320</v>
      </c>
      <c r="CB4" s="178" t="s">
        <v>321</v>
      </c>
      <c r="CC4" s="178" t="s">
        <v>322</v>
      </c>
      <c r="CD4" s="178" t="s">
        <v>323</v>
      </c>
      <c r="CE4" s="178" t="s">
        <v>324</v>
      </c>
      <c r="CF4" s="188" t="s">
        <v>216</v>
      </c>
      <c r="CG4" s="172" t="s">
        <v>217</v>
      </c>
      <c r="CH4" s="172" t="s">
        <v>270</v>
      </c>
      <c r="CI4" s="172" t="s">
        <v>271</v>
      </c>
      <c r="CJ4" s="172" t="s">
        <v>272</v>
      </c>
      <c r="CK4" s="172" t="s">
        <v>273</v>
      </c>
      <c r="CL4" s="172" t="s">
        <v>274</v>
      </c>
      <c r="CM4" s="172" t="s">
        <v>275</v>
      </c>
      <c r="CN4" s="172" t="s">
        <v>276</v>
      </c>
      <c r="CO4" s="172" t="s">
        <v>277</v>
      </c>
      <c r="CP4" s="172" t="s">
        <v>278</v>
      </c>
      <c r="CQ4" s="172" t="s">
        <v>279</v>
      </c>
      <c r="CR4" s="172" t="s">
        <v>280</v>
      </c>
      <c r="CS4" s="172" t="s">
        <v>281</v>
      </c>
      <c r="CT4" s="172" t="s">
        <v>282</v>
      </c>
      <c r="CU4" s="172" t="s">
        <v>283</v>
      </c>
      <c r="CV4" s="172" t="s">
        <v>30</v>
      </c>
      <c r="CW4" s="172" t="s">
        <v>232</v>
      </c>
      <c r="CX4" s="172" t="s">
        <v>284</v>
      </c>
      <c r="CY4" s="172" t="s">
        <v>95</v>
      </c>
      <c r="CZ4" s="172" t="s">
        <v>96</v>
      </c>
      <c r="DA4" s="172" t="s">
        <v>97</v>
      </c>
      <c r="DB4" s="178" t="s">
        <v>98</v>
      </c>
      <c r="DC4" s="178" t="s">
        <v>99</v>
      </c>
      <c r="DD4" s="178" t="s">
        <v>100</v>
      </c>
      <c r="DE4" s="178" t="s">
        <v>101</v>
      </c>
      <c r="DF4" s="178" t="s">
        <v>29</v>
      </c>
      <c r="DG4" s="178" t="s">
        <v>28</v>
      </c>
      <c r="DH4" s="178" t="s">
        <v>27</v>
      </c>
      <c r="DI4" s="178" t="s">
        <v>315</v>
      </c>
      <c r="DJ4" s="178" t="s">
        <v>243</v>
      </c>
      <c r="DK4" s="178" t="s">
        <v>244</v>
      </c>
      <c r="DL4" s="178" t="s">
        <v>316</v>
      </c>
      <c r="DM4" s="178" t="s">
        <v>317</v>
      </c>
      <c r="DN4" s="178" t="s">
        <v>318</v>
      </c>
      <c r="DO4" s="178" t="s">
        <v>319</v>
      </c>
      <c r="DP4" s="178" t="s">
        <v>320</v>
      </c>
      <c r="DQ4" s="178" t="s">
        <v>321</v>
      </c>
      <c r="DR4" s="178" t="s">
        <v>322</v>
      </c>
      <c r="DS4" s="178" t="s">
        <v>323</v>
      </c>
      <c r="DT4" s="178" t="s">
        <v>324</v>
      </c>
      <c r="DU4" s="188" t="s">
        <v>216</v>
      </c>
      <c r="DV4" s="172" t="s">
        <v>217</v>
      </c>
      <c r="DW4" s="172" t="s">
        <v>270</v>
      </c>
      <c r="DX4" s="172" t="s">
        <v>271</v>
      </c>
      <c r="DY4" s="172" t="s">
        <v>272</v>
      </c>
      <c r="DZ4" s="172" t="s">
        <v>273</v>
      </c>
      <c r="EA4" s="172" t="s">
        <v>274</v>
      </c>
      <c r="EB4" s="172" t="s">
        <v>275</v>
      </c>
      <c r="EC4" s="172" t="s">
        <v>276</v>
      </c>
      <c r="ED4" s="172" t="s">
        <v>277</v>
      </c>
      <c r="EE4" s="172" t="s">
        <v>278</v>
      </c>
      <c r="EF4" s="172" t="s">
        <v>279</v>
      </c>
      <c r="EG4" s="172" t="s">
        <v>280</v>
      </c>
      <c r="EH4" s="172" t="s">
        <v>281</v>
      </c>
      <c r="EI4" s="172" t="s">
        <v>282</v>
      </c>
      <c r="EJ4" s="172" t="s">
        <v>283</v>
      </c>
      <c r="EK4" s="172" t="s">
        <v>30</v>
      </c>
      <c r="EL4" s="172" t="s">
        <v>232</v>
      </c>
      <c r="EM4" s="172" t="s">
        <v>284</v>
      </c>
      <c r="EN4" s="172" t="s">
        <v>95</v>
      </c>
      <c r="EO4" s="172" t="s">
        <v>96</v>
      </c>
      <c r="EP4" s="172" t="s">
        <v>97</v>
      </c>
      <c r="EQ4" s="178" t="s">
        <v>98</v>
      </c>
      <c r="ER4" s="178" t="s">
        <v>99</v>
      </c>
      <c r="ES4" s="178" t="s">
        <v>100</v>
      </c>
      <c r="ET4" s="178" t="s">
        <v>101</v>
      </c>
      <c r="EU4" s="178" t="s">
        <v>29</v>
      </c>
      <c r="EV4" s="178" t="s">
        <v>28</v>
      </c>
      <c r="EW4" s="178" t="s">
        <v>27</v>
      </c>
      <c r="EX4" s="178" t="s">
        <v>315</v>
      </c>
      <c r="EY4" s="178" t="s">
        <v>243</v>
      </c>
      <c r="EZ4" s="178" t="s">
        <v>244</v>
      </c>
      <c r="FA4" s="178" t="s">
        <v>316</v>
      </c>
      <c r="FB4" s="178" t="s">
        <v>317</v>
      </c>
      <c r="FC4" s="178" t="s">
        <v>318</v>
      </c>
      <c r="FD4" s="178" t="s">
        <v>319</v>
      </c>
      <c r="FE4" s="178" t="s">
        <v>320</v>
      </c>
      <c r="FF4" s="178" t="s">
        <v>321</v>
      </c>
      <c r="FG4" s="178" t="s">
        <v>322</v>
      </c>
      <c r="FH4" s="178" t="s">
        <v>323</v>
      </c>
      <c r="FI4" s="178" t="s">
        <v>324</v>
      </c>
      <c r="FJ4" s="188" t="s">
        <v>216</v>
      </c>
      <c r="FK4" s="172" t="s">
        <v>217</v>
      </c>
      <c r="FL4" s="172" t="s">
        <v>270</v>
      </c>
      <c r="FM4" s="172" t="s">
        <v>271</v>
      </c>
      <c r="FN4" s="172" t="s">
        <v>272</v>
      </c>
      <c r="FO4" s="172" t="s">
        <v>273</v>
      </c>
      <c r="FP4" s="172" t="s">
        <v>274</v>
      </c>
      <c r="FQ4" s="172" t="s">
        <v>275</v>
      </c>
      <c r="FR4" s="172" t="s">
        <v>276</v>
      </c>
      <c r="FS4" s="172" t="s">
        <v>277</v>
      </c>
      <c r="FT4" s="172" t="s">
        <v>278</v>
      </c>
      <c r="FU4" s="172" t="s">
        <v>279</v>
      </c>
      <c r="FV4" s="172" t="s">
        <v>280</v>
      </c>
      <c r="FW4" s="172" t="s">
        <v>281</v>
      </c>
      <c r="FX4" s="172" t="s">
        <v>282</v>
      </c>
      <c r="FY4" s="172" t="s">
        <v>283</v>
      </c>
      <c r="FZ4" s="172" t="s">
        <v>30</v>
      </c>
      <c r="GA4" s="172" t="s">
        <v>232</v>
      </c>
      <c r="GB4" s="172" t="s">
        <v>284</v>
      </c>
      <c r="GC4" s="172" t="s">
        <v>95</v>
      </c>
      <c r="GD4" s="172" t="s">
        <v>96</v>
      </c>
      <c r="GE4" s="172" t="s">
        <v>97</v>
      </c>
      <c r="GF4" s="178" t="s">
        <v>98</v>
      </c>
      <c r="GG4" s="178" t="s">
        <v>99</v>
      </c>
      <c r="GH4" s="178" t="s">
        <v>100</v>
      </c>
      <c r="GI4" s="178" t="s">
        <v>101</v>
      </c>
      <c r="GJ4" s="178" t="s">
        <v>29</v>
      </c>
      <c r="GK4" s="178" t="s">
        <v>28</v>
      </c>
      <c r="GL4" s="178" t="s">
        <v>27</v>
      </c>
      <c r="GM4" s="178" t="s">
        <v>315</v>
      </c>
      <c r="GN4" s="178" t="s">
        <v>243</v>
      </c>
      <c r="GO4" s="178" t="s">
        <v>244</v>
      </c>
      <c r="GP4" s="178" t="s">
        <v>316</v>
      </c>
      <c r="GQ4" s="178" t="s">
        <v>317</v>
      </c>
      <c r="GR4" s="178" t="s">
        <v>318</v>
      </c>
      <c r="GS4" s="178" t="s">
        <v>319</v>
      </c>
      <c r="GT4" s="178" t="s">
        <v>320</v>
      </c>
      <c r="GU4" s="178" t="s">
        <v>321</v>
      </c>
      <c r="GV4" s="178" t="s">
        <v>322</v>
      </c>
      <c r="GW4" s="178" t="s">
        <v>323</v>
      </c>
      <c r="GX4" s="280" t="s">
        <v>324</v>
      </c>
      <c r="GY4" s="172" t="s">
        <v>216</v>
      </c>
      <c r="GZ4" s="172" t="s">
        <v>217</v>
      </c>
      <c r="HA4" s="172" t="s">
        <v>270</v>
      </c>
      <c r="HB4" s="172" t="s">
        <v>271</v>
      </c>
      <c r="HC4" s="172" t="s">
        <v>272</v>
      </c>
      <c r="HD4" s="172" t="s">
        <v>273</v>
      </c>
      <c r="HE4" s="172" t="s">
        <v>274</v>
      </c>
      <c r="HF4" s="172" t="s">
        <v>275</v>
      </c>
      <c r="HG4" s="172" t="s">
        <v>276</v>
      </c>
      <c r="HH4" s="172" t="s">
        <v>277</v>
      </c>
      <c r="HI4" s="172" t="s">
        <v>278</v>
      </c>
      <c r="HJ4" s="172" t="s">
        <v>279</v>
      </c>
      <c r="HK4" s="172" t="s">
        <v>280</v>
      </c>
      <c r="HL4" s="172" t="s">
        <v>281</v>
      </c>
      <c r="HM4" s="172" t="s">
        <v>282</v>
      </c>
      <c r="HN4" s="172" t="s">
        <v>283</v>
      </c>
      <c r="HO4" s="172" t="s">
        <v>30</v>
      </c>
      <c r="HP4" s="172" t="s">
        <v>232</v>
      </c>
      <c r="HQ4" s="172" t="s">
        <v>284</v>
      </c>
      <c r="HR4" s="172" t="s">
        <v>95</v>
      </c>
      <c r="HS4" s="172" t="s">
        <v>96</v>
      </c>
      <c r="HT4" s="172" t="s">
        <v>97</v>
      </c>
      <c r="HU4" s="178" t="s">
        <v>98</v>
      </c>
      <c r="HV4" s="178" t="s">
        <v>99</v>
      </c>
      <c r="HW4" s="178" t="s">
        <v>100</v>
      </c>
      <c r="HX4" s="178" t="s">
        <v>101</v>
      </c>
      <c r="HY4" s="178" t="s">
        <v>29</v>
      </c>
      <c r="HZ4" s="178" t="s">
        <v>28</v>
      </c>
      <c r="IA4" s="178" t="s">
        <v>27</v>
      </c>
      <c r="IB4" s="178" t="s">
        <v>315</v>
      </c>
      <c r="IC4" s="178" t="s">
        <v>243</v>
      </c>
      <c r="ID4" s="178" t="s">
        <v>244</v>
      </c>
      <c r="IE4" s="178" t="s">
        <v>316</v>
      </c>
      <c r="IF4" s="178" t="s">
        <v>317</v>
      </c>
      <c r="IG4" s="178" t="s">
        <v>318</v>
      </c>
      <c r="IH4" s="178" t="s">
        <v>319</v>
      </c>
      <c r="II4" s="444" t="s">
        <v>320</v>
      </c>
      <c r="IJ4" s="444" t="s">
        <v>321</v>
      </c>
      <c r="IK4" s="444" t="s">
        <v>322</v>
      </c>
      <c r="IL4" s="444" t="s">
        <v>323</v>
      </c>
      <c r="IM4" s="444" t="s">
        <v>324</v>
      </c>
      <c r="IN4" s="275" t="s">
        <v>216</v>
      </c>
      <c r="IO4" s="276" t="s">
        <v>217</v>
      </c>
      <c r="IP4" s="276" t="s">
        <v>270</v>
      </c>
      <c r="IQ4" s="276" t="s">
        <v>271</v>
      </c>
      <c r="IR4" s="276" t="s">
        <v>272</v>
      </c>
      <c r="IS4" s="276" t="s">
        <v>273</v>
      </c>
      <c r="IT4" s="276" t="s">
        <v>274</v>
      </c>
      <c r="IU4" s="276" t="s">
        <v>275</v>
      </c>
      <c r="IV4" s="276" t="s">
        <v>276</v>
      </c>
      <c r="IW4" s="276" t="s">
        <v>277</v>
      </c>
      <c r="IX4" s="276" t="s">
        <v>278</v>
      </c>
      <c r="IY4" s="276" t="s">
        <v>279</v>
      </c>
      <c r="IZ4" s="276" t="s">
        <v>280</v>
      </c>
      <c r="JA4" s="276" t="s">
        <v>281</v>
      </c>
      <c r="JB4" s="276" t="s">
        <v>282</v>
      </c>
      <c r="JC4" s="276" t="s">
        <v>283</v>
      </c>
      <c r="JD4" s="276" t="s">
        <v>30</v>
      </c>
      <c r="JE4" s="276" t="s">
        <v>232</v>
      </c>
      <c r="JF4" s="276" t="s">
        <v>284</v>
      </c>
      <c r="JG4" s="276" t="s">
        <v>95</v>
      </c>
      <c r="JH4" s="276" t="s">
        <v>96</v>
      </c>
      <c r="JI4" s="276" t="s">
        <v>97</v>
      </c>
      <c r="JJ4" s="276" t="s">
        <v>98</v>
      </c>
      <c r="JK4" s="276" t="s">
        <v>99</v>
      </c>
      <c r="JL4" s="276" t="s">
        <v>100</v>
      </c>
      <c r="JM4" s="276" t="s">
        <v>101</v>
      </c>
      <c r="JN4" s="276" t="s">
        <v>29</v>
      </c>
      <c r="JO4" s="276" t="s">
        <v>28</v>
      </c>
      <c r="JP4" s="276" t="s">
        <v>27</v>
      </c>
      <c r="JQ4" s="276" t="s">
        <v>315</v>
      </c>
      <c r="JR4" s="276" t="s">
        <v>243</v>
      </c>
      <c r="JS4" s="276" t="s">
        <v>244</v>
      </c>
      <c r="JT4" s="276" t="s">
        <v>316</v>
      </c>
      <c r="JU4" s="276" t="s">
        <v>317</v>
      </c>
      <c r="JV4" s="276" t="s">
        <v>318</v>
      </c>
      <c r="JW4" s="276" t="s">
        <v>319</v>
      </c>
      <c r="JX4" s="276" t="s">
        <v>320</v>
      </c>
      <c r="JY4" s="443" t="s">
        <v>321</v>
      </c>
      <c r="JZ4" s="443" t="s">
        <v>322</v>
      </c>
      <c r="KA4" s="443" t="s">
        <v>323</v>
      </c>
      <c r="KB4" s="443" t="s">
        <v>324</v>
      </c>
    </row>
    <row r="5" spans="1:288" s="17" customFormat="1">
      <c r="A5" s="111" t="s">
        <v>31</v>
      </c>
      <c r="B5" s="264">
        <f>+'WICHE Public Grads-RE PROJ'!AR5/'WICHE Public Grads-RE PROJ'!B5</f>
        <v>0</v>
      </c>
      <c r="C5" s="264">
        <f>+'WICHE Public Grads-RE PROJ'!AS5/'WICHE Public Grads-RE PROJ'!C5</f>
        <v>0</v>
      </c>
      <c r="D5" s="264">
        <f>+'WICHE Public Grads-RE PROJ'!AT5/'WICHE Public Grads-RE PROJ'!D5</f>
        <v>5.4381657798196092E-2</v>
      </c>
      <c r="E5" s="264">
        <f>+'WICHE Public Grads-RE PROJ'!AU5/'WICHE Public Grads-RE PROJ'!E5</f>
        <v>5.3302560133024424E-2</v>
      </c>
      <c r="F5" s="264">
        <f>+'WICHE Public Grads-RE PROJ'!AV5/'WICHE Public Grads-RE PROJ'!F5</f>
        <v>5.3874730643468691E-2</v>
      </c>
      <c r="G5" s="264">
        <f>+'WICHE Public Grads-RE PROJ'!AW5/'WICHE Public Grads-RE PROJ'!G5</f>
        <v>5.3864003014815788E-2</v>
      </c>
      <c r="H5" s="264">
        <f>+'WICHE Public Grads-RE PROJ'!AX5/'WICHE Public Grads-RE PROJ'!H5</f>
        <v>5.5620000770609919E-2</v>
      </c>
      <c r="I5" s="264">
        <f>+'WICHE Public Grads-RE PROJ'!AY5/'WICHE Public Grads-RE PROJ'!I5</f>
        <v>5.6278987625107663E-2</v>
      </c>
      <c r="J5" s="264">
        <f>+'WICHE Public Grads-RE PROJ'!AZ5/'WICHE Public Grads-RE PROJ'!J5</f>
        <v>5.8088080078922806E-2</v>
      </c>
      <c r="K5" s="264">
        <f>+'WICHE Public Grads-RE PROJ'!BA5/'WICHE Public Grads-RE PROJ'!K5</f>
        <v>5.9547713732301881E-2</v>
      </c>
      <c r="L5" s="264">
        <f>+'WICHE Public Grads-RE PROJ'!BB5/'WICHE Public Grads-RE PROJ'!L5</f>
        <v>6.0630096059063124E-2</v>
      </c>
      <c r="M5" s="264">
        <f>+'WICHE Public Grads-RE PROJ'!BC5/'WICHE Public Grads-RE PROJ'!M5</f>
        <v>5.9739224949419967E-2</v>
      </c>
      <c r="N5" s="264">
        <f>+'WICHE Public Grads-RE PROJ'!BD5/'WICHE Public Grads-RE PROJ'!N5</f>
        <v>6.0199158851558882E-2</v>
      </c>
      <c r="O5" s="264">
        <f>+'WICHE Public Grads-RE PROJ'!BE5/'WICHE Public Grads-RE PROJ'!O5</f>
        <v>6.1806049010945788E-2</v>
      </c>
      <c r="P5" s="264">
        <f>+'WICHE Public Grads-RE PROJ'!BF5/'WICHE Public Grads-RE PROJ'!P5</f>
        <v>6.3955083720407813E-2</v>
      </c>
      <c r="Q5" s="264">
        <f>+'WICHE Public Grads-RE PROJ'!BG5/'WICHE Public Grads-RE PROJ'!Q5</f>
        <v>6.3747366529037744E-2</v>
      </c>
      <c r="R5" s="264">
        <f>+'WICHE Public Grads-RE PROJ'!BH5/'WICHE Public Grads-RE PROJ'!R5</f>
        <v>6.3874200064837766E-2</v>
      </c>
      <c r="S5" s="264">
        <f>+'WICHE Public Grads-RE PROJ'!BI5/'WICHE Public Grads-RE PROJ'!S5</f>
        <v>6.5728072121306505E-2</v>
      </c>
      <c r="T5" s="264">
        <f>+'WICHE Public Grads-RE PROJ'!BJ5/'WICHE Public Grads-RE PROJ'!T5</f>
        <v>6.4994056531519226E-2</v>
      </c>
      <c r="U5" s="264">
        <f>+'WICHE Public Grads-RE PROJ'!BK5/'WICHE Public Grads-RE PROJ'!U5</f>
        <v>6.5438272757765648E-2</v>
      </c>
      <c r="V5" s="264">
        <f>+'WICHE Public Grads-RE PROJ'!BL5/'WICHE Public Grads-RE PROJ'!V5</f>
        <v>6.7010210274054446E-2</v>
      </c>
      <c r="W5" s="264">
        <f>+'WICHE Public Grads-RE PROJ'!BM5/'WICHE Public Grads-RE PROJ'!W5</f>
        <v>6.8039178929706526E-2</v>
      </c>
      <c r="X5" s="265">
        <f>+'WICHE Public Grads-RE PROJ'!BN5/'WICHE Public Grads-RE PROJ'!Y5</f>
        <v>6.8455448752766032E-2</v>
      </c>
      <c r="Y5" s="265">
        <f>+'WICHE Public Grads-RE PROJ'!BO5/'WICHE Public Grads-RE PROJ'!Z5</f>
        <v>6.8693056241892841E-2</v>
      </c>
      <c r="Z5" s="265">
        <f>+'WICHE Public Grads-RE PROJ'!BP5/'WICHE Public Grads-RE PROJ'!AA5</f>
        <v>6.793664918159599E-2</v>
      </c>
      <c r="AA5" s="265">
        <f>+'WICHE Public Grads-RE PROJ'!BQ5/'WICHE Public Grads-RE PROJ'!AB5</f>
        <v>6.819194487424568E-2</v>
      </c>
      <c r="AB5" s="265">
        <f>+'WICHE Public Grads-RE PROJ'!BR5/'WICHE Public Grads-RE PROJ'!AC5</f>
        <v>7.0620433849831327E-2</v>
      </c>
      <c r="AC5" s="265">
        <f>+'WICHE Public Grads-RE PROJ'!BS5/'WICHE Public Grads-RE PROJ'!AD5</f>
        <v>7.0171474327376568E-2</v>
      </c>
      <c r="AD5" s="265">
        <f>+'WICHE Public Grads-RE PROJ'!BT5/'WICHE Public Grads-RE PROJ'!AE5</f>
        <v>7.1320367892595493E-2</v>
      </c>
      <c r="AE5" s="265">
        <f>+'WICHE Public Grads-RE PROJ'!BU5/'WICHE Public Grads-RE PROJ'!AF5</f>
        <v>7.3111718099854825E-2</v>
      </c>
      <c r="AF5" s="265">
        <f>+'WICHE Public Grads-RE PROJ'!BV5/'WICHE Public Grads-RE PROJ'!AG5</f>
        <v>7.3741155093563826E-2</v>
      </c>
      <c r="AG5" s="265">
        <f>+'WICHE Public Grads-RE PROJ'!BW5/'WICHE Public Grads-RE PROJ'!AH5</f>
        <v>7.2907995382919963E-2</v>
      </c>
      <c r="AH5" s="265">
        <f>+'WICHE Public Grads-RE PROJ'!BX5/'WICHE Public Grads-RE PROJ'!AI5</f>
        <v>7.143724397387971E-2</v>
      </c>
      <c r="AI5" s="265">
        <f>+'WICHE Public Grads-RE PROJ'!BY5/'WICHE Public Grads-RE PROJ'!AJ5</f>
        <v>7.0808098167338449E-2</v>
      </c>
      <c r="AJ5" s="265">
        <f>+'WICHE Public Grads-RE PROJ'!BZ5/'WICHE Public Grads-RE PROJ'!AK5</f>
        <v>7.5428160316728318E-2</v>
      </c>
      <c r="AK5" s="265">
        <f>+'WICHE Public Grads-RE PROJ'!CA5/'WICHE Public Grads-RE PROJ'!AL5</f>
        <v>7.6976542597414113E-2</v>
      </c>
      <c r="AL5" s="265">
        <f>+'WICHE Public Grads-RE PROJ'!CB5/'WICHE Public Grads-RE PROJ'!AM5</f>
        <v>7.767455880029292E-2</v>
      </c>
      <c r="AM5" s="265">
        <f>+'WICHE Public Grads-RE PROJ'!CC5/'WICHE Public Grads-RE PROJ'!AN5</f>
        <v>7.8442015602004991E-2</v>
      </c>
      <c r="AN5" s="265">
        <f>+'WICHE Public Grads-RE PROJ'!CD5/'WICHE Public Grads-RE PROJ'!AO5</f>
        <v>8.3416919535683087E-2</v>
      </c>
      <c r="AO5" s="265">
        <f>+'WICHE Public Grads-RE PROJ'!CE5/'WICHE Public Grads-RE PROJ'!AP5</f>
        <v>8.2514394783891901E-2</v>
      </c>
      <c r="AP5" s="281">
        <f>+'WICHE Public Grads-RE PROJ'!CF5/'WICHE Public Grads-RE PROJ'!AQ5</f>
        <v>8.5835565845139808E-2</v>
      </c>
      <c r="AQ5" s="264">
        <f>+'WICHE Public Grads-RE PROJ'!CG5/'WICHE Public Grads-RE PROJ'!B5</f>
        <v>0</v>
      </c>
      <c r="AR5" s="264">
        <f>+'WICHE Public Grads-RE PROJ'!CH5/'WICHE Public Grads-RE PROJ'!C5</f>
        <v>0</v>
      </c>
      <c r="AS5" s="264">
        <f>+'WICHE Public Grads-RE PROJ'!CI5/'WICHE Public Grads-RE PROJ'!D5</f>
        <v>9.1524535831430994E-3</v>
      </c>
      <c r="AT5" s="264">
        <f>+'WICHE Public Grads-RE PROJ'!CJ5/'WICHE Public Grads-RE PROJ'!E5</f>
        <v>9.4744136439527792E-3</v>
      </c>
      <c r="AU5" s="264">
        <f>+'WICHE Public Grads-RE PROJ'!CK5/'WICHE Public Grads-RE PROJ'!F5</f>
        <v>9.3309537526125273E-3</v>
      </c>
      <c r="AV5" s="264">
        <f>+'WICHE Public Grads-RE PROJ'!CL5/'WICHE Public Grads-RE PROJ'!G5</f>
        <v>9.3713346911295826E-3</v>
      </c>
      <c r="AW5" s="264">
        <f>+'WICHE Public Grads-RE PROJ'!CM5/'WICHE Public Grads-RE PROJ'!H5</f>
        <v>9.5768777673299107E-3</v>
      </c>
      <c r="AX5" s="264">
        <f>+'WICHE Public Grads-RE PROJ'!CN5/'WICHE Public Grads-RE PROJ'!I5</f>
        <v>9.6022985333654633E-3</v>
      </c>
      <c r="AY5" s="264">
        <f>+'WICHE Public Grads-RE PROJ'!CO5/'WICHE Public Grads-RE PROJ'!J5</f>
        <v>9.8606514264812026E-3</v>
      </c>
      <c r="AZ5" s="264">
        <f>+'WICHE Public Grads-RE PROJ'!CP5/'WICHE Public Grads-RE PROJ'!K5</f>
        <v>1.0173645393986455E-2</v>
      </c>
      <c r="BA5" s="264">
        <f>+'WICHE Public Grads-RE PROJ'!CQ5/'WICHE Public Grads-RE PROJ'!L5</f>
        <v>1.0261624699584289E-2</v>
      </c>
      <c r="BB5" s="264">
        <f>+'WICHE Public Grads-RE PROJ'!CR5/'WICHE Public Grads-RE PROJ'!M5</f>
        <v>1.007059367336937E-2</v>
      </c>
      <c r="BC5" s="264">
        <f>+'WICHE Public Grads-RE PROJ'!CS5/'WICHE Public Grads-RE PROJ'!N5</f>
        <v>1.0265431964318129E-2</v>
      </c>
      <c r="BD5" s="264">
        <f>+'WICHE Public Grads-RE PROJ'!CT5/'WICHE Public Grads-RE PROJ'!O5</f>
        <v>1.0879921240400107E-2</v>
      </c>
      <c r="BE5" s="264">
        <f>+'WICHE Public Grads-RE PROJ'!CU5/'WICHE Public Grads-RE PROJ'!P5</f>
        <v>1.0373525100482972E-2</v>
      </c>
      <c r="BF5" s="264">
        <f>+'WICHE Public Grads-RE PROJ'!CV5/'WICHE Public Grads-RE PROJ'!Q5</f>
        <v>1.0576399606642828E-2</v>
      </c>
      <c r="BG5" s="264">
        <f>+'WICHE Public Grads-RE PROJ'!CW5/'WICHE Public Grads-RE PROJ'!R5</f>
        <v>1.0682572466870597E-2</v>
      </c>
      <c r="BH5" s="264">
        <f>+'WICHE Public Grads-RE PROJ'!CX5/'WICHE Public Grads-RE PROJ'!S5</f>
        <v>1.0647091424464685E-2</v>
      </c>
      <c r="BI5" s="264">
        <f>+'WICHE Public Grads-RE PROJ'!CY5/'WICHE Public Grads-RE PROJ'!T5</f>
        <v>1.0982075292310456E-2</v>
      </c>
      <c r="BJ5" s="264">
        <f>+'WICHE Public Grads-RE PROJ'!CZ5/'WICHE Public Grads-RE PROJ'!U5</f>
        <v>1.0637110887939567E-2</v>
      </c>
      <c r="BK5" s="264">
        <f>+'WICHE Public Grads-RE PROJ'!DA5/'WICHE Public Grads-RE PROJ'!V5</f>
        <v>1.0549962444602488E-2</v>
      </c>
      <c r="BL5" s="264">
        <f>+'WICHE Public Grads-RE PROJ'!DB5/'WICHE Public Grads-RE PROJ'!W5</f>
        <v>1.0080361699302084E-2</v>
      </c>
      <c r="BM5" s="265">
        <f>+'WICHE Public Grads-RE PROJ'!DC5/'WICHE Public Grads-RE PROJ'!Y5</f>
        <v>9.7951420298483215E-3</v>
      </c>
      <c r="BN5" s="265">
        <f>+'WICHE Public Grads-RE PROJ'!DD5/'WICHE Public Grads-RE PROJ'!Z5</f>
        <v>9.6009330339009435E-3</v>
      </c>
      <c r="BO5" s="265">
        <f>+'WICHE Public Grads-RE PROJ'!DE5/'WICHE Public Grads-RE PROJ'!AA5</f>
        <v>9.6108282089407675E-3</v>
      </c>
      <c r="BP5" s="265">
        <f>+'WICHE Public Grads-RE PROJ'!DF5/'WICHE Public Grads-RE PROJ'!AB5</f>
        <v>9.3945038818308915E-3</v>
      </c>
      <c r="BQ5" s="265">
        <f>+'WICHE Public Grads-RE PROJ'!DG5/'WICHE Public Grads-RE PROJ'!AC5</f>
        <v>9.08373897939024E-3</v>
      </c>
      <c r="BR5" s="265">
        <f>+'WICHE Public Grads-RE PROJ'!DH5/'WICHE Public Grads-RE PROJ'!AD5</f>
        <v>8.7850541958560315E-3</v>
      </c>
      <c r="BS5" s="265">
        <f>+'WICHE Public Grads-RE PROJ'!DI5/'WICHE Public Grads-RE PROJ'!AE5</f>
        <v>8.6724762012625693E-3</v>
      </c>
      <c r="BT5" s="265">
        <f>+'WICHE Public Grads-RE PROJ'!DJ5/'WICHE Public Grads-RE PROJ'!AF5</f>
        <v>8.3713099995824762E-3</v>
      </c>
      <c r="BU5" s="265">
        <f>+'WICHE Public Grads-RE PROJ'!DK5/'WICHE Public Grads-RE PROJ'!AG5</f>
        <v>8.2194540101904329E-3</v>
      </c>
      <c r="BV5" s="265">
        <f>+'WICHE Public Grads-RE PROJ'!DL5/'WICHE Public Grads-RE PROJ'!AH5</f>
        <v>8.0454108175097242E-3</v>
      </c>
      <c r="BW5" s="265">
        <f>+'WICHE Public Grads-RE PROJ'!DM5/'WICHE Public Grads-RE PROJ'!AI5</f>
        <v>7.8615102158088764E-3</v>
      </c>
      <c r="BX5" s="265">
        <f>+'WICHE Public Grads-RE PROJ'!DN5/'WICHE Public Grads-RE PROJ'!AJ5</f>
        <v>7.6565273970539971E-3</v>
      </c>
      <c r="BY5" s="265">
        <f>+'WICHE Public Grads-RE PROJ'!DO5/'WICHE Public Grads-RE PROJ'!AK5</f>
        <v>8.1511026800096947E-3</v>
      </c>
      <c r="BZ5" s="265">
        <f>+'WICHE Public Grads-RE PROJ'!DP5/'WICHE Public Grads-RE PROJ'!AL5</f>
        <v>8.1818608020173891E-3</v>
      </c>
      <c r="CA5" s="265">
        <f>+'WICHE Public Grads-RE PROJ'!DQ5/'WICHE Public Grads-RE PROJ'!AM5</f>
        <v>8.0408752793205557E-3</v>
      </c>
      <c r="CB5" s="265">
        <f>+'WICHE Public Grads-RE PROJ'!DR5/'WICHE Public Grads-RE PROJ'!AN5</f>
        <v>7.8056939182034272E-3</v>
      </c>
      <c r="CC5" s="265">
        <f>+'WICHE Public Grads-RE PROJ'!DS5/'WICHE Public Grads-RE PROJ'!AO5</f>
        <v>7.7497870273307646E-3</v>
      </c>
      <c r="CD5" s="265">
        <f>+'WICHE Public Grads-RE PROJ'!DT5/'WICHE Public Grads-RE PROJ'!AP5</f>
        <v>7.7405388237474287E-3</v>
      </c>
      <c r="CE5" s="442">
        <f>+'WICHE Public Grads-RE PROJ'!DU5/'WICHE Public Grads-RE PROJ'!AQ5</f>
        <v>7.4305008347600558E-3</v>
      </c>
      <c r="CF5" s="264">
        <f>+'WICHE Public Grads-RE PROJ'!DV5/'WICHE Public Grads-RE PROJ'!B5</f>
        <v>0</v>
      </c>
      <c r="CG5" s="264">
        <f>+'WICHE Public Grads-RE PROJ'!DW5/'WICHE Public Grads-RE PROJ'!C5</f>
        <v>0</v>
      </c>
      <c r="CH5" s="264">
        <f>+'WICHE Public Grads-RE PROJ'!DX5/'WICHE Public Grads-RE PROJ'!D5</f>
        <v>4.5229204215052998E-2</v>
      </c>
      <c r="CI5" s="264">
        <f>+'WICHE Public Grads-RE PROJ'!DY5/'WICHE Public Grads-RE PROJ'!E5</f>
        <v>4.3828146489071643E-2</v>
      </c>
      <c r="CJ5" s="264">
        <f>+'WICHE Public Grads-RE PROJ'!DZ5/'WICHE Public Grads-RE PROJ'!F5</f>
        <v>4.454377689085616E-2</v>
      </c>
      <c r="CK5" s="264">
        <f>+'WICHE Public Grads-RE PROJ'!EA5/'WICHE Public Grads-RE PROJ'!G5</f>
        <v>4.4492668323686202E-2</v>
      </c>
      <c r="CL5" s="264">
        <f>+'WICHE Public Grads-RE PROJ'!EB5/'WICHE Public Grads-RE PROJ'!H5</f>
        <v>4.6043123003280013E-2</v>
      </c>
      <c r="CM5" s="264">
        <f>+'WICHE Public Grads-RE PROJ'!EC5/'WICHE Public Grads-RE PROJ'!I5</f>
        <v>4.6676689091742198E-2</v>
      </c>
      <c r="CN5" s="264">
        <f>+'WICHE Public Grads-RE PROJ'!ED5/'WICHE Public Grads-RE PROJ'!J5</f>
        <v>4.8227428652441603E-2</v>
      </c>
      <c r="CO5" s="264">
        <f>+'WICHE Public Grads-RE PROJ'!EE5/'WICHE Public Grads-RE PROJ'!K5</f>
        <v>4.9374068338315431E-2</v>
      </c>
      <c r="CP5" s="264">
        <f>+'WICHE Public Grads-RE PROJ'!EF5/'WICHE Public Grads-RE PROJ'!L5</f>
        <v>5.0368471359478834E-2</v>
      </c>
      <c r="CQ5" s="264">
        <f>+'WICHE Public Grads-RE PROJ'!EG5/'WICHE Public Grads-RE PROJ'!M5</f>
        <v>4.9668631276050597E-2</v>
      </c>
      <c r="CR5" s="264">
        <f>+'WICHE Public Grads-RE PROJ'!EH5/'WICHE Public Grads-RE PROJ'!N5</f>
        <v>4.9933726887240758E-2</v>
      </c>
      <c r="CS5" s="264">
        <f>+'WICHE Public Grads-RE PROJ'!EI5/'WICHE Public Grads-RE PROJ'!O5</f>
        <v>5.0926127770545684E-2</v>
      </c>
      <c r="CT5" s="264">
        <f>+'WICHE Public Grads-RE PROJ'!EJ5/'WICHE Public Grads-RE PROJ'!P5</f>
        <v>5.3581558619924849E-2</v>
      </c>
      <c r="CU5" s="264">
        <f>+'WICHE Public Grads-RE PROJ'!EK5/'WICHE Public Grads-RE PROJ'!Q5</f>
        <v>5.3170966922394917E-2</v>
      </c>
      <c r="CV5" s="264">
        <f>+'WICHE Public Grads-RE PROJ'!EL5/'WICHE Public Grads-RE PROJ'!R5</f>
        <v>5.3191627597967174E-2</v>
      </c>
      <c r="CW5" s="264">
        <f>+'WICHE Public Grads-RE PROJ'!EM5/'WICHE Public Grads-RE PROJ'!S5</f>
        <v>5.5080980696841829E-2</v>
      </c>
      <c r="CX5" s="264">
        <f>+'WICHE Public Grads-RE PROJ'!EN5/'WICHE Public Grads-RE PROJ'!T5</f>
        <v>5.4011981239208764E-2</v>
      </c>
      <c r="CY5" s="264">
        <f>+'WICHE Public Grads-RE PROJ'!EO5/'WICHE Public Grads-RE PROJ'!U5</f>
        <v>5.480116186982608E-2</v>
      </c>
      <c r="CZ5" s="264">
        <f>+'WICHE Public Grads-RE PROJ'!EP5/'WICHE Public Grads-RE PROJ'!V5</f>
        <v>5.6460247829451964E-2</v>
      </c>
      <c r="DA5" s="264">
        <f>+'WICHE Public Grads-RE PROJ'!EQ5/'WICHE Public Grads-RE PROJ'!W5</f>
        <v>5.7958817230404434E-2</v>
      </c>
      <c r="DB5" s="265">
        <f>+'WICHE Public Grads-RE PROJ'!ER5/'WICHE Public Grads-RE PROJ'!Y5</f>
        <v>5.86603067229177E-2</v>
      </c>
      <c r="DC5" s="265">
        <f>+'WICHE Public Grads-RE PROJ'!ES5/'WICHE Public Grads-RE PROJ'!Z5</f>
        <v>5.9092123207991898E-2</v>
      </c>
      <c r="DD5" s="265">
        <f>+'WICHE Public Grads-RE PROJ'!ET5/'WICHE Public Grads-RE PROJ'!AA5</f>
        <v>5.8325820972655228E-2</v>
      </c>
      <c r="DE5" s="265">
        <f>+'WICHE Public Grads-RE PROJ'!EU5/'WICHE Public Grads-RE PROJ'!AB5</f>
        <v>5.8797440992414789E-2</v>
      </c>
      <c r="DF5" s="265">
        <f>+'WICHE Public Grads-RE PROJ'!EV5/'WICHE Public Grads-RE PROJ'!AC5</f>
        <v>6.1536694870441083E-2</v>
      </c>
      <c r="DG5" s="265">
        <f>+'WICHE Public Grads-RE PROJ'!EW5/'WICHE Public Grads-RE PROJ'!AD5</f>
        <v>6.1386420131520535E-2</v>
      </c>
      <c r="DH5" s="265">
        <f>+'WICHE Public Grads-RE PROJ'!EX5/'WICHE Public Grads-RE PROJ'!AE5</f>
        <v>6.2647891691332933E-2</v>
      </c>
      <c r="DI5" s="265">
        <f>+'WICHE Public Grads-RE PROJ'!EY5/'WICHE Public Grads-RE PROJ'!AF5</f>
        <v>6.4740408100272345E-2</v>
      </c>
      <c r="DJ5" s="265">
        <f>+'WICHE Public Grads-RE PROJ'!EZ5/'WICHE Public Grads-RE PROJ'!AG5</f>
        <v>6.5521701083373393E-2</v>
      </c>
      <c r="DK5" s="265">
        <f>+'WICHE Public Grads-RE PROJ'!FA5/'WICHE Public Grads-RE PROJ'!AH5</f>
        <v>6.4862584565410233E-2</v>
      </c>
      <c r="DL5" s="265">
        <f>+'WICHE Public Grads-RE PROJ'!FB5/'WICHE Public Grads-RE PROJ'!AI5</f>
        <v>6.3575733758070824E-2</v>
      </c>
      <c r="DM5" s="265">
        <f>+'WICHE Public Grads-RE PROJ'!FC5/'WICHE Public Grads-RE PROJ'!AJ5</f>
        <v>6.3151570770284465E-2</v>
      </c>
      <c r="DN5" s="265">
        <f>+'WICHE Public Grads-RE PROJ'!FD5/'WICHE Public Grads-RE PROJ'!AK5</f>
        <v>6.7277057636718637E-2</v>
      </c>
      <c r="DO5" s="265">
        <f>+'WICHE Public Grads-RE PROJ'!FE5/'WICHE Public Grads-RE PROJ'!AL5</f>
        <v>6.8794681795396731E-2</v>
      </c>
      <c r="DP5" s="265">
        <f>+'WICHE Public Grads-RE PROJ'!FF5/'WICHE Public Grads-RE PROJ'!AM5</f>
        <v>6.9633683520972364E-2</v>
      </c>
      <c r="DQ5" s="265">
        <f>+'WICHE Public Grads-RE PROJ'!FG5/'WICHE Public Grads-RE PROJ'!AN5</f>
        <v>7.0636321683801573E-2</v>
      </c>
      <c r="DR5" s="265">
        <f>+'WICHE Public Grads-RE PROJ'!FH5/'WICHE Public Grads-RE PROJ'!AO5</f>
        <v>7.5667132508352317E-2</v>
      </c>
      <c r="DS5" s="265">
        <f>+'WICHE Public Grads-RE PROJ'!FI5/'WICHE Public Grads-RE PROJ'!AP5</f>
        <v>7.4773855960144464E-2</v>
      </c>
      <c r="DT5" s="442">
        <f>+'WICHE Public Grads-RE PROJ'!FJ5/'WICHE Public Grads-RE PROJ'!AQ5</f>
        <v>7.8405065010379749E-2</v>
      </c>
      <c r="DU5" s="264">
        <f>+'WICHE Public Grads-RE PROJ'!FK5/'WICHE Public Grads-RE PROJ'!B5</f>
        <v>0</v>
      </c>
      <c r="DV5" s="264">
        <f>+'WICHE Public Grads-RE PROJ'!FL5/'WICHE Public Grads-RE PROJ'!C5</f>
        <v>0</v>
      </c>
      <c r="DW5" s="264">
        <f>+'WICHE Public Grads-RE PROJ'!FM5/'WICHE Public Grads-RE PROJ'!D5</f>
        <v>0.12872599322011352</v>
      </c>
      <c r="DX5" s="264">
        <f>+'WICHE Public Grads-RE PROJ'!FN5/'WICHE Public Grads-RE PROJ'!E5</f>
        <v>0.12854586182862215</v>
      </c>
      <c r="DY5" s="264">
        <f>+'WICHE Public Grads-RE PROJ'!FO5/'WICHE Public Grads-RE PROJ'!F5</f>
        <v>0.12934396245318697</v>
      </c>
      <c r="DZ5" s="264">
        <f>+'WICHE Public Grads-RE PROJ'!FP5/'WICHE Public Grads-RE PROJ'!G5</f>
        <v>0.13108520665461304</v>
      </c>
      <c r="EA5" s="264">
        <f>+'WICHE Public Grads-RE PROJ'!FQ5/'WICHE Public Grads-RE PROJ'!H5</f>
        <v>0.13092416624515396</v>
      </c>
      <c r="EB5" s="264">
        <f>+'WICHE Public Grads-RE PROJ'!FR5/'WICHE Public Grads-RE PROJ'!I5</f>
        <v>0.12967387425731938</v>
      </c>
      <c r="EC5" s="264">
        <f>+'WICHE Public Grads-RE PROJ'!FS5/'WICHE Public Grads-RE PROJ'!J5</f>
        <v>0.13093345646419394</v>
      </c>
      <c r="ED5" s="264">
        <f>+'WICHE Public Grads-RE PROJ'!FT5/'WICHE Public Grads-RE PROJ'!K5</f>
        <v>0.13084866947430721</v>
      </c>
      <c r="EE5" s="264">
        <f>+'WICHE Public Grads-RE PROJ'!FU5/'WICHE Public Grads-RE PROJ'!L5</f>
        <v>0.13176640989021313</v>
      </c>
      <c r="EF5" s="264">
        <f>+'WICHE Public Grads-RE PROJ'!FV5/'WICHE Public Grads-RE PROJ'!M5</f>
        <v>0.13176253990739525</v>
      </c>
      <c r="EG5" s="264">
        <f>+'WICHE Public Grads-RE PROJ'!FW5/'WICHE Public Grads-RE PROJ'!N5</f>
        <v>0.13477773381034527</v>
      </c>
      <c r="EH5" s="264">
        <f>+'WICHE Public Grads-RE PROJ'!FX5/'WICHE Public Grads-RE PROJ'!O5</f>
        <v>0.13743973007523444</v>
      </c>
      <c r="EI5" s="264">
        <f>+'WICHE Public Grads-RE PROJ'!FY5/'WICHE Public Grads-RE PROJ'!P5</f>
        <v>0.13902052027929077</v>
      </c>
      <c r="EJ5" s="264">
        <f>+'WICHE Public Grads-RE PROJ'!FZ5/'WICHE Public Grads-RE PROJ'!Q5</f>
        <v>0.14128712135483548</v>
      </c>
      <c r="EK5" s="264">
        <f>+'WICHE Public Grads-RE PROJ'!GA5/'WICHE Public Grads-RE PROJ'!R5</f>
        <v>0.14391719423710167</v>
      </c>
      <c r="EL5" s="264">
        <f>+'WICHE Public Grads-RE PROJ'!GB5/'WICHE Public Grads-RE PROJ'!S5</f>
        <v>0.14900226057120988</v>
      </c>
      <c r="EM5" s="264">
        <f>+'WICHE Public Grads-RE PROJ'!GC5/'WICHE Public Grads-RE PROJ'!T5</f>
        <v>0.15195113578792971</v>
      </c>
      <c r="EN5" s="264">
        <f>+'WICHE Public Grads-RE PROJ'!GD5/'WICHE Public Grads-RE PROJ'!U5</f>
        <v>0.15297722944277756</v>
      </c>
      <c r="EO5" s="264">
        <f>+'WICHE Public Grads-RE PROJ'!GE5/'WICHE Public Grads-RE PROJ'!V5</f>
        <v>0.152080226082704</v>
      </c>
      <c r="EP5" s="264">
        <f>+'WICHE Public Grads-RE PROJ'!GF5/'WICHE Public Grads-RE PROJ'!W5</f>
        <v>0.14963970905886922</v>
      </c>
      <c r="EQ5" s="265">
        <f>+'WICHE Public Grads-RE PROJ'!GG5/'WICHE Public Grads-RE PROJ'!Y5</f>
        <v>0.14790329269948924</v>
      </c>
      <c r="ER5" s="265">
        <f>+'WICHE Public Grads-RE PROJ'!GH5/'WICHE Public Grads-RE PROJ'!Z5</f>
        <v>0.14813422000779625</v>
      </c>
      <c r="ES5" s="265">
        <f>+'WICHE Public Grads-RE PROJ'!GI5/'WICHE Public Grads-RE PROJ'!AA5</f>
        <v>0.1464137607018435</v>
      </c>
      <c r="ET5" s="265">
        <f>+'WICHE Public Grads-RE PROJ'!GJ5/'WICHE Public Grads-RE PROJ'!AB5</f>
        <v>0.1444561462858138</v>
      </c>
      <c r="EU5" s="265">
        <f>+'WICHE Public Grads-RE PROJ'!GK5/'WICHE Public Grads-RE PROJ'!AC5</f>
        <v>0.1454144654020102</v>
      </c>
      <c r="EV5" s="265">
        <f>+'WICHE Public Grads-RE PROJ'!GL5/'WICHE Public Grads-RE PROJ'!AD5</f>
        <v>0.14394876828293032</v>
      </c>
      <c r="EW5" s="265">
        <f>+'WICHE Public Grads-RE PROJ'!GM5/'WICHE Public Grads-RE PROJ'!AE5</f>
        <v>0.14232710943536106</v>
      </c>
      <c r="EX5" s="265">
        <f>+'WICHE Public Grads-RE PROJ'!GN5/'WICHE Public Grads-RE PROJ'!AF5</f>
        <v>0.13876311065665631</v>
      </c>
      <c r="EY5" s="265">
        <f>+'WICHE Public Grads-RE PROJ'!GO5/'WICHE Public Grads-RE PROJ'!AG5</f>
        <v>0.13729077910989182</v>
      </c>
      <c r="EZ5" s="265">
        <f>+'WICHE Public Grads-RE PROJ'!GP5/'WICHE Public Grads-RE PROJ'!AH5</f>
        <v>0.13839709025695229</v>
      </c>
      <c r="FA5" s="265">
        <f>+'WICHE Public Grads-RE PROJ'!GQ5/'WICHE Public Grads-RE PROJ'!AI5</f>
        <v>0.13996760937163788</v>
      </c>
      <c r="FB5" s="265">
        <f>+'WICHE Public Grads-RE PROJ'!GR5/'WICHE Public Grads-RE PROJ'!AJ5</f>
        <v>0.14207971922107812</v>
      </c>
      <c r="FC5" s="265">
        <f>+'WICHE Public Grads-RE PROJ'!GS5/'WICHE Public Grads-RE PROJ'!AK5</f>
        <v>0.1439980341864559</v>
      </c>
      <c r="FD5" s="265">
        <f>+'WICHE Public Grads-RE PROJ'!GT5/'WICHE Public Grads-RE PROJ'!AL5</f>
        <v>0.14446568753119757</v>
      </c>
      <c r="FE5" s="265">
        <f>+'WICHE Public Grads-RE PROJ'!GU5/'WICHE Public Grads-RE PROJ'!AM5</f>
        <v>0.14436757440098313</v>
      </c>
      <c r="FF5" s="265">
        <f>+'WICHE Public Grads-RE PROJ'!GV5/'WICHE Public Grads-RE PROJ'!AN5</f>
        <v>0.14264085179053715</v>
      </c>
      <c r="FG5" s="265">
        <f>+'WICHE Public Grads-RE PROJ'!GW5/'WICHE Public Grads-RE PROJ'!AO5</f>
        <v>0.14310456318624296</v>
      </c>
      <c r="FH5" s="265">
        <f>+'WICHE Public Grads-RE PROJ'!GX5/'WICHE Public Grads-RE PROJ'!AP5</f>
        <v>0.14395126547426221</v>
      </c>
      <c r="FI5" s="265">
        <f>+'WICHE Public Grads-RE PROJ'!GY5/'WICHE Public Grads-RE PROJ'!AQ5</f>
        <v>0.14314092871188816</v>
      </c>
      <c r="FJ5" s="264">
        <f>+'WICHE Public Grads-RE PROJ'!GZ5/'WICHE Public Grads-RE PROJ'!B5</f>
        <v>0</v>
      </c>
      <c r="FK5" s="264">
        <f>+'WICHE Public Grads-RE PROJ'!HA5/'WICHE Public Grads-RE PROJ'!C5</f>
        <v>0</v>
      </c>
      <c r="FL5" s="264">
        <f>+'WICHE Public Grads-RE PROJ'!HB5/'WICHE Public Grads-RE PROJ'!D5</f>
        <v>9.420167784653434E-2</v>
      </c>
      <c r="FM5" s="264">
        <f>+'WICHE Public Grads-RE PROJ'!HC5/'WICHE Public Grads-RE PROJ'!E5</f>
        <v>9.4147046964636147E-2</v>
      </c>
      <c r="FN5" s="264">
        <f>+'WICHE Public Grads-RE PROJ'!HD5/'WICHE Public Grads-RE PROJ'!F5</f>
        <v>9.6334164753402743E-2</v>
      </c>
      <c r="FO5" s="264">
        <f>+'WICHE Public Grads-RE PROJ'!HE5/'WICHE Public Grads-RE PROJ'!G5</f>
        <v>9.9114186147937683E-2</v>
      </c>
      <c r="FP5" s="264">
        <f>+'WICHE Public Grads-RE PROJ'!HF5/'WICHE Public Grads-RE PROJ'!H5</f>
        <v>0.10341339205271628</v>
      </c>
      <c r="FQ5" s="264">
        <f>+'WICHE Public Grads-RE PROJ'!HG5/'WICHE Public Grads-RE PROJ'!I5</f>
        <v>0.10829609789203218</v>
      </c>
      <c r="FR5" s="264">
        <f>+'WICHE Public Grads-RE PROJ'!HH5/'WICHE Public Grads-RE PROJ'!J5</f>
        <v>0.11121802817519202</v>
      </c>
      <c r="FS5" s="264">
        <f>+'WICHE Public Grads-RE PROJ'!HI5/'WICHE Public Grads-RE PROJ'!K5</f>
        <v>0.11551302788771992</v>
      </c>
      <c r="FT5" s="264">
        <f>+'WICHE Public Grads-RE PROJ'!HJ5/'WICHE Public Grads-RE PROJ'!L5</f>
        <v>0.11982377751107938</v>
      </c>
      <c r="FU5" s="264">
        <f>+'WICHE Public Grads-RE PROJ'!HK5/'WICHE Public Grads-RE PROJ'!M5</f>
        <v>0.12442024290899785</v>
      </c>
      <c r="FV5" s="264">
        <f>+'WICHE Public Grads-RE PROJ'!HL5/'WICHE Public Grads-RE PROJ'!N5</f>
        <v>0.1302228928818514</v>
      </c>
      <c r="FW5" s="264">
        <f>+'WICHE Public Grads-RE PROJ'!HM5/'WICHE Public Grads-RE PROJ'!O5</f>
        <v>0.13601350408645171</v>
      </c>
      <c r="FX5" s="264">
        <f>+'WICHE Public Grads-RE PROJ'!HN5/'WICHE Public Grads-RE PROJ'!P5</f>
        <v>0.13764674352707673</v>
      </c>
      <c r="FY5" s="264">
        <f>+'WICHE Public Grads-RE PROJ'!HO5/'WICHE Public Grads-RE PROJ'!Q5</f>
        <v>0.1399763916565418</v>
      </c>
      <c r="FZ5" s="264">
        <f>+'WICHE Public Grads-RE PROJ'!HP5/'WICHE Public Grads-RE PROJ'!R5</f>
        <v>0.14971527689159864</v>
      </c>
      <c r="GA5" s="264">
        <f>+'WICHE Public Grads-RE PROJ'!HQ5/'WICHE Public Grads-RE PROJ'!S5</f>
        <v>0.15850464706492071</v>
      </c>
      <c r="GB5" s="264">
        <f>+'WICHE Public Grads-RE PROJ'!HR5/'WICHE Public Grads-RE PROJ'!T5</f>
        <v>0.1743971110177614</v>
      </c>
      <c r="GC5" s="264">
        <f>+'WICHE Public Grads-RE PROJ'!HS5/'WICHE Public Grads-RE PROJ'!U5</f>
        <v>0.18571514900925543</v>
      </c>
      <c r="GD5" s="264">
        <f>+'WICHE Public Grads-RE PROJ'!HT5/'WICHE Public Grads-RE PROJ'!V5</f>
        <v>0.19329636080446211</v>
      </c>
      <c r="GE5" s="264">
        <f>+'WICHE Public Grads-RE PROJ'!HU5/'WICHE Public Grads-RE PROJ'!W5</f>
        <v>0.20207039063099017</v>
      </c>
      <c r="GF5" s="265">
        <f>+'WICHE Public Grads-RE PROJ'!HV5/'WICHE Public Grads-RE PROJ'!Y5</f>
        <v>0.2075502323269024</v>
      </c>
      <c r="GG5" s="265">
        <f>+'WICHE Public Grads-RE PROJ'!HW5/'WICHE Public Grads-RE PROJ'!Z5</f>
        <v>0.21462017566682454</v>
      </c>
      <c r="GH5" s="265">
        <f>+'WICHE Public Grads-RE PROJ'!HX5/'WICHE Public Grads-RE PROJ'!AA5</f>
        <v>0.22035408205592441</v>
      </c>
      <c r="GI5" s="265">
        <f>+'WICHE Public Grads-RE PROJ'!HY5/'WICHE Public Grads-RE PROJ'!AB5</f>
        <v>0.22399820318265268</v>
      </c>
      <c r="GJ5" s="265">
        <f>+'WICHE Public Grads-RE PROJ'!HZ5/'WICHE Public Grads-RE PROJ'!AC5</f>
        <v>0.23123420456742821</v>
      </c>
      <c r="GK5" s="265">
        <f>+'WICHE Public Grads-RE PROJ'!IA5/'WICHE Public Grads-RE PROJ'!AD5</f>
        <v>0.23954017534375976</v>
      </c>
      <c r="GL5" s="265">
        <f>+'WICHE Public Grads-RE PROJ'!IB5/'WICHE Public Grads-RE PROJ'!AE5</f>
        <v>0.24569476994909406</v>
      </c>
      <c r="GM5" s="265">
        <f>+'WICHE Public Grads-RE PROJ'!IC5/'WICHE Public Grads-RE PROJ'!AF5</f>
        <v>0.25143626690221588</v>
      </c>
      <c r="GN5" s="265">
        <f>+'WICHE Public Grads-RE PROJ'!ID5/'WICHE Public Grads-RE PROJ'!AG5</f>
        <v>0.25735866659363299</v>
      </c>
      <c r="GO5" s="265">
        <f>+'WICHE Public Grads-RE PROJ'!IE5/'WICHE Public Grads-RE PROJ'!AH5</f>
        <v>0.2662118136039231</v>
      </c>
      <c r="GP5" s="265">
        <f>+'WICHE Public Grads-RE PROJ'!IF5/'WICHE Public Grads-RE PROJ'!AI5</f>
        <v>0.27349602211765367</v>
      </c>
      <c r="GQ5" s="265">
        <f>+'WICHE Public Grads-RE PROJ'!IG5/'WICHE Public Grads-RE PROJ'!AJ5</f>
        <v>0.27666245928990962</v>
      </c>
      <c r="GR5" s="265">
        <f>+'WICHE Public Grads-RE PROJ'!IH5/'WICHE Public Grads-RE PROJ'!AK5</f>
        <v>0.27513895359341428</v>
      </c>
      <c r="GS5" s="265">
        <f>+'WICHE Public Grads-RE PROJ'!II5/'WICHE Public Grads-RE PROJ'!AL5</f>
        <v>0.27135223795150715</v>
      </c>
      <c r="GT5" s="441">
        <f>+'WICHE Public Grads-RE PROJ'!IJ5/'WICHE Public Grads-RE PROJ'!AM5</f>
        <v>0.26506044682583407</v>
      </c>
      <c r="GU5" s="441">
        <f>+'WICHE Public Grads-RE PROJ'!IK5/'WICHE Public Grads-RE PROJ'!AN5</f>
        <v>0.26059310876732872</v>
      </c>
      <c r="GV5" s="441">
        <f>+'WICHE Public Grads-RE PROJ'!IL5/'WICHE Public Grads-RE PROJ'!AO5</f>
        <v>0.25770857217129711</v>
      </c>
      <c r="GW5" s="441">
        <f>+'WICHE Public Grads-RE PROJ'!IM5/'WICHE Public Grads-RE PROJ'!AP5</f>
        <v>0.25711731783251873</v>
      </c>
      <c r="GX5" s="442">
        <f>+'WICHE Public Grads-RE PROJ'!IN5/'WICHE Public Grads-RE PROJ'!AQ5</f>
        <v>0.2571606898472879</v>
      </c>
      <c r="GY5" s="264">
        <f>+'WICHE Public Grads-RE PROJ'!IO5/'WICHE Public Grads-RE PROJ'!B5</f>
        <v>0</v>
      </c>
      <c r="GZ5" s="264">
        <f>+'WICHE Public Grads-RE PROJ'!IP5/'WICHE Public Grads-RE PROJ'!C5</f>
        <v>0</v>
      </c>
      <c r="HA5" s="264">
        <f>+'WICHE Public Grads-RE PROJ'!IQ5/'WICHE Public Grads-RE PROJ'!D5</f>
        <v>0.72269067113515595</v>
      </c>
      <c r="HB5" s="264">
        <f>+'WICHE Public Grads-RE PROJ'!IR5/'WICHE Public Grads-RE PROJ'!E5</f>
        <v>0.72400453107371732</v>
      </c>
      <c r="HC5" s="264">
        <f>+'WICHE Public Grads-RE PROJ'!IS5/'WICHE Public Grads-RE PROJ'!F5</f>
        <v>0.72044714214994154</v>
      </c>
      <c r="HD5" s="264">
        <f>+'WICHE Public Grads-RE PROJ'!IT5/'WICHE Public Grads-RE PROJ'!G5</f>
        <v>0.7159366041826335</v>
      </c>
      <c r="HE5" s="264">
        <f>+'WICHE Public Grads-RE PROJ'!IU5/'WICHE Public Grads-RE PROJ'!H5</f>
        <v>0.7100424409315198</v>
      </c>
      <c r="HF5" s="264">
        <f>+'WICHE Public Grads-RE PROJ'!IV5/'WICHE Public Grads-RE PROJ'!I5</f>
        <v>0.7057510402255408</v>
      </c>
      <c r="HG5" s="264">
        <f>+'WICHE Public Grads-RE PROJ'!IW5/'WICHE Public Grads-RE PROJ'!J5</f>
        <v>0.69976043528169118</v>
      </c>
      <c r="HH5" s="264">
        <f>+'WICHE Public Grads-RE PROJ'!IX5/'WICHE Public Grads-RE PROJ'!K5</f>
        <v>0.69379365389693293</v>
      </c>
      <c r="HI5" s="264">
        <f>+'WICHE Public Grads-RE PROJ'!IY5/'WICHE Public Grads-RE PROJ'!L5</f>
        <v>0.68670696700061873</v>
      </c>
      <c r="HJ5" s="264">
        <f>+'WICHE Public Grads-RE PROJ'!IZ5/'WICHE Public Grads-RE PROJ'!M5</f>
        <v>0.6823080647968508</v>
      </c>
      <c r="HK5" s="264">
        <f>+'WICHE Public Grads-RE PROJ'!JA5/'WICHE Public Grads-RE PROJ'!N5</f>
        <v>0.67253397278296334</v>
      </c>
      <c r="HL5" s="264">
        <f>+'WICHE Public Grads-RE PROJ'!JB5/'WICHE Public Grads-RE PROJ'!O5</f>
        <v>0.66128247119049754</v>
      </c>
      <c r="HM5" s="264">
        <f>+'WICHE Public Grads-RE PROJ'!JC5/'WICHE Public Grads-RE PROJ'!P5</f>
        <v>0.65832092846692913</v>
      </c>
      <c r="HN5" s="264">
        <f>+'WICHE Public Grads-RE PROJ'!JD5/'WICHE Public Grads-RE PROJ'!Q5</f>
        <v>0.64704454994650962</v>
      </c>
      <c r="HO5" s="264">
        <f>+'WICHE Public Grads-RE PROJ'!JE5/'WICHE Public Grads-RE PROJ'!R5</f>
        <v>0.6340111090490671</v>
      </c>
      <c r="HP5" s="264">
        <f>+'WICHE Public Grads-RE PROJ'!JF5/'WICHE Public Grads-RE PROJ'!S5</f>
        <v>0.62180458439705044</v>
      </c>
      <c r="HQ5" s="264">
        <f>+'WICHE Public Grads-RE PROJ'!JG5/'WICHE Public Grads-RE PROJ'!T5</f>
        <v>0.60251931272559234</v>
      </c>
      <c r="HR5" s="264">
        <f>+'WICHE Public Grads-RE PROJ'!JH5/'WICHE Public Grads-RE PROJ'!U5</f>
        <v>0.59586457794957925</v>
      </c>
      <c r="HS5" s="264">
        <f>+'WICHE Public Grads-RE PROJ'!JI5/'WICHE Public Grads-RE PROJ'!V5</f>
        <v>0.58760716953174918</v>
      </c>
      <c r="HT5" s="264">
        <f>+'WICHE Public Grads-RE PROJ'!JJ5/'WICHE Public Grads-RE PROJ'!W5</f>
        <v>0.58024661947263678</v>
      </c>
      <c r="HU5" s="265">
        <f>+'WICHE Public Grads-RE PROJ'!JK5/'WICHE Public Grads-RE PROJ'!Y5</f>
        <v>0.57352899316886197</v>
      </c>
      <c r="HV5" s="265">
        <f>+'WICHE Public Grads-RE PROJ'!JL5/'WICHE Public Grads-RE PROJ'!Z5</f>
        <v>0.56660516868538002</v>
      </c>
      <c r="HW5" s="265">
        <f>+'WICHE Public Grads-RE PROJ'!JM5/'WICHE Public Grads-RE PROJ'!AA5</f>
        <v>0.56492548113557961</v>
      </c>
      <c r="HX5" s="265">
        <f>+'WICHE Public Grads-RE PROJ'!JN5/'WICHE Public Grads-RE PROJ'!AB5</f>
        <v>0.56344396190653145</v>
      </c>
      <c r="HY5" s="265">
        <f>+'WICHE Public Grads-RE PROJ'!JO5/'WICHE Public Grads-RE PROJ'!AC5</f>
        <v>0.55342916506445228</v>
      </c>
      <c r="HZ5" s="265">
        <f>+'WICHE Public Grads-RE PROJ'!JP5/'WICHE Public Grads-RE PROJ'!AD5</f>
        <v>0.54769555647810098</v>
      </c>
      <c r="IA5" s="265">
        <f>+'WICHE Public Grads-RE PROJ'!JQ5/'WICHE Public Grads-RE PROJ'!AE5</f>
        <v>0.54342452332292956</v>
      </c>
      <c r="IB5" s="265">
        <f>+'WICHE Public Grads-RE PROJ'!JR5/'WICHE Public Grads-RE PROJ'!AF5</f>
        <v>0.54145431357570994</v>
      </c>
      <c r="IC5" s="265">
        <f>+'WICHE Public Grads-RE PROJ'!JS5/'WICHE Public Grads-RE PROJ'!AG5</f>
        <v>0.53794320972535925</v>
      </c>
      <c r="ID5" s="265">
        <f>+'WICHE Public Grads-RE PROJ'!JT5/'WICHE Public Grads-RE PROJ'!AH5</f>
        <v>0.52982288132112132</v>
      </c>
      <c r="IE5" s="265">
        <f>+'WICHE Public Grads-RE PROJ'!JU5/'WICHE Public Grads-RE PROJ'!AI5</f>
        <v>0.52345119750372038</v>
      </c>
      <c r="IF5" s="265">
        <f>+'WICHE Public Grads-RE PROJ'!JV5/'WICHE Public Grads-RE PROJ'!AJ5</f>
        <v>0.51999064610398893</v>
      </c>
      <c r="IG5" s="265">
        <f>+'WICHE Public Grads-RE PROJ'!JW5/'WICHE Public Grads-RE PROJ'!AK5</f>
        <v>0.51521423115959142</v>
      </c>
      <c r="IH5" s="265">
        <f>+'WICHE Public Grads-RE PROJ'!JX5/'WICHE Public Grads-RE PROJ'!AL5</f>
        <v>0.5166236976751426</v>
      </c>
      <c r="II5" s="265">
        <f>+'WICHE Public Grads-RE PROJ'!JY5/'WICHE Public Grads-RE PROJ'!AM5</f>
        <v>0.52150896023056426</v>
      </c>
      <c r="IJ5" s="265">
        <f>+'WICHE Public Grads-RE PROJ'!JZ5/'WICHE Public Grads-RE PROJ'!AN5</f>
        <v>0.51989197907993723</v>
      </c>
      <c r="IK5" s="265">
        <f>+'WICHE Public Grads-RE PROJ'!KA5/'WICHE Public Grads-RE PROJ'!AO5</f>
        <v>0.51707859314543403</v>
      </c>
      <c r="IL5" s="265">
        <f>+'WICHE Public Grads-RE PROJ'!KB5/'WICHE Public Grads-RE PROJ'!AP5</f>
        <v>0.51824152225096098</v>
      </c>
      <c r="IM5" s="281">
        <f>+'WICHE Public Grads-RE PROJ'!KC5/'WICHE Public Grads-RE PROJ'!AQ5</f>
        <v>0.51581060939540335</v>
      </c>
      <c r="IN5" s="277">
        <f t="shared" ref="IN5:IW6" si="0">+B5+DU5+FJ5+GY5</f>
        <v>0</v>
      </c>
      <c r="IO5" s="277">
        <f t="shared" si="0"/>
        <v>0</v>
      </c>
      <c r="IP5" s="277">
        <f t="shared" si="0"/>
        <v>0.99999999999999989</v>
      </c>
      <c r="IQ5" s="277">
        <f t="shared" si="0"/>
        <v>1</v>
      </c>
      <c r="IR5" s="277">
        <f t="shared" si="0"/>
        <v>1</v>
      </c>
      <c r="IS5" s="277">
        <f t="shared" si="0"/>
        <v>1</v>
      </c>
      <c r="IT5" s="277">
        <f t="shared" si="0"/>
        <v>1</v>
      </c>
      <c r="IU5" s="277">
        <f t="shared" si="0"/>
        <v>1</v>
      </c>
      <c r="IV5" s="277">
        <f t="shared" si="0"/>
        <v>1</v>
      </c>
      <c r="IW5" s="277">
        <f t="shared" si="0"/>
        <v>0.99970306499126194</v>
      </c>
      <c r="IX5" s="277">
        <f t="shared" ref="IX5:JG6" si="1">+L5+EE5+FT5+HI5</f>
        <v>0.9989272504609743</v>
      </c>
      <c r="IY5" s="277">
        <f t="shared" si="1"/>
        <v>0.99823007256266383</v>
      </c>
      <c r="IZ5" s="277">
        <f t="shared" si="1"/>
        <v>0.99773375832671896</v>
      </c>
      <c r="JA5" s="277">
        <f t="shared" si="1"/>
        <v>0.99654175436312953</v>
      </c>
      <c r="JB5" s="277">
        <f t="shared" si="1"/>
        <v>0.99894327599370447</v>
      </c>
      <c r="JC5" s="277">
        <f t="shared" si="1"/>
        <v>0.9920554294869246</v>
      </c>
      <c r="JD5" s="277">
        <f t="shared" si="1"/>
        <v>0.99151778024260517</v>
      </c>
      <c r="JE5" s="277">
        <f t="shared" si="1"/>
        <v>0.99503956415448758</v>
      </c>
      <c r="JF5" s="277">
        <f t="shared" si="1"/>
        <v>0.99386161606280266</v>
      </c>
      <c r="JG5" s="277">
        <f t="shared" si="1"/>
        <v>0.99999522915937789</v>
      </c>
      <c r="JH5" s="277">
        <f t="shared" ref="JH5:JQ6" si="2">+V5+EO5+GD5+HS5</f>
        <v>0.9999939666929698</v>
      </c>
      <c r="JI5" s="277">
        <f t="shared" si="2"/>
        <v>0.99999589809220268</v>
      </c>
      <c r="JJ5" s="277">
        <f t="shared" si="2"/>
        <v>0.99743796694801956</v>
      </c>
      <c r="JK5" s="277">
        <f t="shared" si="2"/>
        <v>0.99805262060189359</v>
      </c>
      <c r="JL5" s="277">
        <f t="shared" si="2"/>
        <v>0.9996299730749435</v>
      </c>
      <c r="JM5" s="277">
        <f t="shared" si="2"/>
        <v>1.0000902562492437</v>
      </c>
      <c r="JN5" s="277">
        <f t="shared" si="2"/>
        <v>1.000698268883722</v>
      </c>
      <c r="JO5" s="277">
        <f t="shared" si="2"/>
        <v>1.0013559744321676</v>
      </c>
      <c r="JP5" s="277">
        <f t="shared" si="2"/>
        <v>1.0027667705999801</v>
      </c>
      <c r="JQ5" s="277">
        <f t="shared" si="2"/>
        <v>1.0047654092344369</v>
      </c>
      <c r="JR5" s="277">
        <f t="shared" ref="JR5:JX6" si="3">+AF5+EY5+GN5+IC5</f>
        <v>1.006333810522448</v>
      </c>
      <c r="JS5" s="277">
        <f t="shared" si="3"/>
        <v>1.0073397805649167</v>
      </c>
      <c r="JT5" s="277">
        <f t="shared" si="3"/>
        <v>1.0083520729668916</v>
      </c>
      <c r="JU5" s="277">
        <f t="shared" si="3"/>
        <v>1.0095409227823151</v>
      </c>
      <c r="JV5" s="277">
        <f t="shared" si="3"/>
        <v>1.00977937925619</v>
      </c>
      <c r="JW5" s="277">
        <f t="shared" si="3"/>
        <v>1.0094181657552614</v>
      </c>
      <c r="JX5" s="277">
        <f t="shared" si="3"/>
        <v>1.0086115402576743</v>
      </c>
      <c r="JY5" s="277">
        <f t="shared" ref="JY5:KB6" si="4">+AM5+FF5+GU5+IJ5</f>
        <v>1.001567955239808</v>
      </c>
      <c r="JZ5" s="277">
        <f t="shared" si="4"/>
        <v>1.0013086480386573</v>
      </c>
      <c r="KA5" s="277">
        <f t="shared" si="4"/>
        <v>1.001824500341634</v>
      </c>
      <c r="KB5" s="277">
        <f t="shared" si="4"/>
        <v>1.0019477937997192</v>
      </c>
    </row>
    <row r="6" spans="1:288" s="17" customFormat="1">
      <c r="A6" s="173" t="s">
        <v>32</v>
      </c>
      <c r="B6" s="262">
        <f>+'WICHE Public Grads-RE PROJ'!AR7/'WICHE Public Grads-RE PROJ'!B7</f>
        <v>2.8828732538833682E-2</v>
      </c>
      <c r="C6" s="262">
        <f>+'WICHE Public Grads-RE PROJ'!AS7/'WICHE Public Grads-RE PROJ'!C7</f>
        <v>2.9539009141341745E-2</v>
      </c>
      <c r="D6" s="262">
        <f>+'WICHE Public Grads-RE PROJ'!AT7/'WICHE Public Grads-RE PROJ'!D7</f>
        <v>3.1494797917526594E-2</v>
      </c>
      <c r="E6" s="262">
        <f>+'WICHE Public Grads-RE PROJ'!AU7/'WICHE Public Grads-RE PROJ'!E7</f>
        <v>3.2618163033083965E-2</v>
      </c>
      <c r="F6" s="262">
        <f>+'WICHE Public Grads-RE PROJ'!AV7/'WICHE Public Grads-RE PROJ'!F7</f>
        <v>3.2210961350169744E-2</v>
      </c>
      <c r="G6" s="262">
        <f>+'WICHE Public Grads-RE PROJ'!AW7/'WICHE Public Grads-RE PROJ'!G7</f>
        <v>3.2600267582935508E-2</v>
      </c>
      <c r="H6" s="267">
        <f>+'WICHE Public Grads-RE PROJ'!AX7/'WICHE Public Grads-RE PROJ'!H7</f>
        <v>3.3873893683689739E-2</v>
      </c>
      <c r="I6" s="267">
        <f>+'WICHE Public Grads-RE PROJ'!AY7/'WICHE Public Grads-RE PROJ'!I7</f>
        <v>3.4537219751407923E-2</v>
      </c>
      <c r="J6" s="267">
        <f>+'WICHE Public Grads-RE PROJ'!AZ7/'WICHE Public Grads-RE PROJ'!J7</f>
        <v>3.6338717321412563E-2</v>
      </c>
      <c r="K6" s="267">
        <f>+'WICHE Public Grads-RE PROJ'!BA7/'WICHE Public Grads-RE PROJ'!K7</f>
        <v>3.7108445889464457E-2</v>
      </c>
      <c r="L6" s="262">
        <f>+'WICHE Public Grads-RE PROJ'!BB7/'WICHE Public Grads-RE PROJ'!L7</f>
        <v>3.7671313370052265E-2</v>
      </c>
      <c r="M6" s="267">
        <f>+'WICHE Public Grads-RE PROJ'!BC7/'WICHE Public Grads-RE PROJ'!M7</f>
        <v>3.7726592077658765E-2</v>
      </c>
      <c r="N6" s="267">
        <f>+'WICHE Public Grads-RE PROJ'!BD7/'WICHE Public Grads-RE PROJ'!N7</f>
        <v>3.8300301381788283E-2</v>
      </c>
      <c r="O6" s="267">
        <f>+'WICHE Public Grads-RE PROJ'!BE7/'WICHE Public Grads-RE PROJ'!O7</f>
        <v>3.9718318969724074E-2</v>
      </c>
      <c r="P6" s="267">
        <f>+'WICHE Public Grads-RE PROJ'!BF7/'WICHE Public Grads-RE PROJ'!P7</f>
        <v>4.1108796105504442E-2</v>
      </c>
      <c r="Q6" s="267">
        <f>+'WICHE Public Grads-RE PROJ'!BG7/'WICHE Public Grads-RE PROJ'!Q7</f>
        <v>4.1888201232496189E-2</v>
      </c>
      <c r="R6" s="267">
        <f>+'WICHE Public Grads-RE PROJ'!BH7/'WICHE Public Grads-RE PROJ'!R7</f>
        <v>4.1572468862460021E-2</v>
      </c>
      <c r="S6" s="267">
        <f>+'WICHE Public Grads-RE PROJ'!BI7/'WICHE Public Grads-RE PROJ'!S7</f>
        <v>4.2067184651228967E-2</v>
      </c>
      <c r="T6" s="267">
        <f>+'WICHE Public Grads-RE PROJ'!BJ7/'WICHE Public Grads-RE PROJ'!T7</f>
        <v>4.3384072785064447E-2</v>
      </c>
      <c r="U6" s="267">
        <f>+'WICHE Public Grads-RE PROJ'!BK7/'WICHE Public Grads-RE PROJ'!U7</f>
        <v>4.3229431744162272E-2</v>
      </c>
      <c r="V6" s="267">
        <f>+'WICHE Public Grads-RE PROJ'!BL7/'WICHE Public Grads-RE PROJ'!V7</f>
        <v>4.4228464582337479E-2</v>
      </c>
      <c r="W6" s="267">
        <f>+'WICHE Public Grads-RE PROJ'!BM7/'WICHE Public Grads-RE PROJ'!W7</f>
        <v>4.5205894460774991E-2</v>
      </c>
      <c r="X6" s="268">
        <f>+'WICHE Public Grads-RE PROJ'!BN7/'WICHE Public Grads-RE PROJ'!Y7</f>
        <v>4.6236557680963658E-2</v>
      </c>
      <c r="Y6" s="268">
        <f>+'WICHE Public Grads-RE PROJ'!BO7/'WICHE Public Grads-RE PROJ'!Z7</f>
        <v>4.6825136176389261E-2</v>
      </c>
      <c r="Z6" s="268">
        <f>+'WICHE Public Grads-RE PROJ'!BP7/'WICHE Public Grads-RE PROJ'!AA7</f>
        <v>4.6807769663566257E-2</v>
      </c>
      <c r="AA6" s="268">
        <f>+'WICHE Public Grads-RE PROJ'!BQ7/'WICHE Public Grads-RE PROJ'!AB7</f>
        <v>4.6995098050135048E-2</v>
      </c>
      <c r="AB6" s="268">
        <f>+'WICHE Public Grads-RE PROJ'!BR7/'WICHE Public Grads-RE PROJ'!AC7</f>
        <v>4.8681247601970748E-2</v>
      </c>
      <c r="AC6" s="268">
        <f>+'WICHE Public Grads-RE PROJ'!BS7/'WICHE Public Grads-RE PROJ'!AD7</f>
        <v>4.9511005273585887E-2</v>
      </c>
      <c r="AD6" s="268">
        <f>+'WICHE Public Grads-RE PROJ'!BT7/'WICHE Public Grads-RE PROJ'!AE7</f>
        <v>5.0494552367769889E-2</v>
      </c>
      <c r="AE6" s="268">
        <f>+'WICHE Public Grads-RE PROJ'!BU7/'WICHE Public Grads-RE PROJ'!AF7</f>
        <v>5.2347442301686982E-2</v>
      </c>
      <c r="AF6" s="268">
        <f>+'WICHE Public Grads-RE PROJ'!BV7/'WICHE Public Grads-RE PROJ'!AG7</f>
        <v>5.338266847236444E-2</v>
      </c>
      <c r="AG6" s="268">
        <f>+'WICHE Public Grads-RE PROJ'!BW7/'WICHE Public Grads-RE PROJ'!AH7</f>
        <v>5.3221445975883651E-2</v>
      </c>
      <c r="AH6" s="268">
        <f>+'WICHE Public Grads-RE PROJ'!BX7/'WICHE Public Grads-RE PROJ'!AI7</f>
        <v>5.2913994262577146E-2</v>
      </c>
      <c r="AI6" s="268">
        <f>+'WICHE Public Grads-RE PROJ'!BY7/'WICHE Public Grads-RE PROJ'!AJ7</f>
        <v>5.2663544114541612E-2</v>
      </c>
      <c r="AJ6" s="268">
        <f>+'WICHE Public Grads-RE PROJ'!BZ7/'WICHE Public Grads-RE PROJ'!AK7</f>
        <v>5.5957036394697436E-2</v>
      </c>
      <c r="AK6" s="266">
        <f>+'WICHE Public Grads-RE PROJ'!CA7/'WICHE Public Grads-RE PROJ'!AL7</f>
        <v>5.8320165387672179E-2</v>
      </c>
      <c r="AL6" s="266">
        <f>+'WICHE Public Grads-RE PROJ'!CB7/'WICHE Public Grads-RE PROJ'!AM7</f>
        <v>5.9730661371244657E-2</v>
      </c>
      <c r="AM6" s="266">
        <f>+'WICHE Public Grads-RE PROJ'!CC7/'WICHE Public Grads-RE PROJ'!AN7</f>
        <v>6.1324716450782975E-2</v>
      </c>
      <c r="AN6" s="266">
        <f>+'WICHE Public Grads-RE PROJ'!CD7/'WICHE Public Grads-RE PROJ'!AO7</f>
        <v>6.4466405236981175E-2</v>
      </c>
      <c r="AO6" s="266">
        <f>+'WICHE Public Grads-RE PROJ'!CE7/'WICHE Public Grads-RE PROJ'!AP7</f>
        <v>6.3267223146843785E-2</v>
      </c>
      <c r="AP6" s="282">
        <f>+'WICHE Public Grads-RE PROJ'!CF7/'WICHE Public Grads-RE PROJ'!AQ7</f>
        <v>6.6263994790809286E-2</v>
      </c>
      <c r="AQ6" s="262">
        <f>+'WICHE Public Grads-RE PROJ'!CG7/'WICHE Public Grads-RE PROJ'!B7</f>
        <v>8.2678496767577669E-3</v>
      </c>
      <c r="AR6" s="262">
        <f>+'WICHE Public Grads-RE PROJ'!CH7/'WICHE Public Grads-RE PROJ'!C7</f>
        <v>8.5361060411395934E-3</v>
      </c>
      <c r="AS6" s="262">
        <f>+'WICHE Public Grads-RE PROJ'!CI7/'WICHE Public Grads-RE PROJ'!D7</f>
        <v>8.6640591229414365E-3</v>
      </c>
      <c r="AT6" s="262">
        <f>+'WICHE Public Grads-RE PROJ'!CJ7/'WICHE Public Grads-RE PROJ'!E7</f>
        <v>9.8233790238500731E-3</v>
      </c>
      <c r="AU6" s="262">
        <f>+'WICHE Public Grads-RE PROJ'!CK7/'WICHE Public Grads-RE PROJ'!F7</f>
        <v>9.322607607432613E-3</v>
      </c>
      <c r="AV6" s="262">
        <f>+'WICHE Public Grads-RE PROJ'!CL7/'WICHE Public Grads-RE PROJ'!G7</f>
        <v>9.388208106546659E-3</v>
      </c>
      <c r="AW6" s="267">
        <f>+'WICHE Public Grads-RE PROJ'!CM7/'WICHE Public Grads-RE PROJ'!H7</f>
        <v>9.8327011525846109E-3</v>
      </c>
      <c r="AX6" s="267">
        <f>+'WICHE Public Grads-RE PROJ'!CN7/'WICHE Public Grads-RE PROJ'!I7</f>
        <v>9.9434428405169775E-3</v>
      </c>
      <c r="AY6" s="267">
        <f>+'WICHE Public Grads-RE PROJ'!CO7/'WICHE Public Grads-RE PROJ'!J7</f>
        <v>1.0511410941788419E-2</v>
      </c>
      <c r="AZ6" s="267">
        <f>+'WICHE Public Grads-RE PROJ'!CP7/'WICHE Public Grads-RE PROJ'!K7</f>
        <v>1.0258741200298651E-2</v>
      </c>
      <c r="BA6" s="262">
        <f>+'WICHE Public Grads-RE PROJ'!CQ7/'WICHE Public Grads-RE PROJ'!L7</f>
        <v>1.0098715144594182E-2</v>
      </c>
      <c r="BB6" s="267">
        <f>+'WICHE Public Grads-RE PROJ'!CR7/'WICHE Public Grads-RE PROJ'!M7</f>
        <v>1.0045640369926844E-2</v>
      </c>
      <c r="BC6" s="267">
        <f>+'WICHE Public Grads-RE PROJ'!CS7/'WICHE Public Grads-RE PROJ'!N7</f>
        <v>1.0274110662476412E-2</v>
      </c>
      <c r="BD6" s="267">
        <f>+'WICHE Public Grads-RE PROJ'!CT7/'WICHE Public Grads-RE PROJ'!O7</f>
        <v>1.069318929836652E-2</v>
      </c>
      <c r="BE6" s="267">
        <f>+'WICHE Public Grads-RE PROJ'!CU7/'WICHE Public Grads-RE PROJ'!P7</f>
        <v>1.0505163899962545E-2</v>
      </c>
      <c r="BF6" s="267">
        <f>+'WICHE Public Grads-RE PROJ'!CV7/'WICHE Public Grads-RE PROJ'!Q7</f>
        <v>1.0510673807270773E-2</v>
      </c>
      <c r="BG6" s="267">
        <f>+'WICHE Public Grads-RE PROJ'!CW7/'WICHE Public Grads-RE PROJ'!R7</f>
        <v>1.0518066044936851E-2</v>
      </c>
      <c r="BH6" s="267">
        <f>+'WICHE Public Grads-RE PROJ'!CX7/'WICHE Public Grads-RE PROJ'!S7</f>
        <v>1.0717190802890436E-2</v>
      </c>
      <c r="BI6" s="267">
        <f>+'WICHE Public Grads-RE PROJ'!CY7/'WICHE Public Grads-RE PROJ'!T7</f>
        <v>1.1260059636216008E-2</v>
      </c>
      <c r="BJ6" s="267">
        <f>+'WICHE Public Grads-RE PROJ'!CZ7/'WICHE Public Grads-RE PROJ'!U7</f>
        <v>1.1103915673864505E-2</v>
      </c>
      <c r="BK6" s="267">
        <f>+'WICHE Public Grads-RE PROJ'!DA7/'WICHE Public Grads-RE PROJ'!V7</f>
        <v>1.0891367543808676E-2</v>
      </c>
      <c r="BL6" s="267">
        <f>+'WICHE Public Grads-RE PROJ'!DB7/'WICHE Public Grads-RE PROJ'!W7</f>
        <v>1.0687791411938468E-2</v>
      </c>
      <c r="BM6" s="268">
        <f>+'WICHE Public Grads-RE PROJ'!DC7/'WICHE Public Grads-RE PROJ'!Y7</f>
        <v>1.0138405638866196E-2</v>
      </c>
      <c r="BN6" s="268">
        <f>+'WICHE Public Grads-RE PROJ'!DD7/'WICHE Public Grads-RE PROJ'!Z7</f>
        <v>9.944452999540155E-3</v>
      </c>
      <c r="BO6" s="268">
        <f>+'WICHE Public Grads-RE PROJ'!DE7/'WICHE Public Grads-RE PROJ'!AA7</f>
        <v>1.0021440686140588E-2</v>
      </c>
      <c r="BP6" s="268">
        <f>+'WICHE Public Grads-RE PROJ'!DF7/'WICHE Public Grads-RE PROJ'!AB7</f>
        <v>9.6780837033444457E-3</v>
      </c>
      <c r="BQ6" s="268">
        <f>+'WICHE Public Grads-RE PROJ'!DG7/'WICHE Public Grads-RE PROJ'!AC7</f>
        <v>9.3404997794628297E-3</v>
      </c>
      <c r="BR6" s="268">
        <f>+'WICHE Public Grads-RE PROJ'!DH7/'WICHE Public Grads-RE PROJ'!AD7</f>
        <v>8.7891958221980419E-3</v>
      </c>
      <c r="BS6" s="268">
        <f>+'WICHE Public Grads-RE PROJ'!DI7/'WICHE Public Grads-RE PROJ'!AE7</f>
        <v>8.5784076047270893E-3</v>
      </c>
      <c r="BT6" s="268">
        <f>+'WICHE Public Grads-RE PROJ'!DJ7/'WICHE Public Grads-RE PROJ'!AF7</f>
        <v>8.1843668993068965E-3</v>
      </c>
      <c r="BU6" s="268">
        <f>+'WICHE Public Grads-RE PROJ'!DK7/'WICHE Public Grads-RE PROJ'!AG7</f>
        <v>7.8200034267407997E-3</v>
      </c>
      <c r="BV6" s="268">
        <f>+'WICHE Public Grads-RE PROJ'!DL7/'WICHE Public Grads-RE PROJ'!AH7</f>
        <v>7.5031257956629438E-3</v>
      </c>
      <c r="BW6" s="268">
        <f>+'WICHE Public Grads-RE PROJ'!DM7/'WICHE Public Grads-RE PROJ'!AI7</f>
        <v>7.3688938423597397E-3</v>
      </c>
      <c r="BX6" s="268">
        <f>+'WICHE Public Grads-RE PROJ'!DN7/'WICHE Public Grads-RE PROJ'!AJ7</f>
        <v>6.9144597003638862E-3</v>
      </c>
      <c r="BY6" s="268">
        <f>+'WICHE Public Grads-RE PROJ'!DO7/'WICHE Public Grads-RE PROJ'!AK7</f>
        <v>7.6012563039197772E-3</v>
      </c>
      <c r="BZ6" s="266">
        <f>+'WICHE Public Grads-RE PROJ'!DP7/'WICHE Public Grads-RE PROJ'!AL7</f>
        <v>7.6541984689449402E-3</v>
      </c>
      <c r="CA6" s="266">
        <f>+'WICHE Public Grads-RE PROJ'!DQ7/'WICHE Public Grads-RE PROJ'!AM7</f>
        <v>7.7229086038573943E-3</v>
      </c>
      <c r="CB6" s="266">
        <f>+'WICHE Public Grads-RE PROJ'!DR7/'WICHE Public Grads-RE PROJ'!AN7</f>
        <v>7.3645146359273602E-3</v>
      </c>
      <c r="CC6" s="266">
        <f>+'WICHE Public Grads-RE PROJ'!DS7/'WICHE Public Grads-RE PROJ'!AO7</f>
        <v>7.3130572767716243E-3</v>
      </c>
      <c r="CD6" s="266">
        <f>+'WICHE Public Grads-RE PROJ'!DT7/'WICHE Public Grads-RE PROJ'!AP7</f>
        <v>7.2931445302669724E-3</v>
      </c>
      <c r="CE6" s="282">
        <f>+'WICHE Public Grads-RE PROJ'!DU7/'WICHE Public Grads-RE PROJ'!AQ7</f>
        <v>7.0639322205317233E-3</v>
      </c>
      <c r="CF6" s="262">
        <f>+'WICHE Public Grads-RE PROJ'!DV7/'WICHE Public Grads-RE PROJ'!B7</f>
        <v>2.0560882862075917E-2</v>
      </c>
      <c r="CG6" s="262">
        <f>+'WICHE Public Grads-RE PROJ'!DW7/'WICHE Public Grads-RE PROJ'!C7</f>
        <v>2.1002903100202152E-2</v>
      </c>
      <c r="CH6" s="262">
        <f>+'WICHE Public Grads-RE PROJ'!DX7/'WICHE Public Grads-RE PROJ'!D7</f>
        <v>2.2830738794585154E-2</v>
      </c>
      <c r="CI6" s="262">
        <f>+'WICHE Public Grads-RE PROJ'!DY7/'WICHE Public Grads-RE PROJ'!E7</f>
        <v>2.2794784009233893E-2</v>
      </c>
      <c r="CJ6" s="262">
        <f>+'WICHE Public Grads-RE PROJ'!DZ7/'WICHE Public Grads-RE PROJ'!F7</f>
        <v>2.2888353742737132E-2</v>
      </c>
      <c r="CK6" s="262">
        <f>+'WICHE Public Grads-RE PROJ'!EA7/'WICHE Public Grads-RE PROJ'!G7</f>
        <v>2.3212059476388845E-2</v>
      </c>
      <c r="CL6" s="267">
        <f>+'WICHE Public Grads-RE PROJ'!EB7/'WICHE Public Grads-RE PROJ'!H7</f>
        <v>2.4041192531105125E-2</v>
      </c>
      <c r="CM6" s="267">
        <f>+'WICHE Public Grads-RE PROJ'!EC7/'WICHE Public Grads-RE PROJ'!I7</f>
        <v>2.4593776910890947E-2</v>
      </c>
      <c r="CN6" s="267">
        <f>+'WICHE Public Grads-RE PROJ'!ED7/'WICHE Public Grads-RE PROJ'!J7</f>
        <v>2.5827306379624142E-2</v>
      </c>
      <c r="CO6" s="267">
        <f>+'WICHE Public Grads-RE PROJ'!EE7/'WICHE Public Grads-RE PROJ'!K7</f>
        <v>2.6849704689165803E-2</v>
      </c>
      <c r="CP6" s="262">
        <f>+'WICHE Public Grads-RE PROJ'!EF7/'WICHE Public Grads-RE PROJ'!L7</f>
        <v>2.7572598225458086E-2</v>
      </c>
      <c r="CQ6" s="267">
        <f>+'WICHE Public Grads-RE PROJ'!EG7/'WICHE Public Grads-RE PROJ'!M7</f>
        <v>2.7680951707731924E-2</v>
      </c>
      <c r="CR6" s="267">
        <f>+'WICHE Public Grads-RE PROJ'!EH7/'WICHE Public Grads-RE PROJ'!N7</f>
        <v>2.802619071931187E-2</v>
      </c>
      <c r="CS6" s="267">
        <f>+'WICHE Public Grads-RE PROJ'!EI7/'WICHE Public Grads-RE PROJ'!O7</f>
        <v>2.9025129671357553E-2</v>
      </c>
      <c r="CT6" s="267">
        <f>+'WICHE Public Grads-RE PROJ'!EJ7/'WICHE Public Grads-RE PROJ'!P7</f>
        <v>3.0603632205541895E-2</v>
      </c>
      <c r="CU6" s="267">
        <f>+'WICHE Public Grads-RE PROJ'!EK7/'WICHE Public Grads-RE PROJ'!Q7</f>
        <v>3.1377527425225413E-2</v>
      </c>
      <c r="CV6" s="267">
        <f>+'WICHE Public Grads-RE PROJ'!EL7/'WICHE Public Grads-RE PROJ'!R7</f>
        <v>3.1054402817523172E-2</v>
      </c>
      <c r="CW6" s="267">
        <f>+'WICHE Public Grads-RE PROJ'!EM7/'WICHE Public Grads-RE PROJ'!S7</f>
        <v>3.1349993848338538E-2</v>
      </c>
      <c r="CX6" s="267">
        <f>+'WICHE Public Grads-RE PROJ'!EN7/'WICHE Public Grads-RE PROJ'!T7</f>
        <v>3.212401314884844E-2</v>
      </c>
      <c r="CY6" s="267">
        <f>+'WICHE Public Grads-RE PROJ'!EO7/'WICHE Public Grads-RE PROJ'!U7</f>
        <v>3.2125516070297767E-2</v>
      </c>
      <c r="CZ6" s="267">
        <f>+'WICHE Public Grads-RE PROJ'!EP7/'WICHE Public Grads-RE PROJ'!V7</f>
        <v>3.3337097038528801E-2</v>
      </c>
      <c r="DA6" s="267">
        <f>+'WICHE Public Grads-RE PROJ'!EQ7/'WICHE Public Grads-RE PROJ'!W7</f>
        <v>3.451810304883652E-2</v>
      </c>
      <c r="DB6" s="268">
        <f>+'WICHE Public Grads-RE PROJ'!ER7/'WICHE Public Grads-RE PROJ'!Y7</f>
        <v>3.6098152042097466E-2</v>
      </c>
      <c r="DC6" s="268">
        <f>+'WICHE Public Grads-RE PROJ'!ES7/'WICHE Public Grads-RE PROJ'!Z7</f>
        <v>3.6880683176849109E-2</v>
      </c>
      <c r="DD6" s="268">
        <f>+'WICHE Public Grads-RE PROJ'!ET7/'WICHE Public Grads-RE PROJ'!AA7</f>
        <v>3.6786328977425661E-2</v>
      </c>
      <c r="DE6" s="268">
        <f>+'WICHE Public Grads-RE PROJ'!EU7/'WICHE Public Grads-RE PROJ'!AB7</f>
        <v>3.7317014346790606E-2</v>
      </c>
      <c r="DF6" s="268">
        <f>+'WICHE Public Grads-RE PROJ'!EV7/'WICHE Public Grads-RE PROJ'!AC7</f>
        <v>3.9340747822507918E-2</v>
      </c>
      <c r="DG6" s="268">
        <f>+'WICHE Public Grads-RE PROJ'!EW7/'WICHE Public Grads-RE PROJ'!AD7</f>
        <v>4.0721809451387841E-2</v>
      </c>
      <c r="DH6" s="268">
        <f>+'WICHE Public Grads-RE PROJ'!EX7/'WICHE Public Grads-RE PROJ'!AE7</f>
        <v>4.1916144763042798E-2</v>
      </c>
      <c r="DI6" s="268">
        <f>+'WICHE Public Grads-RE PROJ'!EY7/'WICHE Public Grads-RE PROJ'!AF7</f>
        <v>4.4163075402380077E-2</v>
      </c>
      <c r="DJ6" s="268">
        <f>+'WICHE Public Grads-RE PROJ'!EZ7/'WICHE Public Grads-RE PROJ'!AG7</f>
        <v>4.5562665045623632E-2</v>
      </c>
      <c r="DK6" s="268">
        <f>+'WICHE Public Grads-RE PROJ'!FA7/'WICHE Public Grads-RE PROJ'!AH7</f>
        <v>4.5718320180220706E-2</v>
      </c>
      <c r="DL6" s="268">
        <f>+'WICHE Public Grads-RE PROJ'!FB7/'WICHE Public Grads-RE PROJ'!AI7</f>
        <v>4.5545100420217408E-2</v>
      </c>
      <c r="DM6" s="268">
        <f>+'WICHE Public Grads-RE PROJ'!FC7/'WICHE Public Grads-RE PROJ'!AJ7</f>
        <v>4.5749084414177729E-2</v>
      </c>
      <c r="DN6" s="268">
        <f>+'WICHE Public Grads-RE PROJ'!FD7/'WICHE Public Grads-RE PROJ'!AK7</f>
        <v>4.8355780090777657E-2</v>
      </c>
      <c r="DO6" s="266">
        <f>+'WICHE Public Grads-RE PROJ'!FE7/'WICHE Public Grads-RE PROJ'!AL7</f>
        <v>5.066596691872724E-2</v>
      </c>
      <c r="DP6" s="266">
        <f>+'WICHE Public Grads-RE PROJ'!FF7/'WICHE Public Grads-RE PROJ'!AM7</f>
        <v>5.2007752767387262E-2</v>
      </c>
      <c r="DQ6" s="266">
        <f>+'WICHE Public Grads-RE PROJ'!FG7/'WICHE Public Grads-RE PROJ'!AN7</f>
        <v>5.396020181485562E-2</v>
      </c>
      <c r="DR6" s="266">
        <f>+'WICHE Public Grads-RE PROJ'!FH7/'WICHE Public Grads-RE PROJ'!AO7</f>
        <v>5.7153347960209551E-2</v>
      </c>
      <c r="DS6" s="266">
        <f>+'WICHE Public Grads-RE PROJ'!FI7/'WICHE Public Grads-RE PROJ'!AP7</f>
        <v>5.5974078616576814E-2</v>
      </c>
      <c r="DT6" s="282">
        <f>+'WICHE Public Grads-RE PROJ'!FJ7/'WICHE Public Grads-RE PROJ'!AQ7</f>
        <v>5.9200062570277566E-2</v>
      </c>
      <c r="DU6" s="262">
        <f>+'WICHE Public Grads-RE PROJ'!FK7/'WICHE Public Grads-RE PROJ'!B7</f>
        <v>0.2085494485155476</v>
      </c>
      <c r="DV6" s="262">
        <f>+'WICHE Public Grads-RE PROJ'!FL7/'WICHE Public Grads-RE PROJ'!C7</f>
        <v>0.21676451033293387</v>
      </c>
      <c r="DW6" s="262">
        <f>+'WICHE Public Grads-RE PROJ'!FM7/'WICHE Public Grads-RE PROJ'!D7</f>
        <v>0.21552444373453111</v>
      </c>
      <c r="DX6" s="262">
        <f>+'WICHE Public Grads-RE PROJ'!FN7/'WICHE Public Grads-RE PROJ'!E7</f>
        <v>0.21618076990039692</v>
      </c>
      <c r="DY6" s="262">
        <f>+'WICHE Public Grads-RE PROJ'!FO7/'WICHE Public Grads-RE PROJ'!F7</f>
        <v>0.21921046082958973</v>
      </c>
      <c r="DZ6" s="262">
        <f>+'WICHE Public Grads-RE PROJ'!FP7/'WICHE Public Grads-RE PROJ'!G7</f>
        <v>0.22098904328964838</v>
      </c>
      <c r="EA6" s="267">
        <f>+'WICHE Public Grads-RE PROJ'!FQ7/'WICHE Public Grads-RE PROJ'!H7</f>
        <v>0.22212815861323365</v>
      </c>
      <c r="EB6" s="267">
        <f>+'WICHE Public Grads-RE PROJ'!FR7/'WICHE Public Grads-RE PROJ'!I7</f>
        <v>0.22122388780327862</v>
      </c>
      <c r="EC6" s="267">
        <f>+'WICHE Public Grads-RE PROJ'!FS7/'WICHE Public Grads-RE PROJ'!J7</f>
        <v>0.22200654183080437</v>
      </c>
      <c r="ED6" s="267">
        <f>+'WICHE Public Grads-RE PROJ'!FT7/'WICHE Public Grads-RE PROJ'!K7</f>
        <v>0.22170927581217406</v>
      </c>
      <c r="EE6" s="262">
        <f>+'WICHE Public Grads-RE PROJ'!FU7/'WICHE Public Grads-RE PROJ'!L7</f>
        <v>0.22298824920539956</v>
      </c>
      <c r="EF6" s="267">
        <f>+'WICHE Public Grads-RE PROJ'!FV7/'WICHE Public Grads-RE PROJ'!M7</f>
        <v>0.21949053820475536</v>
      </c>
      <c r="EG6" s="267">
        <f>+'WICHE Public Grads-RE PROJ'!FW7/'WICHE Public Grads-RE PROJ'!N7</f>
        <v>0.22177664430262656</v>
      </c>
      <c r="EH6" s="267">
        <f>+'WICHE Public Grads-RE PROJ'!FX7/'WICHE Public Grads-RE PROJ'!O7</f>
        <v>0.2248685234500355</v>
      </c>
      <c r="EI6" s="267">
        <f>+'WICHE Public Grads-RE PROJ'!FY7/'WICHE Public Grads-RE PROJ'!P7</f>
        <v>0.22331480749227162</v>
      </c>
      <c r="EJ6" s="267">
        <f>+'WICHE Public Grads-RE PROJ'!FZ7/'WICHE Public Grads-RE PROJ'!Q7</f>
        <v>0.22478266658670926</v>
      </c>
      <c r="EK6" s="267">
        <f>+'WICHE Public Grads-RE PROJ'!GA7/'WICHE Public Grads-RE PROJ'!R7</f>
        <v>0.22905988889764017</v>
      </c>
      <c r="EL6" s="267">
        <f>+'WICHE Public Grads-RE PROJ'!GB7/'WICHE Public Grads-RE PROJ'!S7</f>
        <v>0.23436984915750414</v>
      </c>
      <c r="EM6" s="267">
        <f>+'WICHE Public Grads-RE PROJ'!GC7/'WICHE Public Grads-RE PROJ'!T7</f>
        <v>0.23725355307149307</v>
      </c>
      <c r="EN6" s="267">
        <f>+'WICHE Public Grads-RE PROJ'!GD7/'WICHE Public Grads-RE PROJ'!U7</f>
        <v>0.23998689149397848</v>
      </c>
      <c r="EO6" s="267">
        <f>+'WICHE Public Grads-RE PROJ'!GE7/'WICHE Public Grads-RE PROJ'!V7</f>
        <v>0.23761278777416359</v>
      </c>
      <c r="EP6" s="267">
        <f>+'WICHE Public Grads-RE PROJ'!GF7/'WICHE Public Grads-RE PROJ'!W7</f>
        <v>0.23316927234549695</v>
      </c>
      <c r="EQ6" s="268">
        <f>+'WICHE Public Grads-RE PROJ'!GG7/'WICHE Public Grads-RE PROJ'!Y7</f>
        <v>0.23013954938646061</v>
      </c>
      <c r="ER6" s="268">
        <f>+'WICHE Public Grads-RE PROJ'!GH7/'WICHE Public Grads-RE PROJ'!Z7</f>
        <v>0.22906690963588416</v>
      </c>
      <c r="ES6" s="268">
        <f>+'WICHE Public Grads-RE PROJ'!GI7/'WICHE Public Grads-RE PROJ'!AA7</f>
        <v>0.22695929245377708</v>
      </c>
      <c r="ET6" s="268">
        <f>+'WICHE Public Grads-RE PROJ'!GJ7/'WICHE Public Grads-RE PROJ'!AB7</f>
        <v>0.223732721492895</v>
      </c>
      <c r="EU6" s="268">
        <f>+'WICHE Public Grads-RE PROJ'!GK7/'WICHE Public Grads-RE PROJ'!AC7</f>
        <v>0.22522400788167377</v>
      </c>
      <c r="EV6" s="268">
        <f>+'WICHE Public Grads-RE PROJ'!GL7/'WICHE Public Grads-RE PROJ'!AD7</f>
        <v>0.22250227023429506</v>
      </c>
      <c r="EW6" s="268">
        <f>+'WICHE Public Grads-RE PROJ'!GM7/'WICHE Public Grads-RE PROJ'!AE7</f>
        <v>0.22093270805708531</v>
      </c>
      <c r="EX6" s="268">
        <f>+'WICHE Public Grads-RE PROJ'!GN7/'WICHE Public Grads-RE PROJ'!AF7</f>
        <v>0.21583489122770408</v>
      </c>
      <c r="EY6" s="268">
        <f>+'WICHE Public Grads-RE PROJ'!GO7/'WICHE Public Grads-RE PROJ'!AG7</f>
        <v>0.21346362764573382</v>
      </c>
      <c r="EZ6" s="268">
        <f>+'WICHE Public Grads-RE PROJ'!GP7/'WICHE Public Grads-RE PROJ'!AH7</f>
        <v>0.21472667599423406</v>
      </c>
      <c r="FA6" s="268">
        <f>+'WICHE Public Grads-RE PROJ'!GQ7/'WICHE Public Grads-RE PROJ'!AI7</f>
        <v>0.21730537049165671</v>
      </c>
      <c r="FB6" s="268">
        <f>+'WICHE Public Grads-RE PROJ'!GR7/'WICHE Public Grads-RE PROJ'!AJ7</f>
        <v>0.21950256474562924</v>
      </c>
      <c r="FC6" s="268">
        <f>+'WICHE Public Grads-RE PROJ'!GS7/'WICHE Public Grads-RE PROJ'!AK7</f>
        <v>0.22130591811226885</v>
      </c>
      <c r="FD6" s="266">
        <f>+'WICHE Public Grads-RE PROJ'!GT7/'WICHE Public Grads-RE PROJ'!AL7</f>
        <v>0.22077369982333245</v>
      </c>
      <c r="FE6" s="266">
        <f>+'WICHE Public Grads-RE PROJ'!GU7/'WICHE Public Grads-RE PROJ'!AM7</f>
        <v>0.22065877506261924</v>
      </c>
      <c r="FF6" s="266">
        <f>+'WICHE Public Grads-RE PROJ'!GV7/'WICHE Public Grads-RE PROJ'!AN7</f>
        <v>0.21855316824699333</v>
      </c>
      <c r="FG6" s="266">
        <f>+'WICHE Public Grads-RE PROJ'!GW7/'WICHE Public Grads-RE PROJ'!AO7</f>
        <v>0.21888329218857103</v>
      </c>
      <c r="FH6" s="266">
        <f>+'WICHE Public Grads-RE PROJ'!GX7/'WICHE Public Grads-RE PROJ'!AP7</f>
        <v>0.21926034904705333</v>
      </c>
      <c r="FI6" s="446">
        <f>+'WICHE Public Grads-RE PROJ'!GY7/'WICHE Public Grads-RE PROJ'!AQ7</f>
        <v>0.2177357926704917</v>
      </c>
      <c r="FJ6" s="262">
        <f>+'WICHE Public Grads-RE PROJ'!GZ7/'WICHE Public Grads-RE PROJ'!B7</f>
        <v>8.689274034951687E-2</v>
      </c>
      <c r="FK6" s="262">
        <f>+'WICHE Public Grads-RE PROJ'!HA7/'WICHE Public Grads-RE PROJ'!C7</f>
        <v>8.3171539321334989E-2</v>
      </c>
      <c r="FL6" s="262">
        <f>+'WICHE Public Grads-RE PROJ'!HB7/'WICHE Public Grads-RE PROJ'!D7</f>
        <v>8.8575311607257082E-2</v>
      </c>
      <c r="FM6" s="262">
        <f>+'WICHE Public Grads-RE PROJ'!HC7/'WICHE Public Grads-RE PROJ'!E7</f>
        <v>8.8915399690667155E-2</v>
      </c>
      <c r="FN6" s="262">
        <f>+'WICHE Public Grads-RE PROJ'!HD7/'WICHE Public Grads-RE PROJ'!F7</f>
        <v>9.1824768707104459E-2</v>
      </c>
      <c r="FO6" s="262">
        <f>+'WICHE Public Grads-RE PROJ'!HE7/'WICHE Public Grads-RE PROJ'!G7</f>
        <v>9.5088231418696351E-2</v>
      </c>
      <c r="FP6" s="267">
        <f>+'WICHE Public Grads-RE PROJ'!HF7/'WICHE Public Grads-RE PROJ'!H7</f>
        <v>0.10057354369376797</v>
      </c>
      <c r="FQ6" s="267">
        <f>+'WICHE Public Grads-RE PROJ'!HG7/'WICHE Public Grads-RE PROJ'!I7</f>
        <v>0.10411609771213139</v>
      </c>
      <c r="FR6" s="267">
        <f>+'WICHE Public Grads-RE PROJ'!HH7/'WICHE Public Grads-RE PROJ'!J7</f>
        <v>0.10915122714638539</v>
      </c>
      <c r="FS6" s="267">
        <f>+'WICHE Public Grads-RE PROJ'!HI7/'WICHE Public Grads-RE PROJ'!K7</f>
        <v>0.11368727503880725</v>
      </c>
      <c r="FT6" s="262">
        <f>+'WICHE Public Grads-RE PROJ'!HJ7/'WICHE Public Grads-RE PROJ'!L7</f>
        <v>0.11997543318168041</v>
      </c>
      <c r="FU6" s="267">
        <f>+'WICHE Public Grads-RE PROJ'!HK7/'WICHE Public Grads-RE PROJ'!M7</f>
        <v>0.12573923426997113</v>
      </c>
      <c r="FV6" s="267">
        <f>+'WICHE Public Grads-RE PROJ'!HL7/'WICHE Public Grads-RE PROJ'!N7</f>
        <v>0.13205976521805468</v>
      </c>
      <c r="FW6" s="267">
        <f>+'WICHE Public Grads-RE PROJ'!HM7/'WICHE Public Grads-RE PROJ'!O7</f>
        <v>0.1344554295009075</v>
      </c>
      <c r="FX6" s="267">
        <f>+'WICHE Public Grads-RE PROJ'!HN7/'WICHE Public Grads-RE PROJ'!P7</f>
        <v>0.13718373134157066</v>
      </c>
      <c r="FY6" s="267">
        <f>+'WICHE Public Grads-RE PROJ'!HO7/'WICHE Public Grads-RE PROJ'!Q7</f>
        <v>0.13901003906055454</v>
      </c>
      <c r="FZ6" s="267">
        <f>+'WICHE Public Grads-RE PROJ'!HP7/'WICHE Public Grads-RE PROJ'!R7</f>
        <v>0.14779258688805461</v>
      </c>
      <c r="GA6" s="267">
        <f>+'WICHE Public Grads-RE PROJ'!HQ7/'WICHE Public Grads-RE PROJ'!S7</f>
        <v>0.15807234166046022</v>
      </c>
      <c r="GB6" s="267">
        <f>+'WICHE Public Grads-RE PROJ'!HR7/'WICHE Public Grads-RE PROJ'!T7</f>
        <v>0.17369375063568865</v>
      </c>
      <c r="GC6" s="267">
        <f>+'WICHE Public Grads-RE PROJ'!HS7/'WICHE Public Grads-RE PROJ'!U7</f>
        <v>0.18435090869825088</v>
      </c>
      <c r="GD6" s="267">
        <f>+'WICHE Public Grads-RE PROJ'!HT7/'WICHE Public Grads-RE PROJ'!V7</f>
        <v>0.18962363763265744</v>
      </c>
      <c r="GE6" s="267">
        <f>+'WICHE Public Grads-RE PROJ'!HU7/'WICHE Public Grads-RE PROJ'!W7</f>
        <v>0.20159224108461291</v>
      </c>
      <c r="GF6" s="268">
        <f>+'WICHE Public Grads-RE PROJ'!HV7/'WICHE Public Grads-RE PROJ'!Y7</f>
        <v>0.2056937197222295</v>
      </c>
      <c r="GG6" s="268">
        <f>+'WICHE Public Grads-RE PROJ'!HW7/'WICHE Public Grads-RE PROJ'!Z7</f>
        <v>0.21415100325349457</v>
      </c>
      <c r="GH6" s="268">
        <f>+'WICHE Public Grads-RE PROJ'!HX7/'WICHE Public Grads-RE PROJ'!AA7</f>
        <v>0.22336286233073255</v>
      </c>
      <c r="GI6" s="268">
        <f>+'WICHE Public Grads-RE PROJ'!HY7/'WICHE Public Grads-RE PROJ'!AB7</f>
        <v>0.22784640746600082</v>
      </c>
      <c r="GJ6" s="268">
        <f>+'WICHE Public Grads-RE PROJ'!HZ7/'WICHE Public Grads-RE PROJ'!AC7</f>
        <v>0.23568631529904771</v>
      </c>
      <c r="GK6" s="268">
        <f>+'WICHE Public Grads-RE PROJ'!IA7/'WICHE Public Grads-RE PROJ'!AD7</f>
        <v>0.24656962374548896</v>
      </c>
      <c r="GL6" s="268">
        <f>+'WICHE Public Grads-RE PROJ'!IB7/'WICHE Public Grads-RE PROJ'!AE7</f>
        <v>0.25261116820216356</v>
      </c>
      <c r="GM6" s="268">
        <f>+'WICHE Public Grads-RE PROJ'!IC7/'WICHE Public Grads-RE PROJ'!AF7</f>
        <v>0.2612119960698896</v>
      </c>
      <c r="GN6" s="268">
        <f>+'WICHE Public Grads-RE PROJ'!ID7/'WICHE Public Grads-RE PROJ'!AG7</f>
        <v>0.26786382680957638</v>
      </c>
      <c r="GO6" s="268">
        <f>+'WICHE Public Grads-RE PROJ'!IE7/'WICHE Public Grads-RE PROJ'!AH7</f>
        <v>0.27545518985776685</v>
      </c>
      <c r="GP6" s="268">
        <f>+'WICHE Public Grads-RE PROJ'!IF7/'WICHE Public Grads-RE PROJ'!AI7</f>
        <v>0.28234744036153442</v>
      </c>
      <c r="GQ6" s="268">
        <f>+'WICHE Public Grads-RE PROJ'!IG7/'WICHE Public Grads-RE PROJ'!AJ7</f>
        <v>0.28784860500404502</v>
      </c>
      <c r="GR6" s="268">
        <f>+'WICHE Public Grads-RE PROJ'!IH7/'WICHE Public Grads-RE PROJ'!AK7</f>
        <v>0.28812698815036469</v>
      </c>
      <c r="GS6" s="266">
        <f>+'WICHE Public Grads-RE PROJ'!II7/'WICHE Public Grads-RE PROJ'!AL7</f>
        <v>0.28669165694584825</v>
      </c>
      <c r="GT6" s="266">
        <f>+'WICHE Public Grads-RE PROJ'!IJ7/'WICHE Public Grads-RE PROJ'!AM7</f>
        <v>0.27844204712480447</v>
      </c>
      <c r="GU6" s="266">
        <f>+'WICHE Public Grads-RE PROJ'!IK7/'WICHE Public Grads-RE PROJ'!AN7</f>
        <v>0.27226685521071803</v>
      </c>
      <c r="GV6" s="266">
        <f>+'WICHE Public Grads-RE PROJ'!IL7/'WICHE Public Grads-RE PROJ'!AO7</f>
        <v>0.27031325944565593</v>
      </c>
      <c r="GW6" s="266">
        <f>+'WICHE Public Grads-RE PROJ'!IM7/'WICHE Public Grads-RE PROJ'!AP7</f>
        <v>0.27307931435797561</v>
      </c>
      <c r="GX6" s="282">
        <f>+'WICHE Public Grads-RE PROJ'!IN7/'WICHE Public Grads-RE PROJ'!AQ7</f>
        <v>0.274942494414466</v>
      </c>
      <c r="GY6" s="262">
        <f>+'WICHE Public Grads-RE PROJ'!IO7/'WICHE Public Grads-RE PROJ'!B7</f>
        <v>0.67572907859610198</v>
      </c>
      <c r="GZ6" s="262">
        <f>+'WICHE Public Grads-RE PROJ'!IP7/'WICHE Public Grads-RE PROJ'!C7</f>
        <v>0.67052494120438944</v>
      </c>
      <c r="HA6" s="262">
        <f>+'WICHE Public Grads-RE PROJ'!IQ7/'WICHE Public Grads-RE PROJ'!D7</f>
        <v>0.66440544674068525</v>
      </c>
      <c r="HB6" s="262">
        <f>+'WICHE Public Grads-RE PROJ'!IR7/'WICHE Public Grads-RE PROJ'!E7</f>
        <v>0.66228566737585193</v>
      </c>
      <c r="HC6" s="262">
        <f>+'WICHE Public Grads-RE PROJ'!IS7/'WICHE Public Grads-RE PROJ'!F7</f>
        <v>0.65675380911313619</v>
      </c>
      <c r="HD6" s="262">
        <f>+'WICHE Public Grads-RE PROJ'!IT7/'WICHE Public Grads-RE PROJ'!G7</f>
        <v>0.65132245770871977</v>
      </c>
      <c r="HE6" s="267">
        <f>+'WICHE Public Grads-RE PROJ'!IU7/'WICHE Public Grads-RE PROJ'!H7</f>
        <v>0.64342440400930867</v>
      </c>
      <c r="HF6" s="267">
        <f>+'WICHE Public Grads-RE PROJ'!IV7/'WICHE Public Grads-RE PROJ'!I7</f>
        <v>0.64012279473318212</v>
      </c>
      <c r="HG6" s="267">
        <f>+'WICHE Public Grads-RE PROJ'!IW7/'WICHE Public Grads-RE PROJ'!J7</f>
        <v>0.63250351370139768</v>
      </c>
      <c r="HH6" s="267">
        <f>+'WICHE Public Grads-RE PROJ'!IX7/'WICHE Public Grads-RE PROJ'!K7</f>
        <v>0.62733770751894058</v>
      </c>
      <c r="HI6" s="262">
        <f>+'WICHE Public Grads-RE PROJ'!IY7/'WICHE Public Grads-RE PROJ'!L7</f>
        <v>0.61911797742782682</v>
      </c>
      <c r="HJ6" s="267">
        <f>+'WICHE Public Grads-RE PROJ'!IZ7/'WICHE Public Grads-RE PROJ'!M7</f>
        <v>0.61623834521331688</v>
      </c>
      <c r="HK6" s="267">
        <f>+'WICHE Public Grads-RE PROJ'!JA7/'WICHE Public Grads-RE PROJ'!N7</f>
        <v>0.60664099244842806</v>
      </c>
      <c r="HL6" s="267">
        <f>+'WICHE Public Grads-RE PROJ'!JB7/'WICHE Public Grads-RE PROJ'!O7</f>
        <v>0.59964411143435825</v>
      </c>
      <c r="HM6" s="267">
        <f>+'WICHE Public Grads-RE PROJ'!JC7/'WICHE Public Grads-RE PROJ'!P7</f>
        <v>0.59545989957025747</v>
      </c>
      <c r="HN6" s="267">
        <f>+'WICHE Public Grads-RE PROJ'!JD7/'WICHE Public Grads-RE PROJ'!Q7</f>
        <v>0.58695013604619373</v>
      </c>
      <c r="HO6" s="267">
        <f>+'WICHE Public Grads-RE PROJ'!JE7/'WICHE Public Grads-RE PROJ'!R7</f>
        <v>0.57432802325117827</v>
      </c>
      <c r="HP6" s="267">
        <f>+'WICHE Public Grads-RE PROJ'!JF7/'WICHE Public Grads-RE PROJ'!S7</f>
        <v>0.5570446854810458</v>
      </c>
      <c r="HQ6" s="267">
        <f>+'WICHE Public Grads-RE PROJ'!JG7/'WICHE Public Grads-RE PROJ'!T7</f>
        <v>0.53928267694919052</v>
      </c>
      <c r="HR6" s="267">
        <f>+'WICHE Public Grads-RE PROJ'!JH7/'WICHE Public Grads-RE PROJ'!U7</f>
        <v>0.53241932644459222</v>
      </c>
      <c r="HS6" s="267">
        <f>+'WICHE Public Grads-RE PROJ'!JI7/'WICHE Public Grads-RE PROJ'!V7</f>
        <v>0.52851900320482115</v>
      </c>
      <c r="HT6" s="267">
        <f>+'WICHE Public Grads-RE PROJ'!JJ7/'WICHE Public Grads-RE PROJ'!W7</f>
        <v>0.52002201945915083</v>
      </c>
      <c r="HU6" s="268">
        <f>+'WICHE Public Grads-RE PROJ'!JK7/'WICHE Public Grads-RE PROJ'!Y7</f>
        <v>0.51706508668576801</v>
      </c>
      <c r="HV6" s="268">
        <f>+'WICHE Public Grads-RE PROJ'!JL7/'WICHE Public Grads-RE PROJ'!Z7</f>
        <v>0.51078670766823442</v>
      </c>
      <c r="HW6" s="268">
        <f>+'WICHE Public Grads-RE PROJ'!JM7/'WICHE Public Grads-RE PROJ'!AA7</f>
        <v>0.50556736463617791</v>
      </c>
      <c r="HX6" s="268">
        <f>+'WICHE Public Grads-RE PROJ'!JN7/'WICHE Public Grads-RE PROJ'!AB7</f>
        <v>0.50503235599949159</v>
      </c>
      <c r="HY6" s="268">
        <f>+'WICHE Public Grads-RE PROJ'!JO7/'WICHE Public Grads-RE PROJ'!AC7</f>
        <v>0.49543971428901912</v>
      </c>
      <c r="HZ6" s="268">
        <f>+'WICHE Public Grads-RE PROJ'!JP7/'WICHE Public Grads-RE PROJ'!AD7</f>
        <v>0.48845637153965943</v>
      </c>
      <c r="IA6" s="268">
        <f>+'WICHE Public Grads-RE PROJ'!JQ7/'WICHE Public Grads-RE PROJ'!AE7</f>
        <v>0.48530529914114207</v>
      </c>
      <c r="IB6" s="268">
        <f>+'WICHE Public Grads-RE PROJ'!JR7/'WICHE Public Grads-RE PROJ'!AF7</f>
        <v>0.48296537520866872</v>
      </c>
      <c r="IC6" s="268">
        <f>+'WICHE Public Grads-RE PROJ'!JS7/'WICHE Public Grads-RE PROJ'!AG7</f>
        <v>0.48028107727807406</v>
      </c>
      <c r="ID6" s="268">
        <f>+'WICHE Public Grads-RE PROJ'!JT7/'WICHE Public Grads-RE PROJ'!AH7</f>
        <v>0.47348379281543274</v>
      </c>
      <c r="IE6" s="268">
        <f>+'WICHE Public Grads-RE PROJ'!JU7/'WICHE Public Grads-RE PROJ'!AI7</f>
        <v>0.4660586664285411</v>
      </c>
      <c r="IF6" s="268">
        <f>+'WICHE Public Grads-RE PROJ'!JV7/'WICHE Public Grads-RE PROJ'!AJ7</f>
        <v>0.46076559421574859</v>
      </c>
      <c r="IG6" s="268">
        <f>+'WICHE Public Grads-RE PROJ'!JW7/'WICHE Public Grads-RE PROJ'!AK7</f>
        <v>0.4566653180047201</v>
      </c>
      <c r="IH6" s="266">
        <f>+'WICHE Public Grads-RE PROJ'!JX7/'WICHE Public Grads-RE PROJ'!AL7</f>
        <v>0.45668796938921469</v>
      </c>
      <c r="II6" s="266">
        <f>+'WICHE Public Grads-RE PROJ'!JY7/'WICHE Public Grads-RE PROJ'!AM7</f>
        <v>0.46209559362196717</v>
      </c>
      <c r="IJ6" s="266">
        <f>+'WICHE Public Grads-RE PROJ'!JZ7/'WICHE Public Grads-RE PROJ'!AN7</f>
        <v>0.4645805803668146</v>
      </c>
      <c r="IK6" s="266">
        <f>+'WICHE Public Grads-RE PROJ'!KA7/'WICHE Public Grads-RE PROJ'!AO7</f>
        <v>0.46398148634101499</v>
      </c>
      <c r="IL6" s="266">
        <f>+'WICHE Public Grads-RE PROJ'!KB7/'WICHE Public Grads-RE PROJ'!AP7</f>
        <v>0.46224548161275286</v>
      </c>
      <c r="IM6" s="282">
        <f>+'WICHE Public Grads-RE PROJ'!KC7/'WICHE Public Grads-RE PROJ'!AQ7</f>
        <v>0.46080408791941047</v>
      </c>
      <c r="IN6" s="278">
        <f t="shared" si="0"/>
        <v>1.0000000000000002</v>
      </c>
      <c r="IO6" s="278">
        <f t="shared" si="0"/>
        <v>1</v>
      </c>
      <c r="IP6" s="278">
        <f t="shared" si="0"/>
        <v>1</v>
      </c>
      <c r="IQ6" s="278">
        <f t="shared" si="0"/>
        <v>1</v>
      </c>
      <c r="IR6" s="278">
        <f t="shared" si="0"/>
        <v>1</v>
      </c>
      <c r="IS6" s="278">
        <f t="shared" si="0"/>
        <v>1</v>
      </c>
      <c r="IT6" s="278">
        <f t="shared" si="0"/>
        <v>1</v>
      </c>
      <c r="IU6" s="278">
        <f t="shared" si="0"/>
        <v>1</v>
      </c>
      <c r="IV6" s="278">
        <f t="shared" si="0"/>
        <v>1</v>
      </c>
      <c r="IW6" s="278">
        <f t="shared" si="0"/>
        <v>0.99984270425938637</v>
      </c>
      <c r="IX6" s="278">
        <f t="shared" si="1"/>
        <v>0.99975297318495904</v>
      </c>
      <c r="IY6" s="278">
        <f t="shared" si="1"/>
        <v>0.99919470976570213</v>
      </c>
      <c r="IZ6" s="278">
        <f t="shared" si="1"/>
        <v>0.99877770335089755</v>
      </c>
      <c r="JA6" s="278">
        <f t="shared" si="1"/>
        <v>0.99868638335502524</v>
      </c>
      <c r="JB6" s="278">
        <f t="shared" si="1"/>
        <v>0.99706723450960422</v>
      </c>
      <c r="JC6" s="278">
        <f t="shared" si="1"/>
        <v>0.99263104292595372</v>
      </c>
      <c r="JD6" s="278">
        <f t="shared" si="1"/>
        <v>0.99275296789933309</v>
      </c>
      <c r="JE6" s="278">
        <f t="shared" si="1"/>
        <v>0.99155406095023912</v>
      </c>
      <c r="JF6" s="278">
        <f t="shared" si="1"/>
        <v>0.99361405344143661</v>
      </c>
      <c r="JG6" s="278">
        <f t="shared" si="1"/>
        <v>0.99998655838098383</v>
      </c>
      <c r="JH6" s="278">
        <f t="shared" si="2"/>
        <v>0.99998389319397962</v>
      </c>
      <c r="JI6" s="278">
        <f t="shared" si="2"/>
        <v>0.99998942735003571</v>
      </c>
      <c r="JJ6" s="278">
        <f t="shared" si="2"/>
        <v>0.99913491347542172</v>
      </c>
      <c r="JK6" s="278">
        <f t="shared" si="2"/>
        <v>1.0008297567340025</v>
      </c>
      <c r="JL6" s="278">
        <f t="shared" si="2"/>
        <v>1.0026972890842538</v>
      </c>
      <c r="JM6" s="278">
        <f t="shared" si="2"/>
        <v>1.0036065830085223</v>
      </c>
      <c r="JN6" s="278">
        <f t="shared" si="2"/>
        <v>1.0050312850717114</v>
      </c>
      <c r="JO6" s="278">
        <f t="shared" si="2"/>
        <v>1.0070392707930294</v>
      </c>
      <c r="JP6" s="278">
        <f t="shared" si="2"/>
        <v>1.0093437277681607</v>
      </c>
      <c r="JQ6" s="278">
        <f t="shared" si="2"/>
        <v>1.0123597048079493</v>
      </c>
      <c r="JR6" s="278">
        <f t="shared" si="3"/>
        <v>1.0149912002057486</v>
      </c>
      <c r="JS6" s="278">
        <f t="shared" si="3"/>
        <v>1.0168871046433172</v>
      </c>
      <c r="JT6" s="278">
        <f t="shared" si="3"/>
        <v>1.0186254715443095</v>
      </c>
      <c r="JU6" s="278">
        <f t="shared" si="3"/>
        <v>1.0207803080799644</v>
      </c>
      <c r="JV6" s="278">
        <f t="shared" si="3"/>
        <v>1.022055260662051</v>
      </c>
      <c r="JW6" s="278">
        <f t="shared" si="3"/>
        <v>1.0224734915460676</v>
      </c>
      <c r="JX6" s="278">
        <f t="shared" si="3"/>
        <v>1.0209270771806356</v>
      </c>
      <c r="JY6" s="278">
        <f t="shared" si="4"/>
        <v>1.016725320275309</v>
      </c>
      <c r="JZ6" s="278">
        <f t="shared" si="4"/>
        <v>1.0176444432122231</v>
      </c>
      <c r="KA6" s="278">
        <f t="shared" si="4"/>
        <v>1.0178523681646257</v>
      </c>
      <c r="KB6" s="278">
        <f t="shared" si="4"/>
        <v>1.0197463697951774</v>
      </c>
    </row>
    <row r="7" spans="1:288" s="17" customFormat="1">
      <c r="A7" s="113"/>
      <c r="B7" s="262"/>
      <c r="C7" s="262"/>
      <c r="D7" s="262"/>
      <c r="E7" s="262"/>
      <c r="F7" s="262"/>
      <c r="G7" s="262"/>
      <c r="H7" s="267"/>
      <c r="I7" s="267"/>
      <c r="J7" s="267"/>
      <c r="K7" s="267"/>
      <c r="L7" s="262"/>
      <c r="M7" s="267"/>
      <c r="N7" s="267"/>
      <c r="O7" s="267"/>
      <c r="P7" s="267"/>
      <c r="Q7" s="267"/>
      <c r="R7" s="267"/>
      <c r="S7" s="267"/>
      <c r="T7" s="267"/>
      <c r="U7" s="267"/>
      <c r="V7" s="267"/>
      <c r="W7" s="267"/>
      <c r="X7" s="268"/>
      <c r="Y7" s="268"/>
      <c r="Z7" s="268"/>
      <c r="AA7" s="268"/>
      <c r="AB7" s="266"/>
      <c r="AC7" s="266"/>
      <c r="AD7" s="266"/>
      <c r="AE7" s="266"/>
      <c r="AF7" s="266"/>
      <c r="AG7" s="268"/>
      <c r="AH7" s="266"/>
      <c r="AI7" s="266"/>
      <c r="AJ7" s="266"/>
      <c r="AK7" s="266"/>
      <c r="AL7" s="266"/>
      <c r="AM7" s="266"/>
      <c r="AN7" s="266"/>
      <c r="AO7" s="266"/>
      <c r="AP7" s="282"/>
      <c r="AQ7" s="262"/>
      <c r="AR7" s="262"/>
      <c r="AS7" s="262"/>
      <c r="AT7" s="262"/>
      <c r="AU7" s="262"/>
      <c r="AV7" s="262"/>
      <c r="AW7" s="267"/>
      <c r="AX7" s="267"/>
      <c r="AY7" s="267"/>
      <c r="AZ7" s="267"/>
      <c r="BA7" s="262"/>
      <c r="BB7" s="267"/>
      <c r="BC7" s="267"/>
      <c r="BD7" s="267"/>
      <c r="BE7" s="267"/>
      <c r="BF7" s="267"/>
      <c r="BG7" s="267"/>
      <c r="BH7" s="267"/>
      <c r="BI7" s="267"/>
      <c r="BJ7" s="267"/>
      <c r="BK7" s="267"/>
      <c r="BL7" s="267"/>
      <c r="BM7" s="268"/>
      <c r="BN7" s="268"/>
      <c r="BO7" s="268"/>
      <c r="BP7" s="268"/>
      <c r="BQ7" s="266"/>
      <c r="BR7" s="266"/>
      <c r="BS7" s="266"/>
      <c r="BT7" s="266"/>
      <c r="BU7" s="266"/>
      <c r="BV7" s="268"/>
      <c r="BW7" s="266"/>
      <c r="BX7" s="266"/>
      <c r="BY7" s="266"/>
      <c r="BZ7" s="266"/>
      <c r="CA7" s="266"/>
      <c r="CB7" s="266"/>
      <c r="CC7" s="266"/>
      <c r="CD7" s="266"/>
      <c r="CE7" s="282"/>
      <c r="CF7" s="262"/>
      <c r="CG7" s="262"/>
      <c r="CH7" s="262"/>
      <c r="CI7" s="262"/>
      <c r="CJ7" s="262"/>
      <c r="CK7" s="262"/>
      <c r="CL7" s="267"/>
      <c r="CM7" s="267"/>
      <c r="CN7" s="267"/>
      <c r="CO7" s="267"/>
      <c r="CP7" s="262"/>
      <c r="CQ7" s="267"/>
      <c r="CR7" s="267"/>
      <c r="CS7" s="267"/>
      <c r="CT7" s="267"/>
      <c r="CU7" s="267"/>
      <c r="CV7" s="267"/>
      <c r="CW7" s="267"/>
      <c r="CX7" s="267"/>
      <c r="CY7" s="267"/>
      <c r="CZ7" s="267"/>
      <c r="DA7" s="267"/>
      <c r="DB7" s="268"/>
      <c r="DC7" s="268"/>
      <c r="DD7" s="268"/>
      <c r="DE7" s="268"/>
      <c r="DF7" s="266"/>
      <c r="DG7" s="266"/>
      <c r="DH7" s="266"/>
      <c r="DI7" s="266"/>
      <c r="DJ7" s="266"/>
      <c r="DK7" s="268"/>
      <c r="DL7" s="266"/>
      <c r="DM7" s="266"/>
      <c r="DN7" s="266"/>
      <c r="DO7" s="266"/>
      <c r="DP7" s="266"/>
      <c r="DQ7" s="266"/>
      <c r="DR7" s="266"/>
      <c r="DS7" s="266"/>
      <c r="DT7" s="282"/>
      <c r="DU7" s="262"/>
      <c r="DV7" s="262"/>
      <c r="DW7" s="262"/>
      <c r="DX7" s="262"/>
      <c r="DY7" s="262"/>
      <c r="DZ7" s="262"/>
      <c r="EA7" s="267"/>
      <c r="EB7" s="267"/>
      <c r="EC7" s="267"/>
      <c r="ED7" s="267"/>
      <c r="EE7" s="262"/>
      <c r="EF7" s="267"/>
      <c r="EG7" s="267"/>
      <c r="EH7" s="267"/>
      <c r="EI7" s="267"/>
      <c r="EJ7" s="267"/>
      <c r="EK7" s="267"/>
      <c r="EL7" s="267"/>
      <c r="EM7" s="267"/>
      <c r="EN7" s="267"/>
      <c r="EO7" s="267"/>
      <c r="EP7" s="267"/>
      <c r="EQ7" s="268"/>
      <c r="ER7" s="268"/>
      <c r="ES7" s="268"/>
      <c r="ET7" s="268"/>
      <c r="EU7" s="266"/>
      <c r="EV7" s="266"/>
      <c r="EW7" s="266"/>
      <c r="EX7" s="266"/>
      <c r="EY7" s="266"/>
      <c r="EZ7" s="268"/>
      <c r="FA7" s="266"/>
      <c r="FB7" s="266"/>
      <c r="FC7" s="266"/>
      <c r="FD7" s="266"/>
      <c r="FE7" s="266"/>
      <c r="FF7" s="266"/>
      <c r="FG7" s="266"/>
      <c r="FH7" s="266"/>
      <c r="FI7" s="282"/>
      <c r="FJ7" s="262"/>
      <c r="FK7" s="262"/>
      <c r="FL7" s="262"/>
      <c r="FM7" s="262"/>
      <c r="FN7" s="262"/>
      <c r="FO7" s="262"/>
      <c r="FP7" s="267"/>
      <c r="FQ7" s="267"/>
      <c r="FR7" s="267"/>
      <c r="FS7" s="267"/>
      <c r="FT7" s="262"/>
      <c r="FU7" s="267"/>
      <c r="FV7" s="267"/>
      <c r="FW7" s="267"/>
      <c r="FX7" s="267"/>
      <c r="FY7" s="267"/>
      <c r="FZ7" s="267"/>
      <c r="GA7" s="267"/>
      <c r="GB7" s="267"/>
      <c r="GC7" s="267"/>
      <c r="GD7" s="267"/>
      <c r="GE7" s="267"/>
      <c r="GF7" s="268"/>
      <c r="GG7" s="268"/>
      <c r="GH7" s="268"/>
      <c r="GI7" s="268"/>
      <c r="GJ7" s="266"/>
      <c r="GK7" s="266"/>
      <c r="GL7" s="266"/>
      <c r="GM7" s="266"/>
      <c r="GN7" s="266"/>
      <c r="GO7" s="268"/>
      <c r="GP7" s="266"/>
      <c r="GQ7" s="266"/>
      <c r="GR7" s="266"/>
      <c r="GS7" s="266"/>
      <c r="GT7" s="266"/>
      <c r="GU7" s="266"/>
      <c r="GV7" s="266"/>
      <c r="GW7" s="266"/>
      <c r="GX7" s="282"/>
      <c r="GY7" s="262"/>
      <c r="GZ7" s="262"/>
      <c r="HA7" s="262"/>
      <c r="HB7" s="262"/>
      <c r="HC7" s="262"/>
      <c r="HD7" s="262"/>
      <c r="HE7" s="267"/>
      <c r="HF7" s="267"/>
      <c r="HG7" s="267"/>
      <c r="HH7" s="267"/>
      <c r="HI7" s="262"/>
      <c r="HJ7" s="267"/>
      <c r="HK7" s="267"/>
      <c r="HL7" s="267"/>
      <c r="HM7" s="267"/>
      <c r="HN7" s="267"/>
      <c r="HO7" s="267"/>
      <c r="HP7" s="267"/>
      <c r="HQ7" s="267"/>
      <c r="HR7" s="267"/>
      <c r="HS7" s="267"/>
      <c r="HT7" s="267"/>
      <c r="HU7" s="268"/>
      <c r="HV7" s="268"/>
      <c r="HW7" s="268"/>
      <c r="HX7" s="268"/>
      <c r="HY7" s="266"/>
      <c r="HZ7" s="266"/>
      <c r="IA7" s="266"/>
      <c r="IB7" s="266"/>
      <c r="IC7" s="266"/>
      <c r="ID7" s="268"/>
      <c r="IE7" s="266"/>
      <c r="IF7" s="266"/>
      <c r="IG7" s="266"/>
      <c r="IH7" s="266"/>
      <c r="II7" s="266"/>
      <c r="IJ7" s="266"/>
      <c r="IK7" s="266"/>
      <c r="IL7" s="266"/>
      <c r="IM7" s="282"/>
      <c r="IN7" s="278"/>
      <c r="IO7" s="278"/>
      <c r="IP7" s="278"/>
      <c r="IQ7" s="278"/>
      <c r="IR7" s="278"/>
      <c r="IS7" s="278"/>
      <c r="IT7" s="278"/>
      <c r="IU7" s="278"/>
      <c r="IV7" s="278"/>
      <c r="IW7" s="278"/>
      <c r="IX7" s="278"/>
      <c r="IY7" s="278"/>
      <c r="IZ7" s="278"/>
      <c r="JA7" s="278"/>
      <c r="JB7" s="278"/>
      <c r="JC7" s="278"/>
      <c r="JD7" s="278"/>
      <c r="JE7" s="278"/>
      <c r="JF7" s="278"/>
      <c r="JG7" s="278"/>
      <c r="JH7" s="278"/>
      <c r="JI7" s="278"/>
      <c r="JJ7" s="278"/>
      <c r="JK7" s="278"/>
      <c r="JL7" s="278"/>
      <c r="JM7" s="278"/>
      <c r="JN7" s="278"/>
      <c r="JO7" s="278"/>
      <c r="JP7" s="278"/>
      <c r="JQ7" s="278"/>
      <c r="JR7" s="278"/>
      <c r="JS7" s="278"/>
      <c r="JT7" s="278"/>
      <c r="JU7" s="278"/>
      <c r="JV7" s="278"/>
      <c r="JW7" s="278"/>
      <c r="JX7" s="278"/>
      <c r="JY7" s="278"/>
      <c r="JZ7" s="278"/>
      <c r="KA7" s="278"/>
      <c r="KB7" s="278"/>
    </row>
    <row r="8" spans="1:288" s="17" customFormat="1">
      <c r="A8" s="173" t="s">
        <v>33</v>
      </c>
      <c r="B8" s="262">
        <f>+'WICHE Public Grads-RE PROJ'!AR9/'WICHE Public Grads-RE PROJ'!B9</f>
        <v>1.6003102378490175E-2</v>
      </c>
      <c r="C8" s="262">
        <f>+'WICHE Public Grads-RE PROJ'!AS9/'WICHE Public Grads-RE PROJ'!C9</f>
        <v>1.663565417835421E-2</v>
      </c>
      <c r="D8" s="262">
        <f>+'WICHE Public Grads-RE PROJ'!AT9/'WICHE Public Grads-RE PROJ'!D9</f>
        <v>1.7069701280227598E-2</v>
      </c>
      <c r="E8" s="262">
        <f>+'WICHE Public Grads-RE PROJ'!AU9/'WICHE Public Grads-RE PROJ'!E9</f>
        <v>1.8859600749972429E-2</v>
      </c>
      <c r="F8" s="262">
        <f>+'WICHE Public Grads-RE PROJ'!AV9/'WICHE Public Grads-RE PROJ'!F9</f>
        <v>1.9433267699683246E-2</v>
      </c>
      <c r="G8" s="262">
        <f>+'WICHE Public Grads-RE PROJ'!AW9/'WICHE Public Grads-RE PROJ'!G9</f>
        <v>2.0106146977057652E-2</v>
      </c>
      <c r="H8" s="267">
        <f>+'WICHE Public Grads-RE PROJ'!AX9/'WICHE Public Grads-RE PROJ'!H9</f>
        <v>2.1869831184856522E-2</v>
      </c>
      <c r="I8" s="267">
        <f>+'WICHE Public Grads-RE PROJ'!AY9/'WICHE Public Grads-RE PROJ'!I9</f>
        <v>2.4942059375344886E-2</v>
      </c>
      <c r="J8" s="267">
        <f>+'WICHE Public Grads-RE PROJ'!AZ9/'WICHE Public Grads-RE PROJ'!J9</f>
        <v>2.1905920948198317E-2</v>
      </c>
      <c r="K8" s="267">
        <f>+'WICHE Public Grads-RE PROJ'!BA9/'WICHE Public Grads-RE PROJ'!K9</f>
        <v>2.1169300469230354E-2</v>
      </c>
      <c r="L8" s="262">
        <f>+'WICHE Public Grads-RE PROJ'!BB9/'WICHE Public Grads-RE PROJ'!L9</f>
        <v>2.2459386407334133E-2</v>
      </c>
      <c r="M8" s="267">
        <f>+'WICHE Public Grads-RE PROJ'!BC9/'WICHE Public Grads-RE PROJ'!M9</f>
        <v>2.180125745080428E-2</v>
      </c>
      <c r="N8" s="267">
        <f>+'WICHE Public Grads-RE PROJ'!BD9/'WICHE Public Grads-RE PROJ'!N9</f>
        <v>1.938898639754278E-2</v>
      </c>
      <c r="O8" s="267">
        <f>+'WICHE Public Grads-RE PROJ'!BE9/'WICHE Public Grads-RE PROJ'!O9</f>
        <v>2.2000907804448241E-2</v>
      </c>
      <c r="P8" s="267">
        <f>+'WICHE Public Grads-RE PROJ'!BF9/'WICHE Public Grads-RE PROJ'!P9</f>
        <v>1.9357561052798143E-2</v>
      </c>
      <c r="Q8" s="267">
        <f>+'WICHE Public Grads-RE PROJ'!BG9/'WICHE Public Grads-RE PROJ'!Q9</f>
        <v>1.9351356907894735E-2</v>
      </c>
      <c r="R8" s="267">
        <f>+'WICHE Public Grads-RE PROJ'!BH9/'WICHE Public Grads-RE PROJ'!R9</f>
        <v>2.2033570357471097E-2</v>
      </c>
      <c r="S8" s="267">
        <f>+'WICHE Public Grads-RE PROJ'!BI9/'WICHE Public Grads-RE PROJ'!S9</f>
        <v>2.3050235254978374E-2</v>
      </c>
      <c r="T8" s="267">
        <f>+'WICHE Public Grads-RE PROJ'!BJ9/'WICHE Public Grads-RE PROJ'!T9</f>
        <v>2.3467543900291897E-2</v>
      </c>
      <c r="U8" s="267">
        <f>+'WICHE Public Grads-RE PROJ'!BK9/'WICHE Public Grads-RE PROJ'!U9</f>
        <v>2.2333105280289527E-2</v>
      </c>
      <c r="V8" s="267">
        <f>+'WICHE Public Grads-RE PROJ'!BL9/'WICHE Public Grads-RE PROJ'!V9</f>
        <v>2.3668853279253249E-2</v>
      </c>
      <c r="W8" s="267">
        <f>+'WICHE Public Grads-RE PROJ'!BM9/'WICHE Public Grads-RE PROJ'!W9</f>
        <v>2.4516389470872108E-2</v>
      </c>
      <c r="X8" s="268">
        <f>+'WICHE Public Grads-RE PROJ'!BN9/'WICHE Public Grads-RE PROJ'!Y9</f>
        <v>2.4868694266339378E-2</v>
      </c>
      <c r="Y8" s="268">
        <f>+'WICHE Public Grads-RE PROJ'!BO9/'WICHE Public Grads-RE PROJ'!Z9</f>
        <v>2.4018730041272817E-2</v>
      </c>
      <c r="Z8" s="268">
        <f>+'WICHE Public Grads-RE PROJ'!BP9/'WICHE Public Grads-RE PROJ'!AA9</f>
        <v>2.5195257712359229E-2</v>
      </c>
      <c r="AA8" s="268">
        <f>+'WICHE Public Grads-RE PROJ'!BQ9/'WICHE Public Grads-RE PROJ'!AB9</f>
        <v>2.5198492411795507E-2</v>
      </c>
      <c r="AB8" s="266">
        <f>+'WICHE Public Grads-RE PROJ'!BR9/'WICHE Public Grads-RE PROJ'!AC9</f>
        <v>2.7428472949817741E-2</v>
      </c>
      <c r="AC8" s="266">
        <f>+'WICHE Public Grads-RE PROJ'!BS9/'WICHE Public Grads-RE PROJ'!AD9</f>
        <v>2.6540824374628083E-2</v>
      </c>
      <c r="AD8" s="266">
        <f>+'WICHE Public Grads-RE PROJ'!BT9/'WICHE Public Grads-RE PROJ'!AE9</f>
        <v>2.7838026282970475E-2</v>
      </c>
      <c r="AE8" s="266">
        <f>+'WICHE Public Grads-RE PROJ'!BU9/'WICHE Public Grads-RE PROJ'!AF9</f>
        <v>3.0366918731261173E-2</v>
      </c>
      <c r="AF8" s="266">
        <f>+'WICHE Public Grads-RE PROJ'!BV9/'WICHE Public Grads-RE PROJ'!AG9</f>
        <v>3.2185583600615762E-2</v>
      </c>
      <c r="AG8" s="268">
        <f>+'WICHE Public Grads-RE PROJ'!BW9/'WICHE Public Grads-RE PROJ'!AH9</f>
        <v>3.1620520063358012E-2</v>
      </c>
      <c r="AH8" s="266">
        <f>+'WICHE Public Grads-RE PROJ'!BX9/'WICHE Public Grads-RE PROJ'!AI9</f>
        <v>3.1034984763177221E-2</v>
      </c>
      <c r="AI8" s="266">
        <f>+'WICHE Public Grads-RE PROJ'!BY9/'WICHE Public Grads-RE PROJ'!AJ9</f>
        <v>3.3004482575024578E-2</v>
      </c>
      <c r="AJ8" s="266">
        <f>+'WICHE Public Grads-RE PROJ'!BZ9/'WICHE Public Grads-RE PROJ'!AK9</f>
        <v>3.3860055325324608E-2</v>
      </c>
      <c r="AK8" s="266">
        <f>+'WICHE Public Grads-RE PROJ'!CA9/'WICHE Public Grads-RE PROJ'!AL9</f>
        <v>3.7329621401797984E-2</v>
      </c>
      <c r="AL8" s="266">
        <f>+'WICHE Public Grads-RE PROJ'!CB9/'WICHE Public Grads-RE PROJ'!AM9</f>
        <v>3.7776297940106902E-2</v>
      </c>
      <c r="AM8" s="266">
        <f>+'WICHE Public Grads-RE PROJ'!CC9/'WICHE Public Grads-RE PROJ'!AN9</f>
        <v>3.8557179944515643E-2</v>
      </c>
      <c r="AN8" s="266">
        <f>+'WICHE Public Grads-RE PROJ'!CD9/'WICHE Public Grads-RE PROJ'!AO9</f>
        <v>4.14050369433955E-2</v>
      </c>
      <c r="AO8" s="266">
        <f>+'WICHE Public Grads-RE PROJ'!CE9/'WICHE Public Grads-RE PROJ'!AP9</f>
        <v>3.9047110593544668E-2</v>
      </c>
      <c r="AP8" s="282">
        <f>+'WICHE Public Grads-RE PROJ'!CF9/'WICHE Public Grads-RE PROJ'!AQ9</f>
        <v>3.8862702427560812E-2</v>
      </c>
      <c r="AQ8" s="262">
        <f>+'WICHE Public Grads-RE PROJ'!CG9/'WICHE Public Grads-RE PROJ'!B9</f>
        <v>1.0754912099276112E-2</v>
      </c>
      <c r="AR8" s="262">
        <f>+'WICHE Public Grads-RE PROJ'!CH9/'WICHE Public Grads-RE PROJ'!C9</f>
        <v>1.0636820618213125E-2</v>
      </c>
      <c r="AS8" s="262">
        <f>+'WICHE Public Grads-RE PROJ'!CI9/'WICHE Public Grads-RE PROJ'!D9</f>
        <v>1.0073446163671727E-2</v>
      </c>
      <c r="AT8" s="262">
        <f>+'WICHE Public Grads-RE PROJ'!CJ9/'WICHE Public Grads-RE PROJ'!E9</f>
        <v>1.1938899305172604E-2</v>
      </c>
      <c r="AU8" s="262">
        <f>+'WICHE Public Grads-RE PROJ'!CK9/'WICHE Public Grads-RE PROJ'!F9</f>
        <v>1.2727220842964359E-2</v>
      </c>
      <c r="AV8" s="262">
        <f>+'WICHE Public Grads-RE PROJ'!CL9/'WICHE Public Grads-RE PROJ'!G9</f>
        <v>1.297351941815731E-2</v>
      </c>
      <c r="AW8" s="267">
        <f>+'WICHE Public Grads-RE PROJ'!CM9/'WICHE Public Grads-RE PROJ'!H9</f>
        <v>1.2917115177610334E-2</v>
      </c>
      <c r="AX8" s="267">
        <f>+'WICHE Public Grads-RE PROJ'!CN9/'WICHE Public Grads-RE PROJ'!I9</f>
        <v>1.8292682926829267E-2</v>
      </c>
      <c r="AY8" s="267">
        <f>+'WICHE Public Grads-RE PROJ'!CO9/'WICHE Public Grads-RE PROJ'!J9</f>
        <v>1.2302238213662098E-2</v>
      </c>
      <c r="AZ8" s="267">
        <f>+'WICHE Public Grads-RE PROJ'!CP9/'WICHE Public Grads-RE PROJ'!K9</f>
        <v>1.1784693382233967E-2</v>
      </c>
      <c r="BA8" s="262">
        <f>+'WICHE Public Grads-RE PROJ'!CQ9/'WICHE Public Grads-RE PROJ'!L9</f>
        <v>1.2790146849834202E-2</v>
      </c>
      <c r="BB8" s="267">
        <f>+'WICHE Public Grads-RE PROJ'!CR9/'WICHE Public Grads-RE PROJ'!M9</f>
        <v>1.1349718298358782E-2</v>
      </c>
      <c r="BC8" s="267">
        <f>+'WICHE Public Grads-RE PROJ'!CS9/'WICHE Public Grads-RE PROJ'!N9</f>
        <v>9.2968407196138657E-3</v>
      </c>
      <c r="BD8" s="267">
        <f>+'WICHE Public Grads-RE PROJ'!CT9/'WICHE Public Grads-RE PROJ'!O9</f>
        <v>1.0786852855578993E-2</v>
      </c>
      <c r="BE8" s="267">
        <f>+'WICHE Public Grads-RE PROJ'!CU9/'WICHE Public Grads-RE PROJ'!P9</f>
        <v>9.0458357508307399E-3</v>
      </c>
      <c r="BF8" s="267">
        <f>+'WICHE Public Grads-RE PROJ'!CV9/'WICHE Public Grads-RE PROJ'!Q9</f>
        <v>8.7890625E-3</v>
      </c>
      <c r="BG8" s="267">
        <f>+'WICHE Public Grads-RE PROJ'!CW9/'WICHE Public Grads-RE PROJ'!R9</f>
        <v>1.0569341653364291E-2</v>
      </c>
      <c r="BH8" s="267">
        <f>+'WICHE Public Grads-RE PROJ'!CX9/'WICHE Public Grads-RE PROJ'!S9</f>
        <v>1.0954802528396939E-2</v>
      </c>
      <c r="BI8" s="267">
        <f>+'WICHE Public Grads-RE PROJ'!CY9/'WICHE Public Grads-RE PROJ'!T9</f>
        <v>9.4287170458231019E-3</v>
      </c>
      <c r="BJ8" s="267">
        <f>+'WICHE Public Grads-RE PROJ'!CZ9/'WICHE Public Grads-RE PROJ'!U9</f>
        <v>1.0698351635233376E-2</v>
      </c>
      <c r="BK8" s="267">
        <f>+'WICHE Public Grads-RE PROJ'!DA9/'WICHE Public Grads-RE PROJ'!V9</f>
        <v>1.0289055192166809E-2</v>
      </c>
      <c r="BL8" s="267">
        <f>+'WICHE Public Grads-RE PROJ'!DB9/'WICHE Public Grads-RE PROJ'!W9</f>
        <v>1.1022505918558611E-2</v>
      </c>
      <c r="BM8" s="268">
        <f>+'WICHE Public Grads-RE PROJ'!DC9/'WICHE Public Grads-RE PROJ'!Y9</f>
        <v>1.040303797553354E-2</v>
      </c>
      <c r="BN8" s="268">
        <f>+'WICHE Public Grads-RE PROJ'!DD9/'WICHE Public Grads-RE PROJ'!Z9</f>
        <v>9.2096090156459573E-3</v>
      </c>
      <c r="BO8" s="268">
        <f>+'WICHE Public Grads-RE PROJ'!DE9/'WICHE Public Grads-RE PROJ'!AA9</f>
        <v>1.0546987610854286E-2</v>
      </c>
      <c r="BP8" s="268">
        <f>+'WICHE Public Grads-RE PROJ'!DF9/'WICHE Public Grads-RE PROJ'!AB9</f>
        <v>1.0627166051416396E-2</v>
      </c>
      <c r="BQ8" s="266">
        <f>+'WICHE Public Grads-RE PROJ'!DG9/'WICHE Public Grads-RE PROJ'!AC9</f>
        <v>1.053656997301434E-2</v>
      </c>
      <c r="BR8" s="266">
        <f>+'WICHE Public Grads-RE PROJ'!DH9/'WICHE Public Grads-RE PROJ'!AD9</f>
        <v>1.014670710134496E-2</v>
      </c>
      <c r="BS8" s="266">
        <f>+'WICHE Public Grads-RE PROJ'!DI9/'WICHE Public Grads-RE PROJ'!AE9</f>
        <v>1.1472135752066669E-2</v>
      </c>
      <c r="BT8" s="266">
        <f>+'WICHE Public Grads-RE PROJ'!DJ9/'WICHE Public Grads-RE PROJ'!AF9</f>
        <v>1.1416681868437474E-2</v>
      </c>
      <c r="BU8" s="266">
        <f>+'WICHE Public Grads-RE PROJ'!DK9/'WICHE Public Grads-RE PROJ'!AG9</f>
        <v>1.1576020585684113E-2</v>
      </c>
      <c r="BV8" s="268">
        <f>+'WICHE Public Grads-RE PROJ'!DL9/'WICHE Public Grads-RE PROJ'!AH9</f>
        <v>1.1485172164217353E-2</v>
      </c>
      <c r="BW8" s="266">
        <f>+'WICHE Public Grads-RE PROJ'!DM9/'WICHE Public Grads-RE PROJ'!AI9</f>
        <v>1.146971862802728E-2</v>
      </c>
      <c r="BX8" s="266">
        <f>+'WICHE Public Grads-RE PROJ'!DN9/'WICHE Public Grads-RE PROJ'!AJ9</f>
        <v>1.1751330197003211E-2</v>
      </c>
      <c r="BY8" s="266">
        <f>+'WICHE Public Grads-RE PROJ'!DO9/'WICHE Public Grads-RE PROJ'!AK9</f>
        <v>1.1587464154677809E-2</v>
      </c>
      <c r="BZ8" s="266">
        <f>+'WICHE Public Grads-RE PROJ'!DP9/'WICHE Public Grads-RE PROJ'!AL9</f>
        <v>1.303910300160376E-2</v>
      </c>
      <c r="CA8" s="266">
        <f>+'WICHE Public Grads-RE PROJ'!DQ9/'WICHE Public Grads-RE PROJ'!AM9</f>
        <v>1.3187596377135541E-2</v>
      </c>
      <c r="CB8" s="266">
        <f>+'WICHE Public Grads-RE PROJ'!DR9/'WICHE Public Grads-RE PROJ'!AN9</f>
        <v>1.2771314511580728E-2</v>
      </c>
      <c r="CC8" s="266">
        <f>+'WICHE Public Grads-RE PROJ'!DS9/'WICHE Public Grads-RE PROJ'!AO9</f>
        <v>1.362046594221474E-2</v>
      </c>
      <c r="CD8" s="266">
        <f>+'WICHE Public Grads-RE PROJ'!DT9/'WICHE Public Grads-RE PROJ'!AP9</f>
        <v>1.3718850646848543E-2</v>
      </c>
      <c r="CE8" s="282">
        <f>+'WICHE Public Grads-RE PROJ'!DU9/'WICHE Public Grads-RE PROJ'!AQ9</f>
        <v>1.1420861947866739E-2</v>
      </c>
      <c r="CF8" s="262">
        <f>+'WICHE Public Grads-RE PROJ'!DV9/'WICHE Public Grads-RE PROJ'!B9</f>
        <v>5.248190279214064E-3</v>
      </c>
      <c r="CG8" s="262">
        <f>+'WICHE Public Grads-RE PROJ'!DW9/'WICHE Public Grads-RE PROJ'!C9</f>
        <v>5.998833560141084E-3</v>
      </c>
      <c r="CH8" s="262">
        <f>+'WICHE Public Grads-RE PROJ'!DX9/'WICHE Public Grads-RE PROJ'!D9</f>
        <v>6.9962551165558681E-3</v>
      </c>
      <c r="CI8" s="262">
        <f>+'WICHE Public Grads-RE PROJ'!DY9/'WICHE Public Grads-RE PROJ'!E9</f>
        <v>6.9207014447998233E-3</v>
      </c>
      <c r="CJ8" s="262">
        <f>+'WICHE Public Grads-RE PROJ'!DZ9/'WICHE Public Grads-RE PROJ'!F9</f>
        <v>6.7060468567188879E-3</v>
      </c>
      <c r="CK8" s="262">
        <f>+'WICHE Public Grads-RE PROJ'!EA9/'WICHE Public Grads-RE PROJ'!G9</f>
        <v>7.13262755890034E-3</v>
      </c>
      <c r="CL8" s="267">
        <f>+'WICHE Public Grads-RE PROJ'!EB9/'WICHE Public Grads-RE PROJ'!H9</f>
        <v>8.9527160072461857E-3</v>
      </c>
      <c r="CM8" s="267">
        <f>+'WICHE Public Grads-RE PROJ'!EC9/'WICHE Public Grads-RE PROJ'!I9</f>
        <v>6.6493764485156164E-3</v>
      </c>
      <c r="CN8" s="267">
        <f>+'WICHE Public Grads-RE PROJ'!ED9/'WICHE Public Grads-RE PROJ'!J9</f>
        <v>9.6036827345362188E-3</v>
      </c>
      <c r="CO8" s="267">
        <f>+'WICHE Public Grads-RE PROJ'!EE9/'WICHE Public Grads-RE PROJ'!K9</f>
        <v>9.3846070869963872E-3</v>
      </c>
      <c r="CP8" s="262">
        <f>+'WICHE Public Grads-RE PROJ'!EF9/'WICHE Public Grads-RE PROJ'!L9</f>
        <v>9.6692395574999295E-3</v>
      </c>
      <c r="CQ8" s="267">
        <f>+'WICHE Public Grads-RE PROJ'!EG9/'WICHE Public Grads-RE PROJ'!M9</f>
        <v>1.0451539152445496E-2</v>
      </c>
      <c r="CR8" s="267">
        <f>+'WICHE Public Grads-RE PROJ'!EH9/'WICHE Public Grads-RE PROJ'!N9</f>
        <v>1.0092145677928916E-2</v>
      </c>
      <c r="CS8" s="267">
        <f>+'WICHE Public Grads-RE PROJ'!EI9/'WICHE Public Grads-RE PROJ'!O9</f>
        <v>1.121405494886925E-2</v>
      </c>
      <c r="CT8" s="267">
        <f>+'WICHE Public Grads-RE PROJ'!EJ9/'WICHE Public Grads-RE PROJ'!P9</f>
        <v>1.0311725301967403E-2</v>
      </c>
      <c r="CU8" s="267">
        <f>+'WICHE Public Grads-RE PROJ'!EK9/'WICHE Public Grads-RE PROJ'!Q9</f>
        <v>1.0562294407894737E-2</v>
      </c>
      <c r="CV8" s="267">
        <f>+'WICHE Public Grads-RE PROJ'!EL9/'WICHE Public Grads-RE PROJ'!R9</f>
        <v>1.1464228704106806E-2</v>
      </c>
      <c r="CW8" s="267">
        <f>+'WICHE Public Grads-RE PROJ'!EM9/'WICHE Public Grads-RE PROJ'!S9</f>
        <v>1.2095432726581437E-2</v>
      </c>
      <c r="CX8" s="267">
        <f>+'WICHE Public Grads-RE PROJ'!EN9/'WICHE Public Grads-RE PROJ'!T9</f>
        <v>1.4038826854468795E-2</v>
      </c>
      <c r="CY8" s="267">
        <f>+'WICHE Public Grads-RE PROJ'!EO9/'WICHE Public Grads-RE PROJ'!U9</f>
        <v>1.1634753645056147E-2</v>
      </c>
      <c r="CZ8" s="267">
        <f>+'WICHE Public Grads-RE PROJ'!EP9/'WICHE Public Grads-RE PROJ'!V9</f>
        <v>1.3379798087086441E-2</v>
      </c>
      <c r="DA8" s="267">
        <f>+'WICHE Public Grads-RE PROJ'!EQ9/'WICHE Public Grads-RE PROJ'!W9</f>
        <v>1.3493883552313493E-2</v>
      </c>
      <c r="DB8" s="268">
        <f>+'WICHE Public Grads-RE PROJ'!ER9/'WICHE Public Grads-RE PROJ'!Y9</f>
        <v>1.4465656290805836E-2</v>
      </c>
      <c r="DC8" s="268">
        <f>+'WICHE Public Grads-RE PROJ'!ES9/'WICHE Public Grads-RE PROJ'!Z9</f>
        <v>1.4809121025626858E-2</v>
      </c>
      <c r="DD8" s="268">
        <f>+'WICHE Public Grads-RE PROJ'!ET9/'WICHE Public Grads-RE PROJ'!AA9</f>
        <v>1.4648270101504947E-2</v>
      </c>
      <c r="DE8" s="268">
        <f>+'WICHE Public Grads-RE PROJ'!EU9/'WICHE Public Grads-RE PROJ'!AB9</f>
        <v>1.4571326360379111E-2</v>
      </c>
      <c r="DF8" s="266">
        <f>+'WICHE Public Grads-RE PROJ'!EV9/'WICHE Public Grads-RE PROJ'!AC9</f>
        <v>1.6891902976803399E-2</v>
      </c>
      <c r="DG8" s="266">
        <f>+'WICHE Public Grads-RE PROJ'!EW9/'WICHE Public Grads-RE PROJ'!AD9</f>
        <v>1.6394117273283125E-2</v>
      </c>
      <c r="DH8" s="266">
        <f>+'WICHE Public Grads-RE PROJ'!EX9/'WICHE Public Grads-RE PROJ'!AE9</f>
        <v>1.6365890530903805E-2</v>
      </c>
      <c r="DI8" s="266">
        <f>+'WICHE Public Grads-RE PROJ'!EY9/'WICHE Public Grads-RE PROJ'!AF9</f>
        <v>1.8950236862823697E-2</v>
      </c>
      <c r="DJ8" s="266">
        <f>+'WICHE Public Grads-RE PROJ'!EZ9/'WICHE Public Grads-RE PROJ'!AG9</f>
        <v>2.0609563014931647E-2</v>
      </c>
      <c r="DK8" s="268">
        <f>+'WICHE Public Grads-RE PROJ'!FA9/'WICHE Public Grads-RE PROJ'!AH9</f>
        <v>2.0135347899140663E-2</v>
      </c>
      <c r="DL8" s="266">
        <f>+'WICHE Public Grads-RE PROJ'!FB9/'WICHE Public Grads-RE PROJ'!AI9</f>
        <v>1.9565266135149945E-2</v>
      </c>
      <c r="DM8" s="266">
        <f>+'WICHE Public Grads-RE PROJ'!FC9/'WICHE Public Grads-RE PROJ'!AJ9</f>
        <v>2.1253152378021365E-2</v>
      </c>
      <c r="DN8" s="266">
        <f>+'WICHE Public Grads-RE PROJ'!FD9/'WICHE Public Grads-RE PROJ'!AK9</f>
        <v>2.22725911706468E-2</v>
      </c>
      <c r="DO8" s="266">
        <f>+'WICHE Public Grads-RE PROJ'!FE9/'WICHE Public Grads-RE PROJ'!AL9</f>
        <v>2.4290518400194226E-2</v>
      </c>
      <c r="DP8" s="266">
        <f>+'WICHE Public Grads-RE PROJ'!FF9/'WICHE Public Grads-RE PROJ'!AM9</f>
        <v>2.4588701562971358E-2</v>
      </c>
      <c r="DQ8" s="266">
        <f>+'WICHE Public Grads-RE PROJ'!FG9/'WICHE Public Grads-RE PROJ'!AN9</f>
        <v>2.5785865432934912E-2</v>
      </c>
      <c r="DR8" s="266">
        <f>+'WICHE Public Grads-RE PROJ'!FH9/'WICHE Public Grads-RE PROJ'!AO9</f>
        <v>2.7784571001180758E-2</v>
      </c>
      <c r="DS8" s="266">
        <f>+'WICHE Public Grads-RE PROJ'!FI9/'WICHE Public Grads-RE PROJ'!AP9</f>
        <v>2.532825994669613E-2</v>
      </c>
      <c r="DT8" s="282">
        <f>+'WICHE Public Grads-RE PROJ'!FJ9/'WICHE Public Grads-RE PROJ'!AQ9</f>
        <v>2.7441840479694068E-2</v>
      </c>
      <c r="DU8" s="262">
        <f>+'WICHE Public Grads-RE PROJ'!FK9/'WICHE Public Grads-RE PROJ'!B9</f>
        <v>0.31096173733195448</v>
      </c>
      <c r="DV8" s="262">
        <f>+'WICHE Public Grads-RE PROJ'!FL9/'WICHE Public Grads-RE PROJ'!C9</f>
        <v>0.29435943011081178</v>
      </c>
      <c r="DW8" s="262">
        <f>+'WICHE Public Grads-RE PROJ'!FM9/'WICHE Public Grads-RE PROJ'!D9</f>
        <v>0.30173890324266261</v>
      </c>
      <c r="DX8" s="262">
        <f>+'WICHE Public Grads-RE PROJ'!FN9/'WICHE Public Grads-RE PROJ'!E9</f>
        <v>0.2932888496746443</v>
      </c>
      <c r="DY8" s="262">
        <f>+'WICHE Public Grads-RE PROJ'!FO9/'WICHE Public Grads-RE PROJ'!F9</f>
        <v>0.29746311674228804</v>
      </c>
      <c r="DZ8" s="262">
        <f>+'WICHE Public Grads-RE PROJ'!FP9/'WICHE Public Grads-RE PROJ'!G9</f>
        <v>0.2996265198955379</v>
      </c>
      <c r="EA8" s="267">
        <f>+'WICHE Public Grads-RE PROJ'!FQ9/'WICHE Public Grads-RE PROJ'!H9</f>
        <v>0.30428732704980438</v>
      </c>
      <c r="EB8" s="267">
        <f>+'WICHE Public Grads-RE PROJ'!FR9/'WICHE Public Grads-RE PROJ'!I9</f>
        <v>0.3171835338262885</v>
      </c>
      <c r="EC8" s="267">
        <f>+'WICHE Public Grads-RE PROJ'!FS9/'WICHE Public Grads-RE PROJ'!J9</f>
        <v>0.33234562675273827</v>
      </c>
      <c r="ED8" s="267">
        <f>+'WICHE Public Grads-RE PROJ'!FT9/'WICHE Public Grads-RE PROJ'!K9</f>
        <v>0.32322959926649047</v>
      </c>
      <c r="EE8" s="262">
        <f>+'WICHE Public Grads-RE PROJ'!FU9/'WICHE Public Grads-RE PROJ'!L9</f>
        <v>0.31693928163401791</v>
      </c>
      <c r="EF8" s="267">
        <f>+'WICHE Public Grads-RE PROJ'!FV9/'WICHE Public Grads-RE PROJ'!M9</f>
        <v>0.31300182357584172</v>
      </c>
      <c r="EG8" s="267">
        <f>+'WICHE Public Grads-RE PROJ'!FW9/'WICHE Public Grads-RE PROJ'!N9</f>
        <v>0.31491333918385256</v>
      </c>
      <c r="EH8" s="267">
        <f>+'WICHE Public Grads-RE PROJ'!FX9/'WICHE Public Grads-RE PROJ'!O9</f>
        <v>0.31514164419405655</v>
      </c>
      <c r="EI8" s="267">
        <f>+'WICHE Public Grads-RE PROJ'!FY9/'WICHE Public Grads-RE PROJ'!P9</f>
        <v>0.31715807795769818</v>
      </c>
      <c r="EJ8" s="267">
        <f>+'WICHE Public Grads-RE PROJ'!FZ9/'WICHE Public Grads-RE PROJ'!Q9</f>
        <v>0.32241981907894735</v>
      </c>
      <c r="EK8" s="267">
        <f>+'WICHE Public Grads-RE PROJ'!GA9/'WICHE Public Grads-RE PROJ'!R9</f>
        <v>0.32271561940695592</v>
      </c>
      <c r="EL8" s="267">
        <f>+'WICHE Public Grads-RE PROJ'!GB9/'WICHE Public Grads-RE PROJ'!S9</f>
        <v>0.32992728482486572</v>
      </c>
      <c r="EM8" s="267">
        <f>+'WICHE Public Grads-RE PROJ'!GC9/'WICHE Public Grads-RE PROJ'!T9</f>
        <v>0.33725617384052264</v>
      </c>
      <c r="EN8" s="267">
        <f>+'WICHE Public Grads-RE PROJ'!GD9/'WICHE Public Grads-RE PROJ'!U9</f>
        <v>0.34400397232281488</v>
      </c>
      <c r="EO8" s="267">
        <f>+'WICHE Public Grads-RE PROJ'!GE9/'WICHE Public Grads-RE PROJ'!V9</f>
        <v>0.33776614087603984</v>
      </c>
      <c r="EP8" s="267">
        <f>+'WICHE Public Grads-RE PROJ'!GF9/'WICHE Public Grads-RE PROJ'!W9</f>
        <v>0.33365208156872311</v>
      </c>
      <c r="EQ8" s="268">
        <f>+'WICHE Public Grads-RE PROJ'!GG9/'WICHE Public Grads-RE PROJ'!Y9</f>
        <v>0.33129897155356558</v>
      </c>
      <c r="ER8" s="268">
        <f>+'WICHE Public Grads-RE PROJ'!GH9/'WICHE Public Grads-RE PROJ'!Z9</f>
        <v>0.33071848167321799</v>
      </c>
      <c r="ES8" s="268">
        <f>+'WICHE Public Grads-RE PROJ'!GI9/'WICHE Public Grads-RE PROJ'!AA9</f>
        <v>0.32608796758401309</v>
      </c>
      <c r="ET8" s="268">
        <f>+'WICHE Public Grads-RE PROJ'!GJ9/'WICHE Public Grads-RE PROJ'!AB9</f>
        <v>0.32237488777652407</v>
      </c>
      <c r="EU8" s="266">
        <f>+'WICHE Public Grads-RE PROJ'!GK9/'WICHE Public Grads-RE PROJ'!AC9</f>
        <v>0.32486695824119743</v>
      </c>
      <c r="EV8" s="266">
        <f>+'WICHE Public Grads-RE PROJ'!GL9/'WICHE Public Grads-RE PROJ'!AD9</f>
        <v>0.32214559296595258</v>
      </c>
      <c r="EW8" s="266">
        <f>+'WICHE Public Grads-RE PROJ'!GM9/'WICHE Public Grads-RE PROJ'!AE9</f>
        <v>0.31876322697837434</v>
      </c>
      <c r="EX8" s="266">
        <f>+'WICHE Public Grads-RE PROJ'!GN9/'WICHE Public Grads-RE PROJ'!AF9</f>
        <v>0.30776424709592448</v>
      </c>
      <c r="EY8" s="266">
        <f>+'WICHE Public Grads-RE PROJ'!GO9/'WICHE Public Grads-RE PROJ'!AG9</f>
        <v>0.30934490685237154</v>
      </c>
      <c r="EZ8" s="268">
        <f>+'WICHE Public Grads-RE PROJ'!GP9/'WICHE Public Grads-RE PROJ'!AH9</f>
        <v>0.30479478235037888</v>
      </c>
      <c r="FA8" s="266">
        <f>+'WICHE Public Grads-RE PROJ'!GQ9/'WICHE Public Grads-RE PROJ'!AI9</f>
        <v>0.31326083665247495</v>
      </c>
      <c r="FB8" s="266">
        <f>+'WICHE Public Grads-RE PROJ'!GR9/'WICHE Public Grads-RE PROJ'!AJ9</f>
        <v>0.31793978160745268</v>
      </c>
      <c r="FC8" s="266">
        <f>+'WICHE Public Grads-RE PROJ'!GS9/'WICHE Public Grads-RE PROJ'!AK9</f>
        <v>0.31819368582211227</v>
      </c>
      <c r="FD8" s="266">
        <f>+'WICHE Public Grads-RE PROJ'!GT9/'WICHE Public Grads-RE PROJ'!AL9</f>
        <v>0.31700793913346148</v>
      </c>
      <c r="FE8" s="266">
        <f>+'WICHE Public Grads-RE PROJ'!GU9/'WICHE Public Grads-RE PROJ'!AM9</f>
        <v>0.3122262031632676</v>
      </c>
      <c r="FF8" s="266">
        <f>+'WICHE Public Grads-RE PROJ'!GV9/'WICHE Public Grads-RE PROJ'!AN9</f>
        <v>0.31250143544615028</v>
      </c>
      <c r="FG8" s="266">
        <f>+'WICHE Public Grads-RE PROJ'!GW9/'WICHE Public Grads-RE PROJ'!AO9</f>
        <v>0.31973490093741097</v>
      </c>
      <c r="FH8" s="266">
        <f>+'WICHE Public Grads-RE PROJ'!GX9/'WICHE Public Grads-RE PROJ'!AP9</f>
        <v>0.31746263692247828</v>
      </c>
      <c r="FI8" s="282">
        <f>+'WICHE Public Grads-RE PROJ'!GY9/'WICHE Public Grads-RE PROJ'!AQ9</f>
        <v>0.31627523321259271</v>
      </c>
      <c r="FJ8" s="262">
        <f>+'WICHE Public Grads-RE PROJ'!GZ9/'WICHE Public Grads-RE PROJ'!B9</f>
        <v>2.2750775594622542E-3</v>
      </c>
      <c r="FK8" s="262">
        <f>+'WICHE Public Grads-RE PROJ'!HA9/'WICHE Public Grads-RE PROJ'!C9</f>
        <v>2.3606520954258894E-3</v>
      </c>
      <c r="FL8" s="262">
        <f>+'WICHE Public Grads-RE PROJ'!HB9/'WICHE Public Grads-RE PROJ'!D9</f>
        <v>2.4965889627543763E-3</v>
      </c>
      <c r="FM8" s="262">
        <f>+'WICHE Public Grads-RE PROJ'!HC9/'WICHE Public Grads-RE PROJ'!E9</f>
        <v>3.6119995588397486E-3</v>
      </c>
      <c r="FN8" s="262">
        <f>+'WICHE Public Grads-RE PROJ'!HD9/'WICHE Public Grads-RE PROJ'!F9</f>
        <v>2.9392460691150873E-3</v>
      </c>
      <c r="FO8" s="262">
        <f>+'WICHE Public Grads-RE PROJ'!HE9/'WICHE Public Grads-RE PROJ'!G9</f>
        <v>3.3135828816938588E-3</v>
      </c>
      <c r="FP8" s="267">
        <f>+'WICHE Public Grads-RE PROJ'!HF9/'WICHE Public Grads-RE PROJ'!H9</f>
        <v>4.0694163669300846E-3</v>
      </c>
      <c r="FQ8" s="267">
        <f>+'WICHE Public Grads-RE PROJ'!HG9/'WICHE Public Grads-RE PROJ'!I9</f>
        <v>4.497296104182761E-3</v>
      </c>
      <c r="FR8" s="267">
        <f>+'WICHE Public Grads-RE PROJ'!HH9/'WICHE Public Grads-RE PROJ'!J9</f>
        <v>5.899783057304619E-3</v>
      </c>
      <c r="FS8" s="267">
        <f>+'WICHE Public Grads-RE PROJ'!HI9/'WICHE Public Grads-RE PROJ'!K9</f>
        <v>6.4182082951297122E-3</v>
      </c>
      <c r="FT8" s="262">
        <f>+'WICHE Public Grads-RE PROJ'!HJ9/'WICHE Public Grads-RE PROJ'!L9</f>
        <v>6.8269847019812192E-3</v>
      </c>
      <c r="FU8" s="267">
        <f>+'WICHE Public Grads-RE PROJ'!HK9/'WICHE Public Grads-RE PROJ'!M9</f>
        <v>8.5190931112381265E-3</v>
      </c>
      <c r="FV8" s="267">
        <f>+'WICHE Public Grads-RE PROJ'!HL9/'WICHE Public Grads-RE PROJ'!N9</f>
        <v>8.9129003949100487E-3</v>
      </c>
      <c r="FW8" s="267">
        <f>+'WICHE Public Grads-RE PROJ'!HM9/'WICHE Public Grads-RE PROJ'!O9</f>
        <v>1.0786852855578993E-2</v>
      </c>
      <c r="FX8" s="267">
        <f>+'WICHE Public Grads-RE PROJ'!HN9/'WICHE Public Grads-RE PROJ'!P9</f>
        <v>1.2606150113402605E-2</v>
      </c>
      <c r="FY8" s="267">
        <f>+'WICHE Public Grads-RE PROJ'!HO9/'WICHE Public Grads-RE PROJ'!Q9</f>
        <v>1.4905427631578948E-2</v>
      </c>
      <c r="FZ8" s="267">
        <f>+'WICHE Public Grads-RE PROJ'!HP9/'WICHE Public Grads-RE PROJ'!R9</f>
        <v>1.654331737048324E-2</v>
      </c>
      <c r="GA8" s="267">
        <f>+'WICHE Public Grads-RE PROJ'!HQ9/'WICHE Public Grads-RE PROJ'!S9</f>
        <v>1.8986740173946106E-2</v>
      </c>
      <c r="GB8" s="267">
        <f>+'WICHE Public Grads-RE PROJ'!HR9/'WICHE Public Grads-RE PROJ'!T9</f>
        <v>2.2610387805217069E-2</v>
      </c>
      <c r="GC8" s="267">
        <f>+'WICHE Public Grads-RE PROJ'!HS9/'WICHE Public Grads-RE PROJ'!U9</f>
        <v>2.6349516672097319E-2</v>
      </c>
      <c r="GD8" s="267">
        <f>+'WICHE Public Grads-RE PROJ'!HT9/'WICHE Public Grads-RE PROJ'!V9</f>
        <v>2.6567387760496983E-2</v>
      </c>
      <c r="GE8" s="267">
        <f>+'WICHE Public Grads-RE PROJ'!HU9/'WICHE Public Grads-RE PROJ'!W9</f>
        <v>3.0248909185449778E-2</v>
      </c>
      <c r="GF8" s="268">
        <f>+'WICHE Public Grads-RE PROJ'!HV9/'WICHE Public Grads-RE PROJ'!Y9</f>
        <v>3.2704018660654283E-2</v>
      </c>
      <c r="GG8" s="268">
        <f>+'WICHE Public Grads-RE PROJ'!HW9/'WICHE Public Grads-RE PROJ'!Z9</f>
        <v>3.4730581296503124E-2</v>
      </c>
      <c r="GH8" s="268">
        <f>+'WICHE Public Grads-RE PROJ'!HX9/'WICHE Public Grads-RE PROJ'!AA9</f>
        <v>3.8227396390335074E-2</v>
      </c>
      <c r="GI8" s="268">
        <f>+'WICHE Public Grads-RE PROJ'!HY9/'WICHE Public Grads-RE PROJ'!AB9</f>
        <v>4.1344175045047324E-2</v>
      </c>
      <c r="GJ8" s="266">
        <f>+'WICHE Public Grads-RE PROJ'!HZ9/'WICHE Public Grads-RE PROJ'!AC9</f>
        <v>4.4840584893108389E-2</v>
      </c>
      <c r="GK8" s="266">
        <f>+'WICHE Public Grads-RE PROJ'!IA9/'WICHE Public Grads-RE PROJ'!AD9</f>
        <v>4.9883493434164157E-2</v>
      </c>
      <c r="GL8" s="266">
        <f>+'WICHE Public Grads-RE PROJ'!IB9/'WICHE Public Grads-RE PROJ'!AE9</f>
        <v>5.1695500207399665E-2</v>
      </c>
      <c r="GM8" s="266">
        <f>+'WICHE Public Grads-RE PROJ'!IC9/'WICHE Public Grads-RE PROJ'!AF9</f>
        <v>5.8356668472497812E-2</v>
      </c>
      <c r="GN8" s="266">
        <f>+'WICHE Public Grads-RE PROJ'!ID9/'WICHE Public Grads-RE PROJ'!AG9</f>
        <v>6.0316751004362755E-2</v>
      </c>
      <c r="GO8" s="268">
        <f>+'WICHE Public Grads-RE PROJ'!IE9/'WICHE Public Grads-RE PROJ'!AH9</f>
        <v>6.232157933512561E-2</v>
      </c>
      <c r="GP8" s="266">
        <f>+'WICHE Public Grads-RE PROJ'!IF9/'WICHE Public Grads-RE PROJ'!AI9</f>
        <v>6.9102053122528692E-2</v>
      </c>
      <c r="GQ8" s="266">
        <f>+'WICHE Public Grads-RE PROJ'!IG9/'WICHE Public Grads-RE PROJ'!AJ9</f>
        <v>7.5380592523195691E-2</v>
      </c>
      <c r="GR8" s="266">
        <f>+'WICHE Public Grads-RE PROJ'!IH9/'WICHE Public Grads-RE PROJ'!AK9</f>
        <v>8.1716452397156192E-2</v>
      </c>
      <c r="GS8" s="266">
        <f>+'WICHE Public Grads-RE PROJ'!II9/'WICHE Public Grads-RE PROJ'!AL9</f>
        <v>7.9825875949797204E-2</v>
      </c>
      <c r="GT8" s="266">
        <f>+'WICHE Public Grads-RE PROJ'!IJ9/'WICHE Public Grads-RE PROJ'!AM9</f>
        <v>7.6713957913505285E-2</v>
      </c>
      <c r="GU8" s="266">
        <f>+'WICHE Public Grads-RE PROJ'!IK9/'WICHE Public Grads-RE PROJ'!AN9</f>
        <v>7.1645551331752239E-2</v>
      </c>
      <c r="GV8" s="266">
        <f>+'WICHE Public Grads-RE PROJ'!IL9/'WICHE Public Grads-RE PROJ'!AO9</f>
        <v>6.3914024976400405E-2</v>
      </c>
      <c r="GW8" s="266">
        <f>+'WICHE Public Grads-RE PROJ'!IM9/'WICHE Public Grads-RE PROJ'!AP9</f>
        <v>6.6013069375300729E-2</v>
      </c>
      <c r="GX8" s="282">
        <f>+'WICHE Public Grads-RE PROJ'!IN9/'WICHE Public Grads-RE PROJ'!AQ9</f>
        <v>6.4753402867781612E-2</v>
      </c>
      <c r="GY8" s="262">
        <f>+'WICHE Public Grads-RE PROJ'!IO9/'WICHE Public Grads-RE PROJ'!B9</f>
        <v>0.67076008273009302</v>
      </c>
      <c r="GZ8" s="262">
        <f>+'WICHE Public Grads-RE PROJ'!IP9/'WICHE Public Grads-RE PROJ'!C9</f>
        <v>0.68664426361540809</v>
      </c>
      <c r="HA8" s="262">
        <f>+'WICHE Public Grads-RE PROJ'!IQ9/'WICHE Public Grads-RE PROJ'!D9</f>
        <v>0.67869480651435543</v>
      </c>
      <c r="HB8" s="262">
        <f>+'WICHE Public Grads-RE PROJ'!IR9/'WICHE Public Grads-RE PROJ'!E9</f>
        <v>0.68423955001654346</v>
      </c>
      <c r="HC8" s="262">
        <f>+'WICHE Public Grads-RE PROJ'!IS9/'WICHE Public Grads-RE PROJ'!F9</f>
        <v>0.68016436948891357</v>
      </c>
      <c r="HD8" s="262">
        <f>+'WICHE Public Grads-RE PROJ'!IT9/'WICHE Public Grads-RE PROJ'!G9</f>
        <v>0.67695375024571058</v>
      </c>
      <c r="HE8" s="267">
        <f>+'WICHE Public Grads-RE PROJ'!IU9/'WICHE Public Grads-RE PROJ'!H9</f>
        <v>0.66977342539840901</v>
      </c>
      <c r="HF8" s="267">
        <f>+'WICHE Public Grads-RE PROJ'!IV9/'WICHE Public Grads-RE PROJ'!I9</f>
        <v>0.65337711069418392</v>
      </c>
      <c r="HG8" s="267">
        <f>+'WICHE Public Grads-RE PROJ'!IW9/'WICHE Public Grads-RE PROJ'!J9</f>
        <v>0.63984866924175887</v>
      </c>
      <c r="HH8" s="267">
        <f>+'WICHE Public Grads-RE PROJ'!IX9/'WICHE Public Grads-RE PROJ'!K9</f>
        <v>0.64918289196914947</v>
      </c>
      <c r="HI8" s="262">
        <f>+'WICHE Public Grads-RE PROJ'!IY9/'WICHE Public Grads-RE PROJ'!L9</f>
        <v>0.65377434725666672</v>
      </c>
      <c r="HJ8" s="267">
        <f>+'WICHE Public Grads-RE PROJ'!IZ9/'WICHE Public Grads-RE PROJ'!M9</f>
        <v>0.65667782586211587</v>
      </c>
      <c r="HK8" s="267">
        <f>+'WICHE Public Grads-RE PROJ'!JA9/'WICHE Public Grads-RE PROJ'!N9</f>
        <v>0.65678477402369462</v>
      </c>
      <c r="HL8" s="267">
        <f>+'WICHE Public Grads-RE PROJ'!JB9/'WICHE Public Grads-RE PROJ'!O9</f>
        <v>0.65124289109016631</v>
      </c>
      <c r="HM8" s="267">
        <f>+'WICHE Public Grads-RE PROJ'!JC9/'WICHE Public Grads-RE PROJ'!P9</f>
        <v>0.65087821087610109</v>
      </c>
      <c r="HN8" s="267">
        <f>+'WICHE Public Grads-RE PROJ'!JD9/'WICHE Public Grads-RE PROJ'!Q9</f>
        <v>0.642578125</v>
      </c>
      <c r="HO8" s="267">
        <f>+'WICHE Public Grads-RE PROJ'!JE9/'WICHE Public Grads-RE PROJ'!R9</f>
        <v>0.63790935036037344</v>
      </c>
      <c r="HP8" s="267">
        <f>+'WICHE Public Grads-RE PROJ'!JF9/'WICHE Public Grads-RE PROJ'!S9</f>
        <v>0.62687134641889641</v>
      </c>
      <c r="HQ8" s="267">
        <f>+'WICHE Public Grads-RE PROJ'!JG9/'WICHE Public Grads-RE PROJ'!T9</f>
        <v>0.61550757540656997</v>
      </c>
      <c r="HR8" s="267">
        <f>+'WICHE Public Grads-RE PROJ'!JH9/'WICHE Public Grads-RE PROJ'!U9</f>
        <v>0.60731340572479842</v>
      </c>
      <c r="HS8" s="267">
        <f>+'WICHE Public Grads-RE PROJ'!JI9/'WICHE Public Grads-RE PROJ'!V9</f>
        <v>0.61199761808420994</v>
      </c>
      <c r="HT8" s="267">
        <f>+'WICHE Public Grads-RE PROJ'!JJ9/'WICHE Public Grads-RE PROJ'!W9</f>
        <v>0.61158261977495498</v>
      </c>
      <c r="HU8" s="268">
        <f>+'WICHE Public Grads-RE PROJ'!JK9/'WICHE Public Grads-RE PROJ'!Y9</f>
        <v>0.61094538609356386</v>
      </c>
      <c r="HV8" s="268">
        <f>+'WICHE Public Grads-RE PROJ'!JL9/'WICHE Public Grads-RE PROJ'!Z9</f>
        <v>0.61058208587981533</v>
      </c>
      <c r="HW8" s="268">
        <f>+'WICHE Public Grads-RE PROJ'!JM9/'WICHE Public Grads-RE PROJ'!AA9</f>
        <v>0.61136254003416457</v>
      </c>
      <c r="HX8" s="268">
        <f>+'WICHE Public Grads-RE PROJ'!JN9/'WICHE Public Grads-RE PROJ'!AB9</f>
        <v>0.61269085387547118</v>
      </c>
      <c r="HY8" s="266">
        <f>+'WICHE Public Grads-RE PROJ'!JO9/'WICHE Public Grads-RE PROJ'!AC9</f>
        <v>0.60414157839674643</v>
      </c>
      <c r="HZ8" s="266">
        <f>+'WICHE Public Grads-RE PROJ'!JP9/'WICHE Public Grads-RE PROJ'!AD9</f>
        <v>0.60299990405281723</v>
      </c>
      <c r="IA8" s="266">
        <f>+'WICHE Public Grads-RE PROJ'!JQ9/'WICHE Public Grads-RE PROJ'!AE9</f>
        <v>0.60430861331282026</v>
      </c>
      <c r="IB8" s="266">
        <f>+'WICHE Public Grads-RE PROJ'!JR9/'WICHE Public Grads-RE PROJ'!AF9</f>
        <v>0.60799888550303782</v>
      </c>
      <c r="IC8" s="266">
        <f>+'WICHE Public Grads-RE PROJ'!JS9/'WICHE Public Grads-RE PROJ'!AG9</f>
        <v>0.60353870654814357</v>
      </c>
      <c r="ID8" s="268">
        <f>+'WICHE Public Grads-RE PROJ'!JT9/'WICHE Public Grads-RE PROJ'!AH9</f>
        <v>0.60772980780575026</v>
      </c>
      <c r="IE8" s="266">
        <f>+'WICHE Public Grads-RE PROJ'!JU9/'WICHE Public Grads-RE PROJ'!AI9</f>
        <v>0.59265658917490149</v>
      </c>
      <c r="IF8" s="266">
        <f>+'WICHE Public Grads-RE PROJ'!JV9/'WICHE Public Grads-RE PROJ'!AJ9</f>
        <v>0.58020314431566133</v>
      </c>
      <c r="IG8" s="266">
        <f>+'WICHE Public Grads-RE PROJ'!JW9/'WICHE Public Grads-RE PROJ'!AK9</f>
        <v>0.575284749223826</v>
      </c>
      <c r="IH8" s="266">
        <f>+'WICHE Public Grads-RE PROJ'!JX9/'WICHE Public Grads-RE PROJ'!AL9</f>
        <v>0.57590310981621851</v>
      </c>
      <c r="II8" s="266">
        <f>+'WICHE Public Grads-RE PROJ'!JY9/'WICHE Public Grads-RE PROJ'!AM9</f>
        <v>0.58289719436883847</v>
      </c>
      <c r="IJ8" s="266">
        <f>+'WICHE Public Grads-RE PROJ'!JZ9/'WICHE Public Grads-RE PROJ'!AN9</f>
        <v>0.58699546154472504</v>
      </c>
      <c r="IK8" s="266">
        <f>+'WICHE Public Grads-RE PROJ'!KA9/'WICHE Public Grads-RE PROJ'!AO9</f>
        <v>0.58688445111784715</v>
      </c>
      <c r="IL8" s="266">
        <f>+'WICHE Public Grads-RE PROJ'!KB9/'WICHE Public Grads-RE PROJ'!AP9</f>
        <v>0.58824009486032558</v>
      </c>
      <c r="IM8" s="282">
        <f>+'WICHE Public Grads-RE PROJ'!KC9/'WICHE Public Grads-RE PROJ'!AQ9</f>
        <v>0.58987747208098096</v>
      </c>
      <c r="IN8" s="278">
        <f t="shared" ref="IN8:IN24" si="5">+B8+DU8+FJ8+GY8</f>
        <v>1</v>
      </c>
      <c r="IO8" s="278">
        <f t="shared" ref="IO8:IO24" si="6">+C8+DV8+FK8+GZ8</f>
        <v>1</v>
      </c>
      <c r="IP8" s="278">
        <f t="shared" ref="IP8:IP24" si="7">+D8+DW8+FL8+HA8</f>
        <v>1</v>
      </c>
      <c r="IQ8" s="278">
        <f t="shared" ref="IQ8:IQ24" si="8">+E8+DX8+FM8+HB8</f>
        <v>1</v>
      </c>
      <c r="IR8" s="278">
        <f t="shared" ref="IR8:IR24" si="9">+F8+DY8+FN8+HC8</f>
        <v>1</v>
      </c>
      <c r="IS8" s="278">
        <f t="shared" ref="IS8:IS24" si="10">+G8+DZ8+FO8+HD8</f>
        <v>1</v>
      </c>
      <c r="IT8" s="278">
        <f t="shared" ref="IT8:IT24" si="11">+H8+EA8+FP8+HE8</f>
        <v>1</v>
      </c>
      <c r="IU8" s="278">
        <f t="shared" ref="IU8:IU24" si="12">+I8+EB8+FQ8+HF8</f>
        <v>1</v>
      </c>
      <c r="IV8" s="278">
        <f t="shared" ref="IV8:IV24" si="13">+J8+EC8+FR8+HG8</f>
        <v>1</v>
      </c>
      <c r="IW8" s="278">
        <f t="shared" ref="IW8:IW24" si="14">+K8+ED8+FS8+HH8</f>
        <v>1</v>
      </c>
      <c r="IX8" s="278">
        <f t="shared" ref="IX8:IX24" si="15">+L8+EE8+FT8+HI8</f>
        <v>1</v>
      </c>
      <c r="IY8" s="278">
        <f t="shared" ref="IY8:IY24" si="16">+M8+EF8+FU8+HJ8</f>
        <v>1</v>
      </c>
      <c r="IZ8" s="278">
        <f t="shared" ref="IZ8:IZ24" si="17">+N8+EG8+FV8+HK8</f>
        <v>1</v>
      </c>
      <c r="JA8" s="278">
        <f t="shared" ref="JA8:JA24" si="18">+O8+EH8+FW8+HL8</f>
        <v>0.99917229594425017</v>
      </c>
      <c r="JB8" s="278">
        <f t="shared" ref="JB8:JB24" si="19">+P8+EI8+FX8+HM8</f>
        <v>1</v>
      </c>
      <c r="JC8" s="278">
        <f t="shared" ref="JC8:JC24" si="20">+Q8+EJ8+FY8+HN8</f>
        <v>0.99925472861842102</v>
      </c>
      <c r="JD8" s="278">
        <f t="shared" ref="JD8:JD24" si="21">+R8+EK8+FZ8+HO8</f>
        <v>0.99920185749528367</v>
      </c>
      <c r="JE8" s="278">
        <f t="shared" ref="JE8:JE24" si="22">+S8+EL8+GA8+HP8</f>
        <v>0.99883560667268656</v>
      </c>
      <c r="JF8" s="278">
        <f t="shared" ref="JF8:JF24" si="23">+T8+EM8+GB8+HQ8</f>
        <v>0.99884168095260151</v>
      </c>
      <c r="JG8" s="278">
        <f t="shared" ref="JG8:JG24" si="24">+U8+EN8+GC8+HR8</f>
        <v>1.0000000000000002</v>
      </c>
      <c r="JH8" s="278">
        <f t="shared" ref="JH8:JH24" si="25">+V8+EO8+GD8+HS8</f>
        <v>1</v>
      </c>
      <c r="JI8" s="278">
        <f t="shared" ref="JI8:JI24" si="26">+W8+EP8+GE8+HT8</f>
        <v>1</v>
      </c>
      <c r="JJ8" s="278">
        <f t="shared" ref="JJ8:JJ24" si="27">+X8+EQ8+GF8+HU8</f>
        <v>0.99981707057412306</v>
      </c>
      <c r="JK8" s="278">
        <f t="shared" ref="JK8:JK24" si="28">+Y8+ER8+GG8+HV8</f>
        <v>1.0000498788908092</v>
      </c>
      <c r="JL8" s="278">
        <f t="shared" ref="JL8:JL24" si="29">+Z8+ES8+GH8+HW8</f>
        <v>1.0008731617208719</v>
      </c>
      <c r="JM8" s="278">
        <f t="shared" ref="JM8:JM24" si="30">+AA8+ET8+GI8+HX8</f>
        <v>1.001608409108838</v>
      </c>
      <c r="JN8" s="278">
        <f t="shared" ref="JN8:JN24" si="31">+AB8+EU8+GJ8+HY8</f>
        <v>1.0012775944808701</v>
      </c>
      <c r="JO8" s="278">
        <f t="shared" ref="JO8:JO24" si="32">+AC8+EV8+GK8+HZ8</f>
        <v>1.001569814827562</v>
      </c>
      <c r="JP8" s="278">
        <f t="shared" ref="JP8:JP24" si="33">+AD8+EW8+GL8+IA8</f>
        <v>1.0026053667815646</v>
      </c>
      <c r="JQ8" s="278">
        <f t="shared" ref="JQ8:JQ24" si="34">+AE8+EX8+GM8+IB8</f>
        <v>1.0044867198027214</v>
      </c>
      <c r="JR8" s="278">
        <f t="shared" ref="JR8:JR24" si="35">+AF8+EY8+GN8+IC8</f>
        <v>1.0053859480054936</v>
      </c>
      <c r="JS8" s="278">
        <f t="shared" ref="JS8:JS24" si="36">+AG8+EZ8+GO8+ID8</f>
        <v>1.0064666895546128</v>
      </c>
      <c r="JT8" s="278">
        <f t="shared" ref="JT8:JT24" si="37">+AH8+FA8+GP8+IE8</f>
        <v>1.0060544637130824</v>
      </c>
      <c r="JU8" s="278">
        <f t="shared" ref="JU8:JU24" si="38">+AI8+FB8+GQ8+IF8</f>
        <v>1.0065280010213342</v>
      </c>
      <c r="JV8" s="278">
        <f t="shared" ref="JV8:JV24" si="39">+AJ8+FC8+GR8+IG8</f>
        <v>1.009054942768419</v>
      </c>
      <c r="JW8" s="278">
        <f t="shared" ref="JW8:JW24" si="40">+AK8+FD8+GS8+IH8</f>
        <v>1.010066546301275</v>
      </c>
      <c r="JX8" s="278">
        <f t="shared" ref="JX8:JX24" si="41">+AL8+FE8+GT8+II8</f>
        <v>1.0096136533857183</v>
      </c>
      <c r="JY8" s="278">
        <f t="shared" ref="JY8:KB23" si="42">+AM8+FF8+GU8+IJ8</f>
        <v>1.0096996282671431</v>
      </c>
      <c r="JZ8" s="278">
        <f t="shared" si="42"/>
        <v>1.011938413975054</v>
      </c>
      <c r="KA8" s="278">
        <f t="shared" si="42"/>
        <v>1.0107629117516492</v>
      </c>
      <c r="KB8" s="278">
        <f t="shared" si="42"/>
        <v>1.0097688105889162</v>
      </c>
    </row>
    <row r="9" spans="1:288" s="17" customFormat="1">
      <c r="A9" s="173" t="s">
        <v>34</v>
      </c>
      <c r="B9" s="262">
        <f>+'WICHE Public Grads-RE PROJ'!AR10/'WICHE Public Grads-RE PROJ'!B10</f>
        <v>9.1700522344747536E-3</v>
      </c>
      <c r="C9" s="262">
        <f>+'WICHE Public Grads-RE PROJ'!AS10/'WICHE Public Grads-RE PROJ'!C10</f>
        <v>1.1771584486454881E-2</v>
      </c>
      <c r="D9" s="262">
        <f>+'WICHE Public Grads-RE PROJ'!AT10/'WICHE Public Grads-RE PROJ'!D10</f>
        <v>1.3525410164065626E-2</v>
      </c>
      <c r="E9" s="262">
        <f>+'WICHE Public Grads-RE PROJ'!AU10/'WICHE Public Grads-RE PROJ'!E10</f>
        <v>1.3226322128533285E-2</v>
      </c>
      <c r="F9" s="262">
        <f>+'WICHE Public Grads-RE PROJ'!AV10/'WICHE Public Grads-RE PROJ'!F10</f>
        <v>1.3226322128533283E-2</v>
      </c>
      <c r="G9" s="262">
        <f>+'WICHE Public Grads-RE PROJ'!AW10/'WICHE Public Grads-RE PROJ'!G10</f>
        <v>1.3242662848962061E-2</v>
      </c>
      <c r="H9" s="267">
        <f>+'WICHE Public Grads-RE PROJ'!AX10/'WICHE Public Grads-RE PROJ'!H10</f>
        <v>1.3479798920126606E-2</v>
      </c>
      <c r="I9" s="267">
        <f>+'WICHE Public Grads-RE PROJ'!AY10/'WICHE Public Grads-RE PROJ'!I10</f>
        <v>1.412849494348602E-2</v>
      </c>
      <c r="J9" s="267">
        <f>+'WICHE Public Grads-RE PROJ'!AZ10/'WICHE Public Grads-RE PROJ'!J10</f>
        <v>1.6023413206511797E-2</v>
      </c>
      <c r="K9" s="267">
        <f>+'WICHE Public Grads-RE PROJ'!BA10/'WICHE Public Grads-RE PROJ'!K10</f>
        <v>1.5535055350553505E-2</v>
      </c>
      <c r="L9" s="262">
        <f>+'WICHE Public Grads-RE PROJ'!BB10/'WICHE Public Grads-RE PROJ'!L10</f>
        <v>1.6343018084790988E-2</v>
      </c>
      <c r="M9" s="267">
        <f>+'WICHE Public Grads-RE PROJ'!BC10/'WICHE Public Grads-RE PROJ'!M10</f>
        <v>1.6730176011613137E-2</v>
      </c>
      <c r="N9" s="267">
        <f>+'WICHE Public Grads-RE PROJ'!BD10/'WICHE Public Grads-RE PROJ'!N10</f>
        <v>1.8910268202052903E-2</v>
      </c>
      <c r="O9" s="267">
        <f>+'WICHE Public Grads-RE PROJ'!BE10/'WICHE Public Grads-RE PROJ'!O10</f>
        <v>2.0697945231208444E-2</v>
      </c>
      <c r="P9" s="267">
        <f>+'WICHE Public Grads-RE PROJ'!BF10/'WICHE Public Grads-RE PROJ'!P10</f>
        <v>2.2195206668982285E-2</v>
      </c>
      <c r="Q9" s="267">
        <f>+'WICHE Public Grads-RE PROJ'!BG10/'WICHE Public Grads-RE PROJ'!Q10</f>
        <v>2.2196863726717218E-2</v>
      </c>
      <c r="R9" s="267">
        <f>+'WICHE Public Grads-RE PROJ'!BH10/'WICHE Public Grads-RE PROJ'!R10</f>
        <v>2.4299390774586597E-2</v>
      </c>
      <c r="S9" s="267">
        <f>+'WICHE Public Grads-RE PROJ'!BI10/'WICHE Public Grads-RE PROJ'!S10</f>
        <v>2.3060198880849699E-2</v>
      </c>
      <c r="T9" s="267">
        <f>+'WICHE Public Grads-RE PROJ'!BJ10/'WICHE Public Grads-RE PROJ'!T10</f>
        <v>2.584286368004049E-2</v>
      </c>
      <c r="U9" s="267">
        <f>+'WICHE Public Grads-RE PROJ'!BK10/'WICHE Public Grads-RE PROJ'!U10</f>
        <v>2.6573973322726797E-2</v>
      </c>
      <c r="V9" s="267">
        <f>+'WICHE Public Grads-RE PROJ'!BL10/'WICHE Public Grads-RE PROJ'!V10</f>
        <v>2.342595987065782E-2</v>
      </c>
      <c r="W9" s="267">
        <f>+'WICHE Public Grads-RE PROJ'!BM10/'WICHE Public Grads-RE PROJ'!W10</f>
        <v>2.4317499194200645E-2</v>
      </c>
      <c r="X9" s="268">
        <f>+'WICHE Public Grads-RE PROJ'!BN10/'WICHE Public Grads-RE PROJ'!Y10</f>
        <v>2.4859280253641362E-2</v>
      </c>
      <c r="Y9" s="268">
        <f>+'WICHE Public Grads-RE PROJ'!BO10/'WICHE Public Grads-RE PROJ'!Z10</f>
        <v>2.6931581473004118E-2</v>
      </c>
      <c r="Z9" s="268">
        <f>+'WICHE Public Grads-RE PROJ'!BP10/'WICHE Public Grads-RE PROJ'!AA10</f>
        <v>2.6511770796085736E-2</v>
      </c>
      <c r="AA9" s="268">
        <f>+'WICHE Public Grads-RE PROJ'!BQ10/'WICHE Public Grads-RE PROJ'!AB10</f>
        <v>2.6913442514529668E-2</v>
      </c>
      <c r="AB9" s="266">
        <f>+'WICHE Public Grads-RE PROJ'!BR10/'WICHE Public Grads-RE PROJ'!AC10</f>
        <v>2.8254692709466751E-2</v>
      </c>
      <c r="AC9" s="266">
        <f>+'WICHE Public Grads-RE PROJ'!BS10/'WICHE Public Grads-RE PROJ'!AD10</f>
        <v>2.789047138625236E-2</v>
      </c>
      <c r="AD9" s="266">
        <f>+'WICHE Public Grads-RE PROJ'!BT10/'WICHE Public Grads-RE PROJ'!AE10</f>
        <v>2.6845517664680543E-2</v>
      </c>
      <c r="AE9" s="266">
        <f>+'WICHE Public Grads-RE PROJ'!BU10/'WICHE Public Grads-RE PROJ'!AF10</f>
        <v>2.9389058776325139E-2</v>
      </c>
      <c r="AF9" s="266">
        <f>+'WICHE Public Grads-RE PROJ'!BV10/'WICHE Public Grads-RE PROJ'!AG10</f>
        <v>3.0136658290404912E-2</v>
      </c>
      <c r="AG9" s="268">
        <f>+'WICHE Public Grads-RE PROJ'!BW10/'WICHE Public Grads-RE PROJ'!AH10</f>
        <v>3.0140576955719162E-2</v>
      </c>
      <c r="AH9" s="266">
        <f>+'WICHE Public Grads-RE PROJ'!BX10/'WICHE Public Grads-RE PROJ'!AI10</f>
        <v>2.8523276465194824E-2</v>
      </c>
      <c r="AI9" s="266">
        <f>+'WICHE Public Grads-RE PROJ'!BY10/'WICHE Public Grads-RE PROJ'!AJ10</f>
        <v>2.8929204526564858E-2</v>
      </c>
      <c r="AJ9" s="266">
        <f>+'WICHE Public Grads-RE PROJ'!BZ10/'WICHE Public Grads-RE PROJ'!AK10</f>
        <v>3.086926719056609E-2</v>
      </c>
      <c r="AK9" s="266">
        <f>+'WICHE Public Grads-RE PROJ'!CA10/'WICHE Public Grads-RE PROJ'!AL10</f>
        <v>2.9966677655833742E-2</v>
      </c>
      <c r="AL9" s="266">
        <f>+'WICHE Public Grads-RE PROJ'!CB10/'WICHE Public Grads-RE PROJ'!AM10</f>
        <v>3.0381535724362765E-2</v>
      </c>
      <c r="AM9" s="266">
        <f>+'WICHE Public Grads-RE PROJ'!CC10/'WICHE Public Grads-RE PROJ'!AN10</f>
        <v>3.4948266865950338E-2</v>
      </c>
      <c r="AN9" s="266">
        <f>+'WICHE Public Grads-RE PROJ'!CD10/'WICHE Public Grads-RE PROJ'!AO10</f>
        <v>4.1495823987565121E-2</v>
      </c>
      <c r="AO9" s="266">
        <f>+'WICHE Public Grads-RE PROJ'!CE10/'WICHE Public Grads-RE PROJ'!AP10</f>
        <v>4.9670125897639923E-2</v>
      </c>
      <c r="AP9" s="282">
        <f>+'WICHE Public Grads-RE PROJ'!CF10/'WICHE Public Grads-RE PROJ'!AQ10</f>
        <v>5.0336103213404274E-2</v>
      </c>
      <c r="AQ9" s="262">
        <f>+'WICHE Public Grads-RE PROJ'!CG10/'WICHE Public Grads-RE PROJ'!B10</f>
        <v>2.2054556006964599E-3</v>
      </c>
      <c r="AR9" s="262">
        <f>+'WICHE Public Grads-RE PROJ'!CH10/'WICHE Public Grads-RE PROJ'!C10</f>
        <v>2.8454492301695578E-3</v>
      </c>
      <c r="AS9" s="262">
        <f>+'WICHE Public Grads-RE PROJ'!CI10/'WICHE Public Grads-RE PROJ'!D10</f>
        <v>3.6014405762304922E-3</v>
      </c>
      <c r="AT9" s="262">
        <f>+'WICHE Public Grads-RE PROJ'!CJ10/'WICHE Public Grads-RE PROJ'!E10</f>
        <v>3.3233195107841588E-3</v>
      </c>
      <c r="AU9" s="262">
        <f>+'WICHE Public Grads-RE PROJ'!CK10/'WICHE Public Grads-RE PROJ'!F10</f>
        <v>3.3233195107841588E-3</v>
      </c>
      <c r="AV9" s="262">
        <f>+'WICHE Public Grads-RE PROJ'!CL10/'WICHE Public Grads-RE PROJ'!G10</f>
        <v>3.3404915294679076E-3</v>
      </c>
      <c r="AW9" s="267">
        <f>+'WICHE Public Grads-RE PROJ'!CM10/'WICHE Public Grads-RE PROJ'!H10</f>
        <v>3.4258052504189166E-3</v>
      </c>
      <c r="AX9" s="267">
        <f>+'WICHE Public Grads-RE PROJ'!CN10/'WICHE Public Grads-RE PROJ'!I10</f>
        <v>3.4205829863176679E-3</v>
      </c>
      <c r="AY9" s="267">
        <f>+'WICHE Public Grads-RE PROJ'!CO10/'WICHE Public Grads-RE PROJ'!J10</f>
        <v>4.4997256264861897E-3</v>
      </c>
      <c r="AZ9" s="267">
        <f>+'WICHE Public Grads-RE PROJ'!CP10/'WICHE Public Grads-RE PROJ'!K10</f>
        <v>4.3911439114391144E-3</v>
      </c>
      <c r="BA9" s="262">
        <f>+'WICHE Public Grads-RE PROJ'!CQ10/'WICHE Public Grads-RE PROJ'!L10</f>
        <v>4.3729617551141421E-3</v>
      </c>
      <c r="BB9" s="267">
        <f>+'WICHE Public Grads-RE PROJ'!CR10/'WICHE Public Grads-RE PROJ'!M10</f>
        <v>4.6815459989112684E-3</v>
      </c>
      <c r="BC9" s="267">
        <f>+'WICHE Public Grads-RE PROJ'!CS10/'WICHE Public Grads-RE PROJ'!N10</f>
        <v>5.6657223796033997E-3</v>
      </c>
      <c r="BD9" s="267">
        <f>+'WICHE Public Grads-RE PROJ'!CT10/'WICHE Public Grads-RE PROJ'!O10</f>
        <v>6.1981142706885543E-3</v>
      </c>
      <c r="BE9" s="267">
        <f>+'WICHE Public Grads-RE PROJ'!CU10/'WICHE Public Grads-RE PROJ'!P10</f>
        <v>5.9742966307745745E-3</v>
      </c>
      <c r="BF9" s="267">
        <f>+'WICHE Public Grads-RE PROJ'!CV10/'WICHE Public Grads-RE PROJ'!Q10</f>
        <v>5.6688507693440334E-3</v>
      </c>
      <c r="BG9" s="267">
        <f>+'WICHE Public Grads-RE PROJ'!CW10/'WICHE Public Grads-RE PROJ'!R10</f>
        <v>6.4403829416884249E-3</v>
      </c>
      <c r="BH9" s="267">
        <f>+'WICHE Public Grads-RE PROJ'!CX10/'WICHE Public Grads-RE PROJ'!S10</f>
        <v>7.3065545140250203E-3</v>
      </c>
      <c r="BI9" s="267">
        <f>+'WICHE Public Grads-RE PROJ'!CY10/'WICHE Public Grads-RE PROJ'!T10</f>
        <v>6.112076753544751E-3</v>
      </c>
      <c r="BJ9" s="267">
        <f>+'WICHE Public Grads-RE PROJ'!CZ10/'WICHE Public Grads-RE PROJ'!U10</f>
        <v>7.7328851826070294E-3</v>
      </c>
      <c r="BK9" s="267">
        <f>+'WICHE Public Grads-RE PROJ'!DA10/'WICHE Public Grads-RE PROJ'!V10</f>
        <v>6.1240223066851935E-3</v>
      </c>
      <c r="BL9" s="267">
        <f>+'WICHE Public Grads-RE PROJ'!DB10/'WICHE Public Grads-RE PROJ'!W10</f>
        <v>6.3204608645679441E-3</v>
      </c>
      <c r="BM9" s="268">
        <f>+'WICHE Public Grads-RE PROJ'!DC10/'WICHE Public Grads-RE PROJ'!Y10</f>
        <v>6.2684573839357867E-3</v>
      </c>
      <c r="BN9" s="268">
        <f>+'WICHE Public Grads-RE PROJ'!DD10/'WICHE Public Grads-RE PROJ'!Z10</f>
        <v>6.8525258237564024E-3</v>
      </c>
      <c r="BO9" s="268">
        <f>+'WICHE Public Grads-RE PROJ'!DE10/'WICHE Public Grads-RE PROJ'!AA10</f>
        <v>6.3797410659158765E-3</v>
      </c>
      <c r="BP9" s="268">
        <f>+'WICHE Public Grads-RE PROJ'!DF10/'WICHE Public Grads-RE PROJ'!AB10</f>
        <v>6.4724579801917958E-3</v>
      </c>
      <c r="BQ9" s="266">
        <f>+'WICHE Public Grads-RE PROJ'!DG10/'WICHE Public Grads-RE PROJ'!AC10</f>
        <v>6.1492893768784855E-3</v>
      </c>
      <c r="BR9" s="266">
        <f>+'WICHE Public Grads-RE PROJ'!DH10/'WICHE Public Grads-RE PROJ'!AD10</f>
        <v>5.8390123237269404E-3</v>
      </c>
      <c r="BS9" s="266">
        <f>+'WICHE Public Grads-RE PROJ'!DI10/'WICHE Public Grads-RE PROJ'!AE10</f>
        <v>5.170429414999715E-3</v>
      </c>
      <c r="BT9" s="266">
        <f>+'WICHE Public Grads-RE PROJ'!DJ10/'WICHE Public Grads-RE PROJ'!AF10</f>
        <v>5.3733884098933404E-3</v>
      </c>
      <c r="BU9" s="266">
        <f>+'WICHE Public Grads-RE PROJ'!DK10/'WICHE Public Grads-RE PROJ'!AG10</f>
        <v>5.3880673524791239E-3</v>
      </c>
      <c r="BV9" s="268">
        <f>+'WICHE Public Grads-RE PROJ'!DL10/'WICHE Public Grads-RE PROJ'!AH10</f>
        <v>4.6610073196130435E-3</v>
      </c>
      <c r="BW9" s="266">
        <f>+'WICHE Public Grads-RE PROJ'!DM10/'WICHE Public Grads-RE PROJ'!AI10</f>
        <v>4.6078976565837731E-3</v>
      </c>
      <c r="BX9" s="266">
        <f>+'WICHE Public Grads-RE PROJ'!DN10/'WICHE Public Grads-RE PROJ'!AJ10</f>
        <v>4.9800488924638987E-3</v>
      </c>
      <c r="BY9" s="266">
        <f>+'WICHE Public Grads-RE PROJ'!DO10/'WICHE Public Grads-RE PROJ'!AK10</f>
        <v>5.397184289085236E-3</v>
      </c>
      <c r="BZ9" s="266">
        <f>+'WICHE Public Grads-RE PROJ'!DP10/'WICHE Public Grads-RE PROJ'!AL10</f>
        <v>4.4105836085719732E-3</v>
      </c>
      <c r="CA9" s="266">
        <f>+'WICHE Public Grads-RE PROJ'!DQ10/'WICHE Public Grads-RE PROJ'!AM10</f>
        <v>5.789320390410157E-3</v>
      </c>
      <c r="CB9" s="266">
        <f>+'WICHE Public Grads-RE PROJ'!DR10/'WICHE Public Grads-RE PROJ'!AN10</f>
        <v>5.7678664288567964E-3</v>
      </c>
      <c r="CC9" s="266">
        <f>+'WICHE Public Grads-RE PROJ'!DS10/'WICHE Public Grads-RE PROJ'!AO10</f>
        <v>6.3231868913997558E-3</v>
      </c>
      <c r="CD9" s="266">
        <f>+'WICHE Public Grads-RE PROJ'!DT10/'WICHE Public Grads-RE PROJ'!AP10</f>
        <v>6.0667452037327426E-3</v>
      </c>
      <c r="CE9" s="282">
        <f>+'WICHE Public Grads-RE PROJ'!DU10/'WICHE Public Grads-RE PROJ'!AQ10</f>
        <v>5.6814636910158785E-3</v>
      </c>
      <c r="CF9" s="262">
        <f>+'WICHE Public Grads-RE PROJ'!DV10/'WICHE Public Grads-RE PROJ'!B10</f>
        <v>6.9645966337782937E-3</v>
      </c>
      <c r="CG9" s="262">
        <f>+'WICHE Public Grads-RE PROJ'!DW10/'WICHE Public Grads-RE PROJ'!C10</f>
        <v>8.9261352562853245E-3</v>
      </c>
      <c r="CH9" s="262">
        <f>+'WICHE Public Grads-RE PROJ'!DX10/'WICHE Public Grads-RE PROJ'!D10</f>
        <v>9.9239695878351342E-3</v>
      </c>
      <c r="CI9" s="262">
        <f>+'WICHE Public Grads-RE PROJ'!DY10/'WICHE Public Grads-RE PROJ'!E10</f>
        <v>9.9030026177491254E-3</v>
      </c>
      <c r="CJ9" s="262">
        <f>+'WICHE Public Grads-RE PROJ'!DZ10/'WICHE Public Grads-RE PROJ'!F10</f>
        <v>9.9030026177491254E-3</v>
      </c>
      <c r="CK9" s="262">
        <f>+'WICHE Public Grads-RE PROJ'!EA10/'WICHE Public Grads-RE PROJ'!G10</f>
        <v>9.9021713194941546E-3</v>
      </c>
      <c r="CL9" s="267">
        <f>+'WICHE Public Grads-RE PROJ'!EB10/'WICHE Public Grads-RE PROJ'!H10</f>
        <v>1.0053993669707689E-2</v>
      </c>
      <c r="CM9" s="267">
        <f>+'WICHE Public Grads-RE PROJ'!EC10/'WICHE Public Grads-RE PROJ'!I10</f>
        <v>1.0707911957168352E-2</v>
      </c>
      <c r="CN9" s="267">
        <f>+'WICHE Public Grads-RE PROJ'!ED10/'WICHE Public Grads-RE PROJ'!J10</f>
        <v>1.1523687580025609E-2</v>
      </c>
      <c r="CO9" s="267">
        <f>+'WICHE Public Grads-RE PROJ'!EE10/'WICHE Public Grads-RE PROJ'!K10</f>
        <v>1.1143911439114392E-2</v>
      </c>
      <c r="CP9" s="262">
        <f>+'WICHE Public Grads-RE PROJ'!EF10/'WICHE Public Grads-RE PROJ'!L10</f>
        <v>1.1970056329676846E-2</v>
      </c>
      <c r="CQ9" s="267">
        <f>+'WICHE Public Grads-RE PROJ'!EG10/'WICHE Public Grads-RE PROJ'!M10</f>
        <v>1.2048630012701868E-2</v>
      </c>
      <c r="CR9" s="267">
        <f>+'WICHE Public Grads-RE PROJ'!EH10/'WICHE Public Grads-RE PROJ'!N10</f>
        <v>1.3244545822449506E-2</v>
      </c>
      <c r="CS9" s="267">
        <f>+'WICHE Public Grads-RE PROJ'!EI10/'WICHE Public Grads-RE PROJ'!O10</f>
        <v>1.4499830960519891E-2</v>
      </c>
      <c r="CT9" s="267">
        <f>+'WICHE Public Grads-RE PROJ'!EJ10/'WICHE Public Grads-RE PROJ'!P10</f>
        <v>1.6220910038207709E-2</v>
      </c>
      <c r="CU9" s="267">
        <f>+'WICHE Public Grads-RE PROJ'!EK10/'WICHE Public Grads-RE PROJ'!Q10</f>
        <v>1.6528012957373186E-2</v>
      </c>
      <c r="CV9" s="267">
        <f>+'WICHE Public Grads-RE PROJ'!EL10/'WICHE Public Grads-RE PROJ'!R10</f>
        <v>1.7859007832898174E-2</v>
      </c>
      <c r="CW9" s="267">
        <f>+'WICHE Public Grads-RE PROJ'!EM10/'WICHE Public Grads-RE PROJ'!S10</f>
        <v>1.5753644366824679E-2</v>
      </c>
      <c r="CX9" s="267">
        <f>+'WICHE Public Grads-RE PROJ'!EN10/'WICHE Public Grads-RE PROJ'!T10</f>
        <v>1.9730786926495738E-2</v>
      </c>
      <c r="CY9" s="267">
        <f>+'WICHE Public Grads-RE PROJ'!EO10/'WICHE Public Grads-RE PROJ'!U10</f>
        <v>1.8841088140119765E-2</v>
      </c>
      <c r="CZ9" s="267">
        <f>+'WICHE Public Grads-RE PROJ'!EP10/'WICHE Public Grads-RE PROJ'!V10</f>
        <v>1.7301937563972625E-2</v>
      </c>
      <c r="DA9" s="267">
        <f>+'WICHE Public Grads-RE PROJ'!EQ10/'WICHE Public Grads-RE PROJ'!W10</f>
        <v>1.79970383296327E-2</v>
      </c>
      <c r="DB9" s="268">
        <f>+'WICHE Public Grads-RE PROJ'!ER10/'WICHE Public Grads-RE PROJ'!Y10</f>
        <v>1.8590822869705575E-2</v>
      </c>
      <c r="DC9" s="268">
        <f>+'WICHE Public Grads-RE PROJ'!ES10/'WICHE Public Grads-RE PROJ'!Z10</f>
        <v>2.0079055649247713E-2</v>
      </c>
      <c r="DD9" s="268">
        <f>+'WICHE Public Grads-RE PROJ'!ET10/'WICHE Public Grads-RE PROJ'!AA10</f>
        <v>2.0132029730169858E-2</v>
      </c>
      <c r="DE9" s="268">
        <f>+'WICHE Public Grads-RE PROJ'!EU10/'WICHE Public Grads-RE PROJ'!AB10</f>
        <v>2.0440984534337871E-2</v>
      </c>
      <c r="DF9" s="266">
        <f>+'WICHE Public Grads-RE PROJ'!EV10/'WICHE Public Grads-RE PROJ'!AC10</f>
        <v>2.2105403332588265E-2</v>
      </c>
      <c r="DG9" s="266">
        <f>+'WICHE Public Grads-RE PROJ'!EW10/'WICHE Public Grads-RE PROJ'!AD10</f>
        <v>2.2051459062525418E-2</v>
      </c>
      <c r="DH9" s="266">
        <f>+'WICHE Public Grads-RE PROJ'!EX10/'WICHE Public Grads-RE PROJ'!AE10</f>
        <v>2.1675088249680827E-2</v>
      </c>
      <c r="DI9" s="266">
        <f>+'WICHE Public Grads-RE PROJ'!EY10/'WICHE Public Grads-RE PROJ'!AF10</f>
        <v>2.4015670366431797E-2</v>
      </c>
      <c r="DJ9" s="266">
        <f>+'WICHE Public Grads-RE PROJ'!EZ10/'WICHE Public Grads-RE PROJ'!AG10</f>
        <v>2.474859093792579E-2</v>
      </c>
      <c r="DK9" s="268">
        <f>+'WICHE Public Grads-RE PROJ'!FA10/'WICHE Public Grads-RE PROJ'!AH10</f>
        <v>2.5479569636106116E-2</v>
      </c>
      <c r="DL9" s="266">
        <f>+'WICHE Public Grads-RE PROJ'!FB10/'WICHE Public Grads-RE PROJ'!AI10</f>
        <v>2.3915378808611051E-2</v>
      </c>
      <c r="DM9" s="266">
        <f>+'WICHE Public Grads-RE PROJ'!FC10/'WICHE Public Grads-RE PROJ'!AJ10</f>
        <v>2.3949155634100959E-2</v>
      </c>
      <c r="DN9" s="266">
        <f>+'WICHE Public Grads-RE PROJ'!FD10/'WICHE Public Grads-RE PROJ'!AK10</f>
        <v>2.5472082901480852E-2</v>
      </c>
      <c r="DO9" s="266">
        <f>+'WICHE Public Grads-RE PROJ'!FE10/'WICHE Public Grads-RE PROJ'!AL10</f>
        <v>2.5556094047261769E-2</v>
      </c>
      <c r="DP9" s="266">
        <f>+'WICHE Public Grads-RE PROJ'!FF10/'WICHE Public Grads-RE PROJ'!AM10</f>
        <v>2.4592215333952609E-2</v>
      </c>
      <c r="DQ9" s="266">
        <f>+'WICHE Public Grads-RE PROJ'!FG10/'WICHE Public Grads-RE PROJ'!AN10</f>
        <v>2.9180400437093541E-2</v>
      </c>
      <c r="DR9" s="266">
        <f>+'WICHE Public Grads-RE PROJ'!FH10/'WICHE Public Grads-RE PROJ'!AO10</f>
        <v>3.5172637096165367E-2</v>
      </c>
      <c r="DS9" s="266">
        <f>+'WICHE Public Grads-RE PROJ'!FI10/'WICHE Public Grads-RE PROJ'!AP10</f>
        <v>4.3603380693907179E-2</v>
      </c>
      <c r="DT9" s="282">
        <f>+'WICHE Public Grads-RE PROJ'!FJ10/'WICHE Public Grads-RE PROJ'!AQ10</f>
        <v>4.4654639522388392E-2</v>
      </c>
      <c r="DU9" s="262">
        <f>+'WICHE Public Grads-RE PROJ'!FK10/'WICHE Public Grads-RE PROJ'!B10</f>
        <v>0.21214935190559103</v>
      </c>
      <c r="DV9" s="262">
        <f>+'WICHE Public Grads-RE PROJ'!FL10/'WICHE Public Grads-RE PROJ'!C10</f>
        <v>0.22198401870980317</v>
      </c>
      <c r="DW9" s="262">
        <f>+'WICHE Public Grads-RE PROJ'!FM10/'WICHE Public Grads-RE PROJ'!D10</f>
        <v>0.21204481792717086</v>
      </c>
      <c r="DX9" s="262">
        <f>+'WICHE Public Grads-RE PROJ'!FN10/'WICHE Public Grads-RE PROJ'!E10</f>
        <v>0.21842227357473593</v>
      </c>
      <c r="DY9" s="262">
        <f>+'WICHE Public Grads-RE PROJ'!FO10/'WICHE Public Grads-RE PROJ'!F10</f>
        <v>0.21842227357473593</v>
      </c>
      <c r="DZ9" s="262">
        <f>+'WICHE Public Grads-RE PROJ'!FP10/'WICHE Public Grads-RE PROJ'!G10</f>
        <v>0.21840451761711605</v>
      </c>
      <c r="EA9" s="267">
        <f>+'WICHE Public Grads-RE PROJ'!FQ10/'WICHE Public Grads-RE PROJ'!H10</f>
        <v>0.22200707503258238</v>
      </c>
      <c r="EB9" s="267">
        <f>+'WICHE Public Grads-RE PROJ'!FR10/'WICHE Public Grads-RE PROJ'!I10</f>
        <v>0.21765318262938727</v>
      </c>
      <c r="EC9" s="267">
        <f>+'WICHE Public Grads-RE PROJ'!FS10/'WICHE Public Grads-RE PROJ'!J10</f>
        <v>0.2115236875800256</v>
      </c>
      <c r="ED9" s="267">
        <f>+'WICHE Public Grads-RE PROJ'!FT10/'WICHE Public Grads-RE PROJ'!K10</f>
        <v>0.21022140221402214</v>
      </c>
      <c r="EE9" s="262">
        <f>+'WICHE Public Grads-RE PROJ'!FU10/'WICHE Public Grads-RE PROJ'!L10</f>
        <v>0.21416394900681884</v>
      </c>
      <c r="EF9" s="267">
        <f>+'WICHE Public Grads-RE PROJ'!FV10/'WICHE Public Grads-RE PROJ'!M10</f>
        <v>0.20856468880420975</v>
      </c>
      <c r="EG9" s="267">
        <f>+'WICHE Public Grads-RE PROJ'!FW10/'WICHE Public Grads-RE PROJ'!N10</f>
        <v>0.20587910672896509</v>
      </c>
      <c r="EH9" s="267">
        <f>+'WICHE Public Grads-RE PROJ'!FX10/'WICHE Public Grads-RE PROJ'!O10</f>
        <v>0.20694188798317117</v>
      </c>
      <c r="EI9" s="267">
        <f>+'WICHE Public Grads-RE PROJ'!FY10/'WICHE Public Grads-RE PROJ'!P10</f>
        <v>0.20670371656825287</v>
      </c>
      <c r="EJ9" s="267">
        <f>+'WICHE Public Grads-RE PROJ'!FZ10/'WICHE Public Grads-RE PROJ'!Q10</f>
        <v>0.20371052050357064</v>
      </c>
      <c r="EK9" s="267">
        <f>+'WICHE Public Grads-RE PROJ'!GA10/'WICHE Public Grads-RE PROJ'!R10</f>
        <v>0.21347258485639686</v>
      </c>
      <c r="EL9" s="267">
        <f>+'WICHE Public Grads-RE PROJ'!GB10/'WICHE Public Grads-RE PROJ'!S10</f>
        <v>0.21167623053070536</v>
      </c>
      <c r="EM9" s="267">
        <f>+'WICHE Public Grads-RE PROJ'!GC10/'WICHE Public Grads-RE PROJ'!T10</f>
        <v>0.21232168578398544</v>
      </c>
      <c r="EN9" s="267">
        <f>+'WICHE Public Grads-RE PROJ'!GD10/'WICHE Public Grads-RE PROJ'!U10</f>
        <v>0.21537483072663152</v>
      </c>
      <c r="EO9" s="267">
        <f>+'WICHE Public Grads-RE PROJ'!GE10/'WICHE Public Grads-RE PROJ'!V10</f>
        <v>0.21212289837643244</v>
      </c>
      <c r="EP9" s="267">
        <f>+'WICHE Public Grads-RE PROJ'!GF10/'WICHE Public Grads-RE PROJ'!W10</f>
        <v>0.21075860184625728</v>
      </c>
      <c r="EQ9" s="268">
        <f>+'WICHE Public Grads-RE PROJ'!GG10/'WICHE Public Grads-RE PROJ'!Y10</f>
        <v>0.20851842449486124</v>
      </c>
      <c r="ER9" s="268">
        <f>+'WICHE Public Grads-RE PROJ'!GH10/'WICHE Public Grads-RE PROJ'!Z10</f>
        <v>0.20810609766274288</v>
      </c>
      <c r="ES9" s="268">
        <f>+'WICHE Public Grads-RE PROJ'!GI10/'WICHE Public Grads-RE PROJ'!AA10</f>
        <v>0.20801715872405255</v>
      </c>
      <c r="ET9" s="268">
        <f>+'WICHE Public Grads-RE PROJ'!GJ10/'WICHE Public Grads-RE PROJ'!AB10</f>
        <v>0.19840021011037556</v>
      </c>
      <c r="EU9" s="266">
        <f>+'WICHE Public Grads-RE PROJ'!GK10/'WICHE Public Grads-RE PROJ'!AC10</f>
        <v>0.20170684383997947</v>
      </c>
      <c r="EV9" s="266">
        <f>+'WICHE Public Grads-RE PROJ'!GL10/'WICHE Public Grads-RE PROJ'!AD10</f>
        <v>0.20103038470174109</v>
      </c>
      <c r="EW9" s="266">
        <f>+'WICHE Public Grads-RE PROJ'!GM10/'WICHE Public Grads-RE PROJ'!AE10</f>
        <v>0.19830686867062508</v>
      </c>
      <c r="EX9" s="266">
        <f>+'WICHE Public Grads-RE PROJ'!GN10/'WICHE Public Grads-RE PROJ'!AF10</f>
        <v>0.19139639077217521</v>
      </c>
      <c r="EY9" s="266">
        <f>+'WICHE Public Grads-RE PROJ'!GO10/'WICHE Public Grads-RE PROJ'!AG10</f>
        <v>0.18978118494484961</v>
      </c>
      <c r="EZ9" s="268">
        <f>+'WICHE Public Grads-RE PROJ'!GP10/'WICHE Public Grads-RE PROJ'!AH10</f>
        <v>0.19188785607645698</v>
      </c>
      <c r="FA9" s="266">
        <f>+'WICHE Public Grads-RE PROJ'!GQ10/'WICHE Public Grads-RE PROJ'!AI10</f>
        <v>0.18798670437345186</v>
      </c>
      <c r="FB9" s="266">
        <f>+'WICHE Public Grads-RE PROJ'!GR10/'WICHE Public Grads-RE PROJ'!AJ10</f>
        <v>0.19466581688810014</v>
      </c>
      <c r="FC9" s="266">
        <f>+'WICHE Public Grads-RE PROJ'!GS10/'WICHE Public Grads-RE PROJ'!AK10</f>
        <v>0.19745468075186046</v>
      </c>
      <c r="FD9" s="266">
        <f>+'WICHE Public Grads-RE PROJ'!GT10/'WICHE Public Grads-RE PROJ'!AL10</f>
        <v>0.19216868207202556</v>
      </c>
      <c r="FE9" s="266">
        <f>+'WICHE Public Grads-RE PROJ'!GU10/'WICHE Public Grads-RE PROJ'!AM10</f>
        <v>0.19094004267201198</v>
      </c>
      <c r="FF9" s="266">
        <f>+'WICHE Public Grads-RE PROJ'!GV10/'WICHE Public Grads-RE PROJ'!AN10</f>
        <v>0.18567099890426356</v>
      </c>
      <c r="FG9" s="266">
        <f>+'WICHE Public Grads-RE PROJ'!GW10/'WICHE Public Grads-RE PROJ'!AO10</f>
        <v>0.1895602775077555</v>
      </c>
      <c r="FH9" s="266">
        <f>+'WICHE Public Grads-RE PROJ'!GX10/'WICHE Public Grads-RE PROJ'!AP10</f>
        <v>0.19129834798470144</v>
      </c>
      <c r="FI9" s="282">
        <f>+'WICHE Public Grads-RE PROJ'!GY10/'WICHE Public Grads-RE PROJ'!AQ10</f>
        <v>0.18761334658260792</v>
      </c>
      <c r="FJ9" s="262">
        <f>+'WICHE Public Grads-RE PROJ'!GZ10/'WICHE Public Grads-RE PROJ'!B10</f>
        <v>4.6817566260398532E-3</v>
      </c>
      <c r="FK9" s="262">
        <f>+'WICHE Public Grads-RE PROJ'!HA10/'WICHE Public Grads-RE PROJ'!C10</f>
        <v>5.8078347300721108E-3</v>
      </c>
      <c r="FL9" s="262">
        <f>+'WICHE Public Grads-RE PROJ'!HB10/'WICHE Public Grads-RE PROJ'!D10</f>
        <v>6.6826730692276914E-3</v>
      </c>
      <c r="FM9" s="262">
        <f>+'WICHE Public Grads-RE PROJ'!HC10/'WICHE Public Grads-RE PROJ'!E10</f>
        <v>9.8476826918178564E-3</v>
      </c>
      <c r="FN9" s="262">
        <f>+'WICHE Public Grads-RE PROJ'!HD10/'WICHE Public Grads-RE PROJ'!F10</f>
        <v>9.8476826918178564E-3</v>
      </c>
      <c r="FO9" s="262">
        <f>+'WICHE Public Grads-RE PROJ'!HE10/'WICHE Public Grads-RE PROJ'!G10</f>
        <v>9.8624035631909648E-3</v>
      </c>
      <c r="FP9" s="267">
        <f>+'WICHE Public Grads-RE PROJ'!HF10/'WICHE Public Grads-RE PROJ'!H10</f>
        <v>1.2399925525972817E-2</v>
      </c>
      <c r="FQ9" s="267">
        <f>+'WICHE Public Grads-RE PROJ'!HG10/'WICHE Public Grads-RE PROJ'!I10</f>
        <v>1.450029744199881E-2</v>
      </c>
      <c r="FR9" s="267">
        <f>+'WICHE Public Grads-RE PROJ'!HH10/'WICHE Public Grads-RE PROJ'!J10</f>
        <v>1.8584232668739712E-2</v>
      </c>
      <c r="FS9" s="267">
        <f>+'WICHE Public Grads-RE PROJ'!HI10/'WICHE Public Grads-RE PROJ'!K10</f>
        <v>1.9483394833948339E-2</v>
      </c>
      <c r="FT9" s="262">
        <f>+'WICHE Public Grads-RE PROJ'!HJ10/'WICHE Public Grads-RE PROJ'!L10</f>
        <v>2.3198932700859768E-2</v>
      </c>
      <c r="FU9" s="267">
        <f>+'WICHE Public Grads-RE PROJ'!HK10/'WICHE Public Grads-RE PROJ'!M10</f>
        <v>2.8597350753039374E-2</v>
      </c>
      <c r="FV9" s="267">
        <f>+'WICHE Public Grads-RE PROJ'!HL10/'WICHE Public Grads-RE PROJ'!N10</f>
        <v>2.9248372024575992E-2</v>
      </c>
      <c r="FW9" s="267">
        <f>+'WICHE Public Grads-RE PROJ'!HM10/'WICHE Public Grads-RE PROJ'!O10</f>
        <v>3.7489200255437435E-2</v>
      </c>
      <c r="FX9" s="267">
        <f>+'WICHE Public Grads-RE PROJ'!HN10/'WICHE Public Grads-RE PROJ'!P10</f>
        <v>4.1090656477943729E-2</v>
      </c>
      <c r="FY9" s="267">
        <f>+'WICHE Public Grads-RE PROJ'!HO10/'WICHE Public Grads-RE PROJ'!Q10</f>
        <v>4.1264816314510788E-2</v>
      </c>
      <c r="FZ9" s="267">
        <f>+'WICHE Public Grads-RE PROJ'!HP10/'WICHE Public Grads-RE PROJ'!R10</f>
        <v>4.946910356832028E-2</v>
      </c>
      <c r="GA9" s="267">
        <f>+'WICHE Public Grads-RE PROJ'!HQ10/'WICHE Public Grads-RE PROJ'!S10</f>
        <v>5.6991125209395158E-2</v>
      </c>
      <c r="GB9" s="267">
        <f>+'WICHE Public Grads-RE PROJ'!HR10/'WICHE Public Grads-RE PROJ'!T10</f>
        <v>6.5391144433441795E-2</v>
      </c>
      <c r="GC9" s="267">
        <f>+'WICHE Public Grads-RE PROJ'!HS10/'WICHE Public Grads-RE PROJ'!U10</f>
        <v>7.4313065059386632E-2</v>
      </c>
      <c r="GD9" s="267">
        <f>+'WICHE Public Grads-RE PROJ'!HT10/'WICHE Public Grads-RE PROJ'!V10</f>
        <v>7.811675287659664E-2</v>
      </c>
      <c r="GE9" s="267">
        <f>+'WICHE Public Grads-RE PROJ'!HU10/'WICHE Public Grads-RE PROJ'!W10</f>
        <v>8.3413993362831854E-2</v>
      </c>
      <c r="GF9" s="268">
        <f>+'WICHE Public Grads-RE PROJ'!HV10/'WICHE Public Grads-RE PROJ'!Y10</f>
        <v>8.7169927349043733E-2</v>
      </c>
      <c r="GG9" s="268">
        <f>+'WICHE Public Grads-RE PROJ'!HW10/'WICHE Public Grads-RE PROJ'!Z10</f>
        <v>9.360922195109847E-2</v>
      </c>
      <c r="GH9" s="268">
        <f>+'WICHE Public Grads-RE PROJ'!HX10/'WICHE Public Grads-RE PROJ'!AA10</f>
        <v>9.9657737535994398E-2</v>
      </c>
      <c r="GI9" s="268">
        <f>+'WICHE Public Grads-RE PROJ'!HY10/'WICHE Public Grads-RE PROJ'!AB10</f>
        <v>0.1027441829940012</v>
      </c>
      <c r="GJ9" s="266">
        <f>+'WICHE Public Grads-RE PROJ'!HZ10/'WICHE Public Grads-RE PROJ'!AC10</f>
        <v>0.11080244773385813</v>
      </c>
      <c r="GK9" s="266">
        <f>+'WICHE Public Grads-RE PROJ'!IA10/'WICHE Public Grads-RE PROJ'!AD10</f>
        <v>0.11396663657065902</v>
      </c>
      <c r="GL9" s="266">
        <f>+'WICHE Public Grads-RE PROJ'!IB10/'WICHE Public Grads-RE PROJ'!AE10</f>
        <v>0.12584495555066616</v>
      </c>
      <c r="GM9" s="266">
        <f>+'WICHE Public Grads-RE PROJ'!IC10/'WICHE Public Grads-RE PROJ'!AF10</f>
        <v>0.13282345872680715</v>
      </c>
      <c r="GN9" s="266">
        <f>+'WICHE Public Grads-RE PROJ'!ID10/'WICHE Public Grads-RE PROJ'!AG10</f>
        <v>0.13753598242974011</v>
      </c>
      <c r="GO9" s="268">
        <f>+'WICHE Public Grads-RE PROJ'!IE10/'WICHE Public Grads-RE PROJ'!AH10</f>
        <v>0.14175431300855199</v>
      </c>
      <c r="GP9" s="266">
        <f>+'WICHE Public Grads-RE PROJ'!IF10/'WICHE Public Grads-RE PROJ'!AI10</f>
        <v>0.15279752459565243</v>
      </c>
      <c r="GQ9" s="266">
        <f>+'WICHE Public Grads-RE PROJ'!IG10/'WICHE Public Grads-RE PROJ'!AJ10</f>
        <v>0.15583312143305705</v>
      </c>
      <c r="GR9" s="266">
        <f>+'WICHE Public Grads-RE PROJ'!IH10/'WICHE Public Grads-RE PROJ'!AK10</f>
        <v>0.1547493453142022</v>
      </c>
      <c r="GS9" s="266">
        <f>+'WICHE Public Grads-RE PROJ'!II10/'WICHE Public Grads-RE PROJ'!AL10</f>
        <v>0.15221880159899767</v>
      </c>
      <c r="GT9" s="266">
        <f>+'WICHE Public Grads-RE PROJ'!IJ10/'WICHE Public Grads-RE PROJ'!AM10</f>
        <v>0.15002735728399039</v>
      </c>
      <c r="GU9" s="266">
        <f>+'WICHE Public Grads-RE PROJ'!IK10/'WICHE Public Grads-RE PROJ'!AN10</f>
        <v>0.14652470721591146</v>
      </c>
      <c r="GV9" s="266">
        <f>+'WICHE Public Grads-RE PROJ'!IL10/'WICHE Public Grads-RE PROJ'!AO10</f>
        <v>0.14427787049117022</v>
      </c>
      <c r="GW9" s="266">
        <f>+'WICHE Public Grads-RE PROJ'!IM10/'WICHE Public Grads-RE PROJ'!AP10</f>
        <v>0.14566391088002914</v>
      </c>
      <c r="GX9" s="282">
        <f>+'WICHE Public Grads-RE PROJ'!IN10/'WICHE Public Grads-RE PROJ'!AQ10</f>
        <v>0.14306309811409765</v>
      </c>
      <c r="GY9" s="262">
        <f>+'WICHE Public Grads-RE PROJ'!IO10/'WICHE Public Grads-RE PROJ'!B10</f>
        <v>0.77399883923389434</v>
      </c>
      <c r="GZ9" s="262">
        <f>+'WICHE Public Grads-RE PROJ'!IP10/'WICHE Public Grads-RE PROJ'!C10</f>
        <v>0.76043656207366983</v>
      </c>
      <c r="HA9" s="262">
        <f>+'WICHE Public Grads-RE PROJ'!IQ10/'WICHE Public Grads-RE PROJ'!D10</f>
        <v>0.76774709883953585</v>
      </c>
      <c r="HB9" s="262">
        <f>+'WICHE Public Grads-RE PROJ'!IR10/'WICHE Public Grads-RE PROJ'!E10</f>
        <v>0.75850372160491297</v>
      </c>
      <c r="HC9" s="262">
        <f>+'WICHE Public Grads-RE PROJ'!IS10/'WICHE Public Grads-RE PROJ'!F10</f>
        <v>0.75850372160491297</v>
      </c>
      <c r="HD9" s="262">
        <f>+'WICHE Public Grads-RE PROJ'!IT10/'WICHE Public Grads-RE PROJ'!G10</f>
        <v>0.75849041597073097</v>
      </c>
      <c r="HE9" s="267">
        <f>+'WICHE Public Grads-RE PROJ'!IU10/'WICHE Public Grads-RE PROJ'!H10</f>
        <v>0.75211320052131814</v>
      </c>
      <c r="HF9" s="267">
        <f>+'WICHE Public Grads-RE PROJ'!IV10/'WICHE Public Grads-RE PROJ'!I10</f>
        <v>0.75371802498512785</v>
      </c>
      <c r="HG9" s="267">
        <f>+'WICHE Public Grads-RE PROJ'!IW10/'WICHE Public Grads-RE PROJ'!J10</f>
        <v>0.75386866654472284</v>
      </c>
      <c r="HH9" s="267">
        <f>+'WICHE Public Grads-RE PROJ'!IX10/'WICHE Public Grads-RE PROJ'!K10</f>
        <v>0.75476014760147603</v>
      </c>
      <c r="HI9" s="262">
        <f>+'WICHE Public Grads-RE PROJ'!IY10/'WICHE Public Grads-RE PROJ'!L10</f>
        <v>0.7462941002075304</v>
      </c>
      <c r="HJ9" s="267">
        <f>+'WICHE Public Grads-RE PROJ'!IZ10/'WICHE Public Grads-RE PROJ'!M10</f>
        <v>0.74610778443113768</v>
      </c>
      <c r="HK9" s="267">
        <f>+'WICHE Public Grads-RE PROJ'!JA10/'WICHE Public Grads-RE PROJ'!N10</f>
        <v>0.745962253044406</v>
      </c>
      <c r="HL9" s="267">
        <f>+'WICHE Public Grads-RE PROJ'!JB10/'WICHE Public Grads-RE PROJ'!O10</f>
        <v>0.73487096653018291</v>
      </c>
      <c r="HM9" s="267">
        <f>+'WICHE Public Grads-RE PROJ'!JC10/'WICHE Public Grads-RE PROJ'!P10</f>
        <v>0.7300104202848211</v>
      </c>
      <c r="HN9" s="267">
        <f>+'WICHE Public Grads-RE PROJ'!JD10/'WICHE Public Grads-RE PROJ'!Q10</f>
        <v>0.71593167930501367</v>
      </c>
      <c r="HO9" s="267">
        <f>+'WICHE Public Grads-RE PROJ'!JE10/'WICHE Public Grads-RE PROJ'!R10</f>
        <v>0.71275892080069625</v>
      </c>
      <c r="HP9" s="267">
        <f>+'WICHE Public Grads-RE PROJ'!JF10/'WICHE Public Grads-RE PROJ'!S10</f>
        <v>0.70827244537904976</v>
      </c>
      <c r="HQ9" s="267">
        <f>+'WICHE Public Grads-RE PROJ'!JG10/'WICHE Public Grads-RE PROJ'!T10</f>
        <v>0.69644430610253227</v>
      </c>
      <c r="HR9" s="267">
        <f>+'WICHE Public Grads-RE PROJ'!JH10/'WICHE Public Grads-RE PROJ'!U10</f>
        <v>0.68373813089125501</v>
      </c>
      <c r="HS9" s="267">
        <f>+'WICHE Public Grads-RE PROJ'!JI10/'WICHE Public Grads-RE PROJ'!V10</f>
        <v>0.68633438887631315</v>
      </c>
      <c r="HT9" s="267">
        <f>+'WICHE Public Grads-RE PROJ'!JJ10/'WICHE Public Grads-RE PROJ'!W10</f>
        <v>0.68150990559671021</v>
      </c>
      <c r="HU9" s="268">
        <f>+'WICHE Public Grads-RE PROJ'!JK10/'WICHE Public Grads-RE PROJ'!Y10</f>
        <v>0.67857173904299095</v>
      </c>
      <c r="HV9" s="268">
        <f>+'WICHE Public Grads-RE PROJ'!JL10/'WICHE Public Grads-RE PROJ'!Z10</f>
        <v>0.66977727604387094</v>
      </c>
      <c r="HW9" s="268">
        <f>+'WICHE Public Grads-RE PROJ'!JM10/'WICHE Public Grads-RE PROJ'!AA10</f>
        <v>0.66407332675049657</v>
      </c>
      <c r="HX9" s="268">
        <f>+'WICHE Public Grads-RE PROJ'!JN10/'WICHE Public Grads-RE PROJ'!AB10</f>
        <v>0.67153598951149185</v>
      </c>
      <c r="HY9" s="266">
        <f>+'WICHE Public Grads-RE PROJ'!JO10/'WICHE Public Grads-RE PROJ'!AC10</f>
        <v>0.65880775083193277</v>
      </c>
      <c r="HZ9" s="266">
        <f>+'WICHE Public Grads-RE PROJ'!JP10/'WICHE Public Grads-RE PROJ'!AD10</f>
        <v>0.65700993288638021</v>
      </c>
      <c r="IA9" s="266">
        <f>+'WICHE Public Grads-RE PROJ'!JQ10/'WICHE Public Grads-RE PROJ'!AE10</f>
        <v>0.64991739322489506</v>
      </c>
      <c r="IB9" s="266">
        <f>+'WICHE Public Grads-RE PROJ'!JR10/'WICHE Public Grads-RE PROJ'!AF10</f>
        <v>0.64847872844060694</v>
      </c>
      <c r="IC9" s="266">
        <f>+'WICHE Public Grads-RE PROJ'!JS10/'WICHE Public Grads-RE PROJ'!AG10</f>
        <v>0.64556427534566752</v>
      </c>
      <c r="ID9" s="268">
        <f>+'WICHE Public Grads-RE PROJ'!JT10/'WICHE Public Grads-RE PROJ'!AH10</f>
        <v>0.63993958499887005</v>
      </c>
      <c r="IE9" s="266">
        <f>+'WICHE Public Grads-RE PROJ'!JU10/'WICHE Public Grads-RE PROJ'!AI10</f>
        <v>0.63602865324396229</v>
      </c>
      <c r="IF9" s="266">
        <f>+'WICHE Public Grads-RE PROJ'!JV10/'WICHE Public Grads-RE PROJ'!AJ10</f>
        <v>0.62539613590140342</v>
      </c>
      <c r="IG9" s="266">
        <f>+'WICHE Public Grads-RE PROJ'!JW10/'WICHE Public Grads-RE PROJ'!AK10</f>
        <v>0.62527959725744409</v>
      </c>
      <c r="IH9" s="266">
        <f>+'WICHE Public Grads-RE PROJ'!JX10/'WICHE Public Grads-RE PROJ'!AL10</f>
        <v>0.63283097505503672</v>
      </c>
      <c r="II9" s="266">
        <f>+'WICHE Public Grads-RE PROJ'!JY10/'WICHE Public Grads-RE PROJ'!AM10</f>
        <v>0.63390293828495314</v>
      </c>
      <c r="IJ9" s="266">
        <f>+'WICHE Public Grads-RE PROJ'!JZ10/'WICHE Public Grads-RE PROJ'!AN10</f>
        <v>0.63573092272463971</v>
      </c>
      <c r="IK9" s="266">
        <f>+'WICHE Public Grads-RE PROJ'!KA10/'WICHE Public Grads-RE PROJ'!AO10</f>
        <v>0.62952087177962468</v>
      </c>
      <c r="IL9" s="266">
        <f>+'WICHE Public Grads-RE PROJ'!KB10/'WICHE Public Grads-RE PROJ'!AP10</f>
        <v>0.62239665570894065</v>
      </c>
      <c r="IM9" s="282">
        <f>+'WICHE Public Grads-RE PROJ'!KC10/'WICHE Public Grads-RE PROJ'!AQ10</f>
        <v>0.62735667237992143</v>
      </c>
      <c r="IN9" s="278">
        <f t="shared" si="5"/>
        <v>1</v>
      </c>
      <c r="IO9" s="278">
        <f t="shared" si="6"/>
        <v>1</v>
      </c>
      <c r="IP9" s="278">
        <f t="shared" si="7"/>
        <v>1</v>
      </c>
      <c r="IQ9" s="278">
        <f t="shared" si="8"/>
        <v>1</v>
      </c>
      <c r="IR9" s="278">
        <f t="shared" si="9"/>
        <v>1</v>
      </c>
      <c r="IS9" s="278">
        <f t="shared" si="10"/>
        <v>1</v>
      </c>
      <c r="IT9" s="278">
        <f t="shared" si="11"/>
        <v>1</v>
      </c>
      <c r="IU9" s="278">
        <f t="shared" si="12"/>
        <v>1</v>
      </c>
      <c r="IV9" s="278">
        <f t="shared" si="13"/>
        <v>1</v>
      </c>
      <c r="IW9" s="278">
        <f t="shared" si="14"/>
        <v>1</v>
      </c>
      <c r="IX9" s="278">
        <f t="shared" si="15"/>
        <v>1</v>
      </c>
      <c r="IY9" s="278">
        <f t="shared" si="16"/>
        <v>1</v>
      </c>
      <c r="IZ9" s="278">
        <f t="shared" si="17"/>
        <v>1</v>
      </c>
      <c r="JA9" s="278">
        <f t="shared" si="18"/>
        <v>1</v>
      </c>
      <c r="JB9" s="278">
        <f t="shared" si="19"/>
        <v>1</v>
      </c>
      <c r="JC9" s="278">
        <f t="shared" si="20"/>
        <v>0.98310387984981229</v>
      </c>
      <c r="JD9" s="278">
        <f t="shared" si="21"/>
        <v>1</v>
      </c>
      <c r="JE9" s="278">
        <f t="shared" si="22"/>
        <v>1</v>
      </c>
      <c r="JF9" s="278">
        <f t="shared" si="23"/>
        <v>1</v>
      </c>
      <c r="JG9" s="278">
        <f t="shared" si="24"/>
        <v>1</v>
      </c>
      <c r="JH9" s="278">
        <f t="shared" si="25"/>
        <v>1</v>
      </c>
      <c r="JI9" s="278">
        <f t="shared" si="26"/>
        <v>1</v>
      </c>
      <c r="JJ9" s="278">
        <f t="shared" si="27"/>
        <v>0.99911937114053728</v>
      </c>
      <c r="JK9" s="278">
        <f t="shared" si="28"/>
        <v>0.99842417713071641</v>
      </c>
      <c r="JL9" s="278">
        <f t="shared" si="29"/>
        <v>0.99825999380662922</v>
      </c>
      <c r="JM9" s="278">
        <f t="shared" si="30"/>
        <v>0.99959382513039829</v>
      </c>
      <c r="JN9" s="278">
        <f t="shared" si="31"/>
        <v>0.99957173511523711</v>
      </c>
      <c r="JO9" s="278">
        <f t="shared" si="32"/>
        <v>0.99989742554503269</v>
      </c>
      <c r="JP9" s="278">
        <f t="shared" si="33"/>
        <v>1.0009147351108667</v>
      </c>
      <c r="JQ9" s="278">
        <f t="shared" si="34"/>
        <v>1.0020876367159144</v>
      </c>
      <c r="JR9" s="278">
        <f t="shared" si="35"/>
        <v>1.003018101010662</v>
      </c>
      <c r="JS9" s="278">
        <f t="shared" si="36"/>
        <v>1.0037223310395982</v>
      </c>
      <c r="JT9" s="278">
        <f t="shared" si="37"/>
        <v>1.0053361586782614</v>
      </c>
      <c r="JU9" s="278">
        <f t="shared" si="38"/>
        <v>1.0048242787491255</v>
      </c>
      <c r="JV9" s="278">
        <f t="shared" si="39"/>
        <v>1.0083528905140728</v>
      </c>
      <c r="JW9" s="278">
        <f t="shared" si="40"/>
        <v>1.0071851363818936</v>
      </c>
      <c r="JX9" s="278">
        <f t="shared" si="41"/>
        <v>1.0052518739653182</v>
      </c>
      <c r="JY9" s="278">
        <f t="shared" si="42"/>
        <v>1.0028748957107649</v>
      </c>
      <c r="JZ9" s="278">
        <f t="shared" si="42"/>
        <v>1.0048548437661156</v>
      </c>
      <c r="KA9" s="278">
        <f t="shared" si="42"/>
        <v>1.0090290404713111</v>
      </c>
      <c r="KB9" s="278">
        <f t="shared" si="42"/>
        <v>1.0083692202900312</v>
      </c>
    </row>
    <row r="10" spans="1:288" s="17" customFormat="1">
      <c r="A10" s="173" t="s">
        <v>35</v>
      </c>
      <c r="B10" s="262">
        <f>+'WICHE Public Grads-RE PROJ'!AR11/'WICHE Public Grads-RE PROJ'!B11</f>
        <v>2.4788732394366197E-2</v>
      </c>
      <c r="C10" s="262">
        <f>+'WICHE Public Grads-RE PROJ'!AS11/'WICHE Public Grads-RE PROJ'!C11</f>
        <v>2.2942461762563728E-2</v>
      </c>
      <c r="D10" s="262">
        <f>+'WICHE Public Grads-RE PROJ'!AT11/'WICHE Public Grads-RE PROJ'!D11</f>
        <v>2.7533460803059275E-2</v>
      </c>
      <c r="E10" s="262">
        <f>+'WICHE Public Grads-RE PROJ'!AU11/'WICHE Public Grads-RE PROJ'!E11</f>
        <v>2.6748184944593044E-2</v>
      </c>
      <c r="F10" s="262">
        <f>+'WICHE Public Grads-RE PROJ'!AV11/'WICHE Public Grads-RE PROJ'!F11</f>
        <v>2.6029595293278661E-2</v>
      </c>
      <c r="G10" s="262">
        <f>+'WICHE Public Grads-RE PROJ'!AW11/'WICHE Public Grads-RE PROJ'!G11</f>
        <v>2.5365362002351757E-2</v>
      </c>
      <c r="H10" s="267">
        <f>+'WICHE Public Grads-RE PROJ'!AX11/'WICHE Public Grads-RE PROJ'!H11</f>
        <v>2.5780400683335921E-2</v>
      </c>
      <c r="I10" s="267">
        <f>+'WICHE Public Grads-RE PROJ'!AY11/'WICHE Public Grads-RE PROJ'!I11</f>
        <v>2.7143738433066007E-2</v>
      </c>
      <c r="J10" s="267">
        <f>+'WICHE Public Grads-RE PROJ'!AZ11/'WICHE Public Grads-RE PROJ'!J11</f>
        <v>2.9310627149173079E-2</v>
      </c>
      <c r="K10" s="267">
        <f>+'WICHE Public Grads-RE PROJ'!BA11/'WICHE Public Grads-RE PROJ'!K11</f>
        <v>3.1750831569398244E-2</v>
      </c>
      <c r="L10" s="262">
        <f>+'WICHE Public Grads-RE PROJ'!BB11/'WICHE Public Grads-RE PROJ'!L11</f>
        <v>3.0854674483184203E-2</v>
      </c>
      <c r="M10" s="267">
        <f>+'WICHE Public Grads-RE PROJ'!BC11/'WICHE Public Grads-RE PROJ'!M11</f>
        <v>3.373918145811941E-2</v>
      </c>
      <c r="N10" s="267">
        <f>+'WICHE Public Grads-RE PROJ'!BD11/'WICHE Public Grads-RE PROJ'!N11</f>
        <v>3.3088764206588982E-2</v>
      </c>
      <c r="O10" s="267">
        <f>+'WICHE Public Grads-RE PROJ'!BE11/'WICHE Public Grads-RE PROJ'!O11</f>
        <v>3.6919526968560712E-2</v>
      </c>
      <c r="P10" s="267">
        <f>+'WICHE Public Grads-RE PROJ'!BF11/'WICHE Public Grads-RE PROJ'!P11</f>
        <v>3.6563573883161511E-2</v>
      </c>
      <c r="Q10" s="267">
        <f>+'WICHE Public Grads-RE PROJ'!BG11/'WICHE Public Grads-RE PROJ'!Q11</f>
        <v>3.6641221374045803E-2</v>
      </c>
      <c r="R10" s="267">
        <f>+'WICHE Public Grads-RE PROJ'!BH11/'WICHE Public Grads-RE PROJ'!R11</f>
        <v>3.5462912831618842E-2</v>
      </c>
      <c r="S10" s="267">
        <f>+'WICHE Public Grads-RE PROJ'!BI11/'WICHE Public Grads-RE PROJ'!S11</f>
        <v>3.5336139813751756E-2</v>
      </c>
      <c r="T10" s="267">
        <f>+'WICHE Public Grads-RE PROJ'!BJ11/'WICHE Public Grads-RE PROJ'!T11</f>
        <v>4.1190212713635807E-2</v>
      </c>
      <c r="U10" s="267">
        <f>+'WICHE Public Grads-RE PROJ'!BK11/'WICHE Public Grads-RE PROJ'!U11</f>
        <v>3.8863885377083691E-2</v>
      </c>
      <c r="V10" s="267">
        <f>+'WICHE Public Grads-RE PROJ'!BL11/'WICHE Public Grads-RE PROJ'!V11</f>
        <v>4.553256614203012E-2</v>
      </c>
      <c r="W10" s="267">
        <f>+'WICHE Public Grads-RE PROJ'!BM11/'WICHE Public Grads-RE PROJ'!W11</f>
        <v>3.9664371801982679E-2</v>
      </c>
      <c r="X10" s="268">
        <f>+'WICHE Public Grads-RE PROJ'!BN11/'WICHE Public Grads-RE PROJ'!Y11</f>
        <v>4.2832065932646025E-2</v>
      </c>
      <c r="Y10" s="268">
        <f>+'WICHE Public Grads-RE PROJ'!BO11/'WICHE Public Grads-RE PROJ'!Z11</f>
        <v>4.3106032700748365E-2</v>
      </c>
      <c r="Z10" s="268">
        <f>+'WICHE Public Grads-RE PROJ'!BP11/'WICHE Public Grads-RE PROJ'!AA11</f>
        <v>4.3790587516474341E-2</v>
      </c>
      <c r="AA10" s="268">
        <f>+'WICHE Public Grads-RE PROJ'!BQ11/'WICHE Public Grads-RE PROJ'!AB11</f>
        <v>4.3731061713557638E-2</v>
      </c>
      <c r="AB10" s="266">
        <f>+'WICHE Public Grads-RE PROJ'!BR11/'WICHE Public Grads-RE PROJ'!AC11</f>
        <v>4.8916173284050755E-2</v>
      </c>
      <c r="AC10" s="266">
        <f>+'WICHE Public Grads-RE PROJ'!BS11/'WICHE Public Grads-RE PROJ'!AD11</f>
        <v>5.0026203386267419E-2</v>
      </c>
      <c r="AD10" s="266">
        <f>+'WICHE Public Grads-RE PROJ'!BT11/'WICHE Public Grads-RE PROJ'!AE11</f>
        <v>5.4811401987250624E-2</v>
      </c>
      <c r="AE10" s="266">
        <f>+'WICHE Public Grads-RE PROJ'!BU11/'WICHE Public Grads-RE PROJ'!AF11</f>
        <v>5.2439652244492728E-2</v>
      </c>
      <c r="AF10" s="266">
        <f>+'WICHE Public Grads-RE PROJ'!BV11/'WICHE Public Grads-RE PROJ'!AG11</f>
        <v>5.3274131344485935E-2</v>
      </c>
      <c r="AG10" s="268">
        <f>+'WICHE Public Grads-RE PROJ'!BW11/'WICHE Public Grads-RE PROJ'!AH11</f>
        <v>5.6288719124486124E-2</v>
      </c>
      <c r="AH10" s="266">
        <f>+'WICHE Public Grads-RE PROJ'!BX11/'WICHE Public Grads-RE PROJ'!AI11</f>
        <v>5.5089321252226445E-2</v>
      </c>
      <c r="AI10" s="266">
        <f>+'WICHE Public Grads-RE PROJ'!BY11/'WICHE Public Grads-RE PROJ'!AJ11</f>
        <v>5.251578260783115E-2</v>
      </c>
      <c r="AJ10" s="266">
        <f>+'WICHE Public Grads-RE PROJ'!BZ11/'WICHE Public Grads-RE PROJ'!AK11</f>
        <v>5.5363309837389234E-2</v>
      </c>
      <c r="AK10" s="266">
        <f>+'WICHE Public Grads-RE PROJ'!CA11/'WICHE Public Grads-RE PROJ'!AL11</f>
        <v>5.6350803622980353E-2</v>
      </c>
      <c r="AL10" s="266">
        <f>+'WICHE Public Grads-RE PROJ'!CB11/'WICHE Public Grads-RE PROJ'!AM11</f>
        <v>5.6530016048565154E-2</v>
      </c>
      <c r="AM10" s="266">
        <f>+'WICHE Public Grads-RE PROJ'!CC11/'WICHE Public Grads-RE PROJ'!AN11</f>
        <v>6.1856321169483114E-2</v>
      </c>
      <c r="AN10" s="266">
        <f>+'WICHE Public Grads-RE PROJ'!CD11/'WICHE Public Grads-RE PROJ'!AO11</f>
        <v>6.3365835378323035E-2</v>
      </c>
      <c r="AO10" s="266">
        <f>+'WICHE Public Grads-RE PROJ'!CE11/'WICHE Public Grads-RE PROJ'!AP11</f>
        <v>5.9906811965816917E-2</v>
      </c>
      <c r="AP10" s="282">
        <f>+'WICHE Public Grads-RE PROJ'!CF11/'WICHE Public Grads-RE PROJ'!AQ11</f>
        <v>6.9907162898654604E-2</v>
      </c>
      <c r="AQ10" s="262">
        <f>+'WICHE Public Grads-RE PROJ'!CG11/'WICHE Public Grads-RE PROJ'!B11</f>
        <v>1.3145539906103286E-3</v>
      </c>
      <c r="AR10" s="262">
        <f>+'WICHE Public Grads-RE PROJ'!CH11/'WICHE Public Grads-RE PROJ'!C11</f>
        <v>5.4624908958485067E-4</v>
      </c>
      <c r="AS10" s="262">
        <f>+'WICHE Public Grads-RE PROJ'!CI11/'WICHE Public Grads-RE PROJ'!D11</f>
        <v>4.9713193116634798E-3</v>
      </c>
      <c r="AT10" s="262">
        <f>+'WICHE Public Grads-RE PROJ'!CJ11/'WICHE Public Grads-RE PROJ'!E11</f>
        <v>2.2927015666794038E-3</v>
      </c>
      <c r="AU10" s="262">
        <f>+'WICHE Public Grads-RE PROJ'!CK11/'WICHE Public Grads-RE PROJ'!F11</f>
        <v>2.4959885897664468E-3</v>
      </c>
      <c r="AV10" s="262">
        <f>+'WICHE Public Grads-RE PROJ'!CL11/'WICHE Public Grads-RE PROJ'!G11</f>
        <v>2.8557030068872835E-3</v>
      </c>
      <c r="AW10" s="267">
        <f>+'WICHE Public Grads-RE PROJ'!CM11/'WICHE Public Grads-RE PROJ'!H11</f>
        <v>2.0189470414660664E-3</v>
      </c>
      <c r="AX10" s="267">
        <f>+'WICHE Public Grads-RE PROJ'!CN11/'WICHE Public Grads-RE PROJ'!I11</f>
        <v>1.8507094386181369E-3</v>
      </c>
      <c r="AY10" s="267">
        <f>+'WICHE Public Grads-RE PROJ'!CO11/'WICHE Public Grads-RE PROJ'!J11</f>
        <v>1.8012117242508596E-3</v>
      </c>
      <c r="AZ10" s="267">
        <f>+'WICHE Public Grads-RE PROJ'!CP11/'WICHE Public Grads-RE PROJ'!K11</f>
        <v>2.2679165406713033E-3</v>
      </c>
      <c r="BA10" s="262">
        <f>+'WICHE Public Grads-RE PROJ'!CQ11/'WICHE Public Grads-RE PROJ'!L11</f>
        <v>2.3141005862388152E-3</v>
      </c>
      <c r="BB10" s="267">
        <f>+'WICHE Public Grads-RE PROJ'!CR11/'WICHE Public Grads-RE PROJ'!M11</f>
        <v>2.2003813994425701E-3</v>
      </c>
      <c r="BC10" s="267">
        <f>+'WICHE Public Grads-RE PROJ'!CS11/'WICHE Public Grads-RE PROJ'!N11</f>
        <v>2.8772838440512156E-3</v>
      </c>
      <c r="BD10" s="267">
        <f>+'WICHE Public Grads-RE PROJ'!CT11/'WICHE Public Grads-RE PROJ'!O11</f>
        <v>4.3265070666282084E-3</v>
      </c>
      <c r="BE10" s="267">
        <f>+'WICHE Public Grads-RE PROJ'!CU11/'WICHE Public Grads-RE PROJ'!P11</f>
        <v>2.7491408934707906E-3</v>
      </c>
      <c r="BF10" s="267">
        <f>+'WICHE Public Grads-RE PROJ'!CV11/'WICHE Public Grads-RE PROJ'!Q11</f>
        <v>3.7473976405274115E-3</v>
      </c>
      <c r="BG10" s="267">
        <f>+'WICHE Public Grads-RE PROJ'!CW11/'WICHE Public Grads-RE PROJ'!R11</f>
        <v>3.5192203573362209E-3</v>
      </c>
      <c r="BH10" s="267">
        <f>+'WICHE Public Grads-RE PROJ'!CX11/'WICHE Public Grads-RE PROJ'!S11</f>
        <v>3.9545860441382828E-3</v>
      </c>
      <c r="BI10" s="267">
        <f>+'WICHE Public Grads-RE PROJ'!CY11/'WICHE Public Grads-RE PROJ'!T11</f>
        <v>3.1968523300135252E-3</v>
      </c>
      <c r="BJ10" s="267">
        <f>+'WICHE Public Grads-RE PROJ'!CZ11/'WICHE Public Grads-RE PROJ'!U11</f>
        <v>4.4958150404672322E-3</v>
      </c>
      <c r="BK10" s="267">
        <f>+'WICHE Public Grads-RE PROJ'!DA11/'WICHE Public Grads-RE PROJ'!V11</f>
        <v>4.0298626276956059E-3</v>
      </c>
      <c r="BL10" s="267">
        <f>+'WICHE Public Grads-RE PROJ'!DB11/'WICHE Public Grads-RE PROJ'!W11</f>
        <v>3.2463854819247224E-3</v>
      </c>
      <c r="BM10" s="268">
        <f>+'WICHE Public Grads-RE PROJ'!DC11/'WICHE Public Grads-RE PROJ'!Y11</f>
        <v>4.2880794133630913E-3</v>
      </c>
      <c r="BN10" s="268">
        <f>+'WICHE Public Grads-RE PROJ'!DD11/'WICHE Public Grads-RE PROJ'!Z11</f>
        <v>3.3253758875674802E-3</v>
      </c>
      <c r="BO10" s="268">
        <f>+'WICHE Public Grads-RE PROJ'!DE11/'WICHE Public Grads-RE PROJ'!AA11</f>
        <v>4.4391054351203231E-3</v>
      </c>
      <c r="BP10" s="268">
        <f>+'WICHE Public Grads-RE PROJ'!DF11/'WICHE Public Grads-RE PROJ'!AB11</f>
        <v>4.1072290827491274E-3</v>
      </c>
      <c r="BQ10" s="266">
        <f>+'WICHE Public Grads-RE PROJ'!DG11/'WICHE Public Grads-RE PROJ'!AC11</f>
        <v>4.9032502061445707E-3</v>
      </c>
      <c r="BR10" s="266">
        <f>+'WICHE Public Grads-RE PROJ'!DH11/'WICHE Public Grads-RE PROJ'!AD11</f>
        <v>5.3580012100311282E-3</v>
      </c>
      <c r="BS10" s="266">
        <f>+'WICHE Public Grads-RE PROJ'!DI11/'WICHE Public Grads-RE PROJ'!AE11</f>
        <v>6.4714116191704734E-3</v>
      </c>
      <c r="BT10" s="266">
        <f>+'WICHE Public Grads-RE PROJ'!DJ11/'WICHE Public Grads-RE PROJ'!AF11</f>
        <v>6.6574434040556421E-3</v>
      </c>
      <c r="BU10" s="266">
        <f>+'WICHE Public Grads-RE PROJ'!DK11/'WICHE Public Grads-RE PROJ'!AG11</f>
        <v>5.9271036715334048E-3</v>
      </c>
      <c r="BV10" s="268">
        <f>+'WICHE Public Grads-RE PROJ'!DL11/'WICHE Public Grads-RE PROJ'!AH11</f>
        <v>6.1450715032186527E-3</v>
      </c>
      <c r="BW10" s="266">
        <f>+'WICHE Public Grads-RE PROJ'!DM11/'WICHE Public Grads-RE PROJ'!AI11</f>
        <v>5.393610554849825E-3</v>
      </c>
      <c r="BX10" s="266">
        <f>+'WICHE Public Grads-RE PROJ'!DN11/'WICHE Public Grads-RE PROJ'!AJ11</f>
        <v>5.2407415780378504E-3</v>
      </c>
      <c r="BY10" s="266">
        <f>+'WICHE Public Grads-RE PROJ'!DO11/'WICHE Public Grads-RE PROJ'!AK11</f>
        <v>4.2758332088366777E-3</v>
      </c>
      <c r="BZ10" s="266">
        <f>+'WICHE Public Grads-RE PROJ'!DP11/'WICHE Public Grads-RE PROJ'!AL11</f>
        <v>4.1784781755234059E-3</v>
      </c>
      <c r="CA10" s="266">
        <f>+'WICHE Public Grads-RE PROJ'!DQ11/'WICHE Public Grads-RE PROJ'!AM11</f>
        <v>3.2712440646356011E-3</v>
      </c>
      <c r="CB10" s="266">
        <f>+'WICHE Public Grads-RE PROJ'!DR11/'WICHE Public Grads-RE PROJ'!AN11</f>
        <v>5.0491877236757791E-3</v>
      </c>
      <c r="CC10" s="266">
        <f>+'WICHE Public Grads-RE PROJ'!DS11/'WICHE Public Grads-RE PROJ'!AO11</f>
        <v>2.5294666663873483E-3</v>
      </c>
      <c r="CD10" s="266">
        <f>+'WICHE Public Grads-RE PROJ'!DT11/'WICHE Public Grads-RE PROJ'!AP11</f>
        <v>2.4919531848731523E-3</v>
      </c>
      <c r="CE10" s="282">
        <f>+'WICHE Public Grads-RE PROJ'!DU11/'WICHE Public Grads-RE PROJ'!AQ11</f>
        <v>2.4342799148313653E-3</v>
      </c>
      <c r="CF10" s="262">
        <f>+'WICHE Public Grads-RE PROJ'!DV11/'WICHE Public Grads-RE PROJ'!B11</f>
        <v>2.3474178403755867E-2</v>
      </c>
      <c r="CG10" s="262">
        <f>+'WICHE Public Grads-RE PROJ'!DW11/'WICHE Public Grads-RE PROJ'!C11</f>
        <v>2.239621267297888E-2</v>
      </c>
      <c r="CH10" s="262">
        <f>+'WICHE Public Grads-RE PROJ'!DX11/'WICHE Public Grads-RE PROJ'!D11</f>
        <v>2.2562141491395793E-2</v>
      </c>
      <c r="CI10" s="262">
        <f>+'WICHE Public Grads-RE PROJ'!DY11/'WICHE Public Grads-RE PROJ'!E11</f>
        <v>2.4455483377913641E-2</v>
      </c>
      <c r="CJ10" s="262">
        <f>+'WICHE Public Grads-RE PROJ'!DZ11/'WICHE Public Grads-RE PROJ'!F11</f>
        <v>2.3533606703512212E-2</v>
      </c>
      <c r="CK10" s="262">
        <f>+'WICHE Public Grads-RE PROJ'!EA11/'WICHE Public Grads-RE PROJ'!G11</f>
        <v>2.2509658995464473E-2</v>
      </c>
      <c r="CL10" s="267">
        <f>+'WICHE Public Grads-RE PROJ'!EB11/'WICHE Public Grads-RE PROJ'!H11</f>
        <v>2.3761453641869854E-2</v>
      </c>
      <c r="CM10" s="267">
        <f>+'WICHE Public Grads-RE PROJ'!EC11/'WICHE Public Grads-RE PROJ'!I11</f>
        <v>2.5293028994447873E-2</v>
      </c>
      <c r="CN10" s="267">
        <f>+'WICHE Public Grads-RE PROJ'!ED11/'WICHE Public Grads-RE PROJ'!J11</f>
        <v>2.7509415424922221E-2</v>
      </c>
      <c r="CO10" s="267">
        <f>+'WICHE Public Grads-RE PROJ'!EE11/'WICHE Public Grads-RE PROJ'!K11</f>
        <v>2.9482915028726943E-2</v>
      </c>
      <c r="CP10" s="262">
        <f>+'WICHE Public Grads-RE PROJ'!EF11/'WICHE Public Grads-RE PROJ'!L11</f>
        <v>2.8540573896945386E-2</v>
      </c>
      <c r="CQ10" s="267">
        <f>+'WICHE Public Grads-RE PROJ'!EG11/'WICHE Public Grads-RE PROJ'!M11</f>
        <v>3.153880005867684E-2</v>
      </c>
      <c r="CR10" s="267">
        <f>+'WICHE Public Grads-RE PROJ'!EH11/'WICHE Public Grads-RE PROJ'!N11</f>
        <v>3.0211480362537766E-2</v>
      </c>
      <c r="CS10" s="267">
        <f>+'WICHE Public Grads-RE PROJ'!EI11/'WICHE Public Grads-RE PROJ'!O11</f>
        <v>3.2593019901932509E-2</v>
      </c>
      <c r="CT10" s="267">
        <f>+'WICHE Public Grads-RE PROJ'!EJ11/'WICHE Public Grads-RE PROJ'!P11</f>
        <v>3.3814432989690724E-2</v>
      </c>
      <c r="CU10" s="267">
        <f>+'WICHE Public Grads-RE PROJ'!EK11/'WICHE Public Grads-RE PROJ'!Q11</f>
        <v>3.2893823733518388E-2</v>
      </c>
      <c r="CV10" s="267">
        <f>+'WICHE Public Grads-RE PROJ'!EL11/'WICHE Public Grads-RE PROJ'!R11</f>
        <v>3.1943692474282623E-2</v>
      </c>
      <c r="CW10" s="267">
        <f>+'WICHE Public Grads-RE PROJ'!EM11/'WICHE Public Grads-RE PROJ'!S11</f>
        <v>3.138155376961347E-2</v>
      </c>
      <c r="CX10" s="267">
        <f>+'WICHE Public Grads-RE PROJ'!EN11/'WICHE Public Grads-RE PROJ'!T11</f>
        <v>3.7993360383622277E-2</v>
      </c>
      <c r="CY10" s="267">
        <f>+'WICHE Public Grads-RE PROJ'!EO11/'WICHE Public Grads-RE PROJ'!U11</f>
        <v>3.4368070336616451E-2</v>
      </c>
      <c r="CZ10" s="267">
        <f>+'WICHE Public Grads-RE PROJ'!EP11/'WICHE Public Grads-RE PROJ'!V11</f>
        <v>4.1502703514334514E-2</v>
      </c>
      <c r="DA10" s="267">
        <f>+'WICHE Public Grads-RE PROJ'!EQ11/'WICHE Public Grads-RE PROJ'!W11</f>
        <v>3.6417986320057959E-2</v>
      </c>
      <c r="DB10" s="268">
        <f>+'WICHE Public Grads-RE PROJ'!ER11/'WICHE Public Grads-RE PROJ'!Y11</f>
        <v>3.8543986519282938E-2</v>
      </c>
      <c r="DC10" s="268">
        <f>+'WICHE Public Grads-RE PROJ'!ES11/'WICHE Public Grads-RE PROJ'!Z11</f>
        <v>3.9780656813180888E-2</v>
      </c>
      <c r="DD10" s="268">
        <f>+'WICHE Public Grads-RE PROJ'!ET11/'WICHE Public Grads-RE PROJ'!AA11</f>
        <v>3.9351482081354021E-2</v>
      </c>
      <c r="DE10" s="268">
        <f>+'WICHE Public Grads-RE PROJ'!EU11/'WICHE Public Grads-RE PROJ'!AB11</f>
        <v>3.9623832630808521E-2</v>
      </c>
      <c r="DF10" s="266">
        <f>+'WICHE Public Grads-RE PROJ'!EV11/'WICHE Public Grads-RE PROJ'!AC11</f>
        <v>4.4012923077906191E-2</v>
      </c>
      <c r="DG10" s="266">
        <f>+'WICHE Public Grads-RE PROJ'!EW11/'WICHE Public Grads-RE PROJ'!AD11</f>
        <v>4.4668202176236294E-2</v>
      </c>
      <c r="DH10" s="266">
        <f>+'WICHE Public Grads-RE PROJ'!EX11/'WICHE Public Grads-RE PROJ'!AE11</f>
        <v>4.8339990368080149E-2</v>
      </c>
      <c r="DI10" s="266">
        <f>+'WICHE Public Grads-RE PROJ'!EY11/'WICHE Public Grads-RE PROJ'!AF11</f>
        <v>4.5782208840437079E-2</v>
      </c>
      <c r="DJ10" s="266">
        <f>+'WICHE Public Grads-RE PROJ'!EZ11/'WICHE Public Grads-RE PROJ'!AG11</f>
        <v>4.7347027672952527E-2</v>
      </c>
      <c r="DK10" s="268">
        <f>+'WICHE Public Grads-RE PROJ'!FA11/'WICHE Public Grads-RE PROJ'!AH11</f>
        <v>5.0143647621267468E-2</v>
      </c>
      <c r="DL10" s="266">
        <f>+'WICHE Public Grads-RE PROJ'!FB11/'WICHE Public Grads-RE PROJ'!AI11</f>
        <v>4.9695710697376619E-2</v>
      </c>
      <c r="DM10" s="266">
        <f>+'WICHE Public Grads-RE PROJ'!FC11/'WICHE Public Grads-RE PROJ'!AJ11</f>
        <v>4.7275041029793304E-2</v>
      </c>
      <c r="DN10" s="266">
        <f>+'WICHE Public Grads-RE PROJ'!FD11/'WICHE Public Grads-RE PROJ'!AK11</f>
        <v>5.1087476628552557E-2</v>
      </c>
      <c r="DO10" s="266">
        <f>+'WICHE Public Grads-RE PROJ'!FE11/'WICHE Public Grads-RE PROJ'!AL11</f>
        <v>5.2172325447456945E-2</v>
      </c>
      <c r="DP10" s="266">
        <f>+'WICHE Public Grads-RE PROJ'!FF11/'WICHE Public Grads-RE PROJ'!AM11</f>
        <v>5.3258771983929545E-2</v>
      </c>
      <c r="DQ10" s="266">
        <f>+'WICHE Public Grads-RE PROJ'!FG11/'WICHE Public Grads-RE PROJ'!AN11</f>
        <v>5.6807133445807331E-2</v>
      </c>
      <c r="DR10" s="266">
        <f>+'WICHE Public Grads-RE PROJ'!FH11/'WICHE Public Grads-RE PROJ'!AO11</f>
        <v>6.0836368711935686E-2</v>
      </c>
      <c r="DS10" s="266">
        <f>+'WICHE Public Grads-RE PROJ'!FI11/'WICHE Public Grads-RE PROJ'!AP11</f>
        <v>5.741485878094376E-2</v>
      </c>
      <c r="DT10" s="282">
        <f>+'WICHE Public Grads-RE PROJ'!FJ11/'WICHE Public Grads-RE PROJ'!AQ11</f>
        <v>6.7472882983823229E-2</v>
      </c>
      <c r="DU10" s="262">
        <f>+'WICHE Public Grads-RE PROJ'!FK11/'WICHE Public Grads-RE PROJ'!B11</f>
        <v>0.2163380281690141</v>
      </c>
      <c r="DV10" s="262">
        <f>+'WICHE Public Grads-RE PROJ'!FL11/'WICHE Public Grads-RE PROJ'!C11</f>
        <v>0.21504005826656955</v>
      </c>
      <c r="DW10" s="262">
        <f>+'WICHE Public Grads-RE PROJ'!FM11/'WICHE Public Grads-RE PROJ'!D11</f>
        <v>0.22390057361376672</v>
      </c>
      <c r="DX10" s="262">
        <f>+'WICHE Public Grads-RE PROJ'!FN11/'WICHE Public Grads-RE PROJ'!E11</f>
        <v>0.23824990447076805</v>
      </c>
      <c r="DY10" s="262">
        <f>+'WICHE Public Grads-RE PROJ'!FO11/'WICHE Public Grads-RE PROJ'!F11</f>
        <v>0.24282403280442147</v>
      </c>
      <c r="DZ10" s="262">
        <f>+'WICHE Public Grads-RE PROJ'!FP11/'WICHE Public Grads-RE PROJ'!G11</f>
        <v>0.23803124475054593</v>
      </c>
      <c r="EA10" s="267">
        <f>+'WICHE Public Grads-RE PROJ'!FQ11/'WICHE Public Grads-RE PROJ'!H11</f>
        <v>0.25764870321478489</v>
      </c>
      <c r="EB10" s="267">
        <f>+'WICHE Public Grads-RE PROJ'!FR11/'WICHE Public Grads-RE PROJ'!I11</f>
        <v>0.25678593460826649</v>
      </c>
      <c r="EC10" s="267">
        <f>+'WICHE Public Grads-RE PROJ'!FS11/'WICHE Public Grads-RE PROJ'!J11</f>
        <v>0.24725724578352709</v>
      </c>
      <c r="ED10" s="267">
        <f>+'WICHE Public Grads-RE PROJ'!FT11/'WICHE Public Grads-RE PROJ'!K11</f>
        <v>0.25113395827033563</v>
      </c>
      <c r="EE10" s="262">
        <f>+'WICHE Public Grads-RE PROJ'!FU11/'WICHE Public Grads-RE PROJ'!L11</f>
        <v>0.25964208577599507</v>
      </c>
      <c r="EF10" s="267">
        <f>+'WICHE Public Grads-RE PROJ'!FV11/'WICHE Public Grads-RE PROJ'!M11</f>
        <v>0.25817808420126154</v>
      </c>
      <c r="EG10" s="267">
        <f>+'WICHE Public Grads-RE PROJ'!FW11/'WICHE Public Grads-RE PROJ'!N11</f>
        <v>0.26729966911235792</v>
      </c>
      <c r="EH10" s="267">
        <f>+'WICHE Public Grads-RE PROJ'!FX11/'WICHE Public Grads-RE PROJ'!O11</f>
        <v>0.28410729737525237</v>
      </c>
      <c r="EI10" s="267">
        <f>+'WICHE Public Grads-RE PROJ'!FY11/'WICHE Public Grads-RE PROJ'!P11</f>
        <v>0.27518900343642611</v>
      </c>
      <c r="EJ10" s="267">
        <f>+'WICHE Public Grads-RE PROJ'!FZ11/'WICHE Public Grads-RE PROJ'!Q11</f>
        <v>0.28230395558639831</v>
      </c>
      <c r="EK10" s="267">
        <f>+'WICHE Public Grads-RE PROJ'!GA11/'WICHE Public Grads-RE PROJ'!R11</f>
        <v>0.28478613968597727</v>
      </c>
      <c r="EL10" s="267">
        <f>+'WICHE Public Grads-RE PROJ'!GB11/'WICHE Public Grads-RE PROJ'!S11</f>
        <v>0.311009057277714</v>
      </c>
      <c r="EM10" s="267">
        <f>+'WICHE Public Grads-RE PROJ'!GC11/'WICHE Public Grads-RE PROJ'!T11</f>
        <v>0.30825033812861186</v>
      </c>
      <c r="EN10" s="267">
        <f>+'WICHE Public Grads-RE PROJ'!GD11/'WICHE Public Grads-RE PROJ'!U11</f>
        <v>0.31104727350156458</v>
      </c>
      <c r="EO10" s="267">
        <f>+'WICHE Public Grads-RE PROJ'!GE11/'WICHE Public Grads-RE PROJ'!V11</f>
        <v>0.31072677327431464</v>
      </c>
      <c r="EP10" s="267">
        <f>+'WICHE Public Grads-RE PROJ'!GF11/'WICHE Public Grads-RE PROJ'!W11</f>
        <v>0.31931490047379557</v>
      </c>
      <c r="EQ10" s="268">
        <f>+'WICHE Public Grads-RE PROJ'!GG11/'WICHE Public Grads-RE PROJ'!Y11</f>
        <v>0.30938900885145465</v>
      </c>
      <c r="ER10" s="268">
        <f>+'WICHE Public Grads-RE PROJ'!GH11/'WICHE Public Grads-RE PROJ'!Z11</f>
        <v>0.31872209491443632</v>
      </c>
      <c r="ES10" s="268">
        <f>+'WICHE Public Grads-RE PROJ'!GI11/'WICHE Public Grads-RE PROJ'!AA11</f>
        <v>0.31105042263006988</v>
      </c>
      <c r="ET10" s="268">
        <f>+'WICHE Public Grads-RE PROJ'!GJ11/'WICHE Public Grads-RE PROJ'!AB11</f>
        <v>0.30609230934525899</v>
      </c>
      <c r="EU10" s="266">
        <f>+'WICHE Public Grads-RE PROJ'!GK11/'WICHE Public Grads-RE PROJ'!AC11</f>
        <v>0.31534005973515555</v>
      </c>
      <c r="EV10" s="266">
        <f>+'WICHE Public Grads-RE PROJ'!GL11/'WICHE Public Grads-RE PROJ'!AD11</f>
        <v>0.3121449328738255</v>
      </c>
      <c r="EW10" s="266">
        <f>+'WICHE Public Grads-RE PROJ'!GM11/'WICHE Public Grads-RE PROJ'!AE11</f>
        <v>0.30110136116598057</v>
      </c>
      <c r="EX10" s="266">
        <f>+'WICHE Public Grads-RE PROJ'!GN11/'WICHE Public Grads-RE PROJ'!AF11</f>
        <v>0.29232878460502987</v>
      </c>
      <c r="EY10" s="266">
        <f>+'WICHE Public Grads-RE PROJ'!GO11/'WICHE Public Grads-RE PROJ'!AG11</f>
        <v>0.29967917698730884</v>
      </c>
      <c r="EZ10" s="268">
        <f>+'WICHE Public Grads-RE PROJ'!GP11/'WICHE Public Grads-RE PROJ'!AH11</f>
        <v>0.29271423810308284</v>
      </c>
      <c r="FA10" s="266">
        <f>+'WICHE Public Grads-RE PROJ'!GQ11/'WICHE Public Grads-RE PROJ'!AI11</f>
        <v>0.27959227123512848</v>
      </c>
      <c r="FB10" s="266">
        <f>+'WICHE Public Grads-RE PROJ'!GR11/'WICHE Public Grads-RE PROJ'!AJ11</f>
        <v>0.28974295369138925</v>
      </c>
      <c r="FC10" s="266">
        <f>+'WICHE Public Grads-RE PROJ'!GS11/'WICHE Public Grads-RE PROJ'!AK11</f>
        <v>0.30393712860094624</v>
      </c>
      <c r="FD10" s="266">
        <f>+'WICHE Public Grads-RE PROJ'!GT11/'WICHE Public Grads-RE PROJ'!AL11</f>
        <v>0.31466722483181775</v>
      </c>
      <c r="FE10" s="266">
        <f>+'WICHE Public Grads-RE PROJ'!GU11/'WICHE Public Grads-RE PROJ'!AM11</f>
        <v>0.30600988352075192</v>
      </c>
      <c r="FF10" s="266">
        <f>+'WICHE Public Grads-RE PROJ'!GV11/'WICHE Public Grads-RE PROJ'!AN11</f>
        <v>0.30390519975671226</v>
      </c>
      <c r="FG10" s="266">
        <f>+'WICHE Public Grads-RE PROJ'!GW11/'WICHE Public Grads-RE PROJ'!AO11</f>
        <v>0.29826733861416943</v>
      </c>
      <c r="FH10" s="266">
        <f>+'WICHE Public Grads-RE PROJ'!GX11/'WICHE Public Grads-RE PROJ'!AP11</f>
        <v>0.30986958569827677</v>
      </c>
      <c r="FI10" s="282">
        <f>+'WICHE Public Grads-RE PROJ'!GY11/'WICHE Public Grads-RE PROJ'!AQ11</f>
        <v>0.29427163721461624</v>
      </c>
      <c r="FJ10" s="262">
        <f>+'WICHE Public Grads-RE PROJ'!GZ11/'WICHE Public Grads-RE PROJ'!B11</f>
        <v>1.9342723004694834E-2</v>
      </c>
      <c r="FK10" s="262">
        <f>+'WICHE Public Grads-RE PROJ'!HA11/'WICHE Public Grads-RE PROJ'!C11</f>
        <v>2.4581209031318281E-2</v>
      </c>
      <c r="FL10" s="262">
        <f>+'WICHE Public Grads-RE PROJ'!HB11/'WICHE Public Grads-RE PROJ'!D11</f>
        <v>2.6195028680688338E-2</v>
      </c>
      <c r="FM10" s="262">
        <f>+'WICHE Public Grads-RE PROJ'!HC11/'WICHE Public Grads-RE PROJ'!E11</f>
        <v>2.5792892625143293E-2</v>
      </c>
      <c r="FN10" s="262">
        <f>+'WICHE Public Grads-RE PROJ'!HD11/'WICHE Public Grads-RE PROJ'!F11</f>
        <v>2.709930468889285E-2</v>
      </c>
      <c r="FO10" s="262">
        <f>+'WICHE Public Grads-RE PROJ'!HE11/'WICHE Public Grads-RE PROJ'!G11</f>
        <v>4.9554846295985215E-2</v>
      </c>
      <c r="FP10" s="267">
        <f>+'WICHE Public Grads-RE PROJ'!HF11/'WICHE Public Grads-RE PROJ'!H11</f>
        <v>3.4011492467774497E-2</v>
      </c>
      <c r="FQ10" s="267">
        <f>+'WICHE Public Grads-RE PROJ'!HG11/'WICHE Public Grads-RE PROJ'!I11</f>
        <v>3.0845157310302282E-2</v>
      </c>
      <c r="FR10" s="267">
        <f>+'WICHE Public Grads-RE PROJ'!HH11/'WICHE Public Grads-RE PROJ'!J11</f>
        <v>2.9638120189945962E-2</v>
      </c>
      <c r="FS10" s="267">
        <f>+'WICHE Public Grads-RE PROJ'!HI11/'WICHE Public Grads-RE PROJ'!K11</f>
        <v>3.1448442697308739E-2</v>
      </c>
      <c r="FT10" s="262">
        <f>+'WICHE Public Grads-RE PROJ'!HJ11/'WICHE Public Grads-RE PROJ'!L11</f>
        <v>3.7179882752236965E-2</v>
      </c>
      <c r="FU10" s="267">
        <f>+'WICHE Public Grads-RE PROJ'!HK11/'WICHE Public Grads-RE PROJ'!M11</f>
        <v>3.946017309667009E-2</v>
      </c>
      <c r="FV10" s="267">
        <f>+'WICHE Public Grads-RE PROJ'!HL11/'WICHE Public Grads-RE PROJ'!N11</f>
        <v>4.2727665084160552E-2</v>
      </c>
      <c r="FW10" s="267">
        <f>+'WICHE Public Grads-RE PROJ'!HM11/'WICHE Public Grads-RE PROJ'!O11</f>
        <v>4.6437842515142776E-2</v>
      </c>
      <c r="FX10" s="267">
        <f>+'WICHE Public Grads-RE PROJ'!HN11/'WICHE Public Grads-RE PROJ'!P11</f>
        <v>4.9621993127147768E-2</v>
      </c>
      <c r="FY10" s="267">
        <f>+'WICHE Public Grads-RE PROJ'!HO11/'WICHE Public Grads-RE PROJ'!Q11</f>
        <v>5.8848022206800833E-2</v>
      </c>
      <c r="FZ10" s="267">
        <f>+'WICHE Public Grads-RE PROJ'!HP11/'WICHE Public Grads-RE PROJ'!R11</f>
        <v>6.2127774769897129E-2</v>
      </c>
      <c r="GA10" s="267">
        <f>+'WICHE Public Grads-RE PROJ'!HQ11/'WICHE Public Grads-RE PROJ'!S11</f>
        <v>6.6590126291618826E-2</v>
      </c>
      <c r="GB10" s="267">
        <f>+'WICHE Public Grads-RE PROJ'!HR11/'WICHE Public Grads-RE PROJ'!T11</f>
        <v>7.3035780154924387E-2</v>
      </c>
      <c r="GC10" s="267">
        <f>+'WICHE Public Grads-RE PROJ'!HS11/'WICHE Public Grads-RE PROJ'!U11</f>
        <v>8.7280865348750472E-2</v>
      </c>
      <c r="GD10" s="267">
        <f>+'WICHE Public Grads-RE PROJ'!HT11/'WICHE Public Grads-RE PROJ'!V11</f>
        <v>8.2454225779071175E-2</v>
      </c>
      <c r="GE10" s="267">
        <f>+'WICHE Public Grads-RE PROJ'!HU11/'WICHE Public Grads-RE PROJ'!W11</f>
        <v>9.9752168525402723E-2</v>
      </c>
      <c r="GF10" s="268">
        <f>+'WICHE Public Grads-RE PROJ'!HV11/'WICHE Public Grads-RE PROJ'!Y11</f>
        <v>0.10498859093465543</v>
      </c>
      <c r="GG10" s="268">
        <f>+'WICHE Public Grads-RE PROJ'!HW11/'WICHE Public Grads-RE PROJ'!Z11</f>
        <v>0.10765509598168832</v>
      </c>
      <c r="GH10" s="268">
        <f>+'WICHE Public Grads-RE PROJ'!HX11/'WICHE Public Grads-RE PROJ'!AA11</f>
        <v>0.1147534821781185</v>
      </c>
      <c r="GI10" s="268">
        <f>+'WICHE Public Grads-RE PROJ'!HY11/'WICHE Public Grads-RE PROJ'!AB11</f>
        <v>0.12584017373667092</v>
      </c>
      <c r="GJ10" s="266">
        <f>+'WICHE Public Grads-RE PROJ'!HZ11/'WICHE Public Grads-RE PROJ'!AC11</f>
        <v>0.13067489883967315</v>
      </c>
      <c r="GK10" s="266">
        <f>+'WICHE Public Grads-RE PROJ'!IA11/'WICHE Public Grads-RE PROJ'!AD11</f>
        <v>0.13359753242289524</v>
      </c>
      <c r="GL10" s="266">
        <f>+'WICHE Public Grads-RE PROJ'!IB11/'WICHE Public Grads-RE PROJ'!AE11</f>
        <v>0.15249717831721513</v>
      </c>
      <c r="GM10" s="266">
        <f>+'WICHE Public Grads-RE PROJ'!IC11/'WICHE Public Grads-RE PROJ'!AF11</f>
        <v>0.16149619988137198</v>
      </c>
      <c r="GN10" s="266">
        <f>+'WICHE Public Grads-RE PROJ'!ID11/'WICHE Public Grads-RE PROJ'!AG11</f>
        <v>0.16144139537965074</v>
      </c>
      <c r="GO10" s="268">
        <f>+'WICHE Public Grads-RE PROJ'!IE11/'WICHE Public Grads-RE PROJ'!AH11</f>
        <v>0.18091304847264184</v>
      </c>
      <c r="GP10" s="266">
        <f>+'WICHE Public Grads-RE PROJ'!IF11/'WICHE Public Grads-RE PROJ'!AI11</f>
        <v>0.18147729817870401</v>
      </c>
      <c r="GQ10" s="266">
        <f>+'WICHE Public Grads-RE PROJ'!IG11/'WICHE Public Grads-RE PROJ'!AJ11</f>
        <v>0.18040715232351781</v>
      </c>
      <c r="GR10" s="266">
        <f>+'WICHE Public Grads-RE PROJ'!IH11/'WICHE Public Grads-RE PROJ'!AK11</f>
        <v>0.18303605655889923</v>
      </c>
      <c r="GS10" s="266">
        <f>+'WICHE Public Grads-RE PROJ'!II11/'WICHE Public Grads-RE PROJ'!AL11</f>
        <v>0.17097382006969011</v>
      </c>
      <c r="GT10" s="266">
        <f>+'WICHE Public Grads-RE PROJ'!IJ11/'WICHE Public Grads-RE PROJ'!AM11</f>
        <v>0.15041784933406979</v>
      </c>
      <c r="GU10" s="266">
        <f>+'WICHE Public Grads-RE PROJ'!IK11/'WICHE Public Grads-RE PROJ'!AN11</f>
        <v>0.14912836193484055</v>
      </c>
      <c r="GV10" s="266">
        <f>+'WICHE Public Grads-RE PROJ'!IL11/'WICHE Public Grads-RE PROJ'!AO11</f>
        <v>0.14579952335391255</v>
      </c>
      <c r="GW10" s="266">
        <f>+'WICHE Public Grads-RE PROJ'!IM11/'WICHE Public Grads-RE PROJ'!AP11</f>
        <v>0.14847782610349486</v>
      </c>
      <c r="GX10" s="282">
        <f>+'WICHE Public Grads-RE PROJ'!IN11/'WICHE Public Grads-RE PROJ'!AQ11</f>
        <v>0.16752087872851248</v>
      </c>
      <c r="GY10" s="262">
        <f>+'WICHE Public Grads-RE PROJ'!IO11/'WICHE Public Grads-RE PROJ'!B11</f>
        <v>0.73953051643192491</v>
      </c>
      <c r="GZ10" s="262">
        <f>+'WICHE Public Grads-RE PROJ'!IP11/'WICHE Public Grads-RE PROJ'!C11</f>
        <v>0.73743627093954844</v>
      </c>
      <c r="HA10" s="262">
        <f>+'WICHE Public Grads-RE PROJ'!IQ11/'WICHE Public Grads-RE PROJ'!D11</f>
        <v>0.72237093690248566</v>
      </c>
      <c r="HB10" s="262">
        <f>+'WICHE Public Grads-RE PROJ'!IR11/'WICHE Public Grads-RE PROJ'!E11</f>
        <v>0.70920901795949565</v>
      </c>
      <c r="HC10" s="262">
        <f>+'WICHE Public Grads-RE PROJ'!IS11/'WICHE Public Grads-RE PROJ'!F11</f>
        <v>0.70404706721340704</v>
      </c>
      <c r="HD10" s="262">
        <f>+'WICHE Public Grads-RE PROJ'!IT11/'WICHE Public Grads-RE PROJ'!G11</f>
        <v>0.68704854695111706</v>
      </c>
      <c r="HE10" s="267">
        <f>+'WICHE Public Grads-RE PROJ'!IU11/'WICHE Public Grads-RE PROJ'!H11</f>
        <v>0.68255940363410472</v>
      </c>
      <c r="HF10" s="267">
        <f>+'WICHE Public Grads-RE PROJ'!IV11/'WICHE Public Grads-RE PROJ'!I11</f>
        <v>0.68522516964836522</v>
      </c>
      <c r="HG10" s="267">
        <f>+'WICHE Public Grads-RE PROJ'!IW11/'WICHE Public Grads-RE PROJ'!J11</f>
        <v>0.69379400687735382</v>
      </c>
      <c r="HH10" s="267">
        <f>+'WICHE Public Grads-RE PROJ'!IX11/'WICHE Public Grads-RE PROJ'!K11</f>
        <v>0.66525551859691567</v>
      </c>
      <c r="HI10" s="262">
        <f>+'WICHE Public Grads-RE PROJ'!IY11/'WICHE Public Grads-RE PROJ'!L11</f>
        <v>0.67232335698858381</v>
      </c>
      <c r="HJ10" s="267">
        <f>+'WICHE Public Grads-RE PROJ'!IZ11/'WICHE Public Grads-RE PROJ'!M11</f>
        <v>0.66847586915065282</v>
      </c>
      <c r="HK10" s="267">
        <f>+'WICHE Public Grads-RE PROJ'!JA11/'WICHE Public Grads-RE PROJ'!N11</f>
        <v>0.65688390159689258</v>
      </c>
      <c r="HL10" s="267">
        <f>+'WICHE Public Grads-RE PROJ'!JB11/'WICHE Public Grads-RE PROJ'!O11</f>
        <v>0.63253533314104415</v>
      </c>
      <c r="HM10" s="267">
        <f>+'WICHE Public Grads-RE PROJ'!JC11/'WICHE Public Grads-RE PROJ'!P11</f>
        <v>0.63862542955326462</v>
      </c>
      <c r="HN10" s="267">
        <f>+'WICHE Public Grads-RE PROJ'!JD11/'WICHE Public Grads-RE PROJ'!Q11</f>
        <v>0.62220680083275504</v>
      </c>
      <c r="HO10" s="267">
        <f>+'WICHE Public Grads-RE PROJ'!JE11/'WICHE Public Grads-RE PROJ'!R11</f>
        <v>0.61099079588521932</v>
      </c>
      <c r="HP10" s="267">
        <f>+'WICHE Public Grads-RE PROJ'!JF11/'WICHE Public Grads-RE PROJ'!S11</f>
        <v>0.58706467661691542</v>
      </c>
      <c r="HQ10" s="267">
        <f>+'WICHE Public Grads-RE PROJ'!JG11/'WICHE Public Grads-RE PROJ'!T11</f>
        <v>0.57752366900282803</v>
      </c>
      <c r="HR10" s="267">
        <f>+'WICHE Public Grads-RE PROJ'!JH11/'WICHE Public Grads-RE PROJ'!U11</f>
        <v>0.56206198547047515</v>
      </c>
      <c r="HS10" s="267">
        <f>+'WICHE Public Grads-RE PROJ'!JI11/'WICHE Public Grads-RE PROJ'!V11</f>
        <v>0.56055889751829813</v>
      </c>
      <c r="HT10" s="267">
        <f>+'WICHE Public Grads-RE PROJ'!JJ11/'WICHE Public Grads-RE PROJ'!W11</f>
        <v>0.54052506477502715</v>
      </c>
      <c r="HU10" s="268">
        <f>+'WICHE Public Grads-RE PROJ'!JK11/'WICHE Public Grads-RE PROJ'!Y11</f>
        <v>0.54258759715322102</v>
      </c>
      <c r="HV10" s="268">
        <f>+'WICHE Public Grads-RE PROJ'!JL11/'WICHE Public Grads-RE PROJ'!Z11</f>
        <v>0.53096360910952545</v>
      </c>
      <c r="HW10" s="268">
        <f>+'WICHE Public Grads-RE PROJ'!JM11/'WICHE Public Grads-RE PROJ'!AA11</f>
        <v>0.52988664789918383</v>
      </c>
      <c r="HX10" s="268">
        <f>+'WICHE Public Grads-RE PROJ'!JN11/'WICHE Public Grads-RE PROJ'!AB11</f>
        <v>0.52302546606930556</v>
      </c>
      <c r="HY10" s="266">
        <f>+'WICHE Public Grads-RE PROJ'!JO11/'WICHE Public Grads-RE PROJ'!AC11</f>
        <v>0.50492676382003987</v>
      </c>
      <c r="HZ10" s="266">
        <f>+'WICHE Public Grads-RE PROJ'!JP11/'WICHE Public Grads-RE PROJ'!AD11</f>
        <v>0.50507143539106247</v>
      </c>
      <c r="IA10" s="266">
        <f>+'WICHE Public Grads-RE PROJ'!JQ11/'WICHE Public Grads-RE PROJ'!AE11</f>
        <v>0.49495653622839958</v>
      </c>
      <c r="IB10" s="266">
        <f>+'WICHE Public Grads-RE PROJ'!JR11/'WICHE Public Grads-RE PROJ'!AF11</f>
        <v>0.49756571671352107</v>
      </c>
      <c r="IC10" s="266">
        <f>+'WICHE Public Grads-RE PROJ'!JS11/'WICHE Public Grads-RE PROJ'!AG11</f>
        <v>0.48899198630062091</v>
      </c>
      <c r="ID10" s="268">
        <f>+'WICHE Public Grads-RE PROJ'!JT11/'WICHE Public Grads-RE PROJ'!AH11</f>
        <v>0.47570857682074191</v>
      </c>
      <c r="IE10" s="266">
        <f>+'WICHE Public Grads-RE PROJ'!JU11/'WICHE Public Grads-RE PROJ'!AI11</f>
        <v>0.49112932083672228</v>
      </c>
      <c r="IF10" s="266">
        <f>+'WICHE Public Grads-RE PROJ'!JV11/'WICHE Public Grads-RE PROJ'!AJ11</f>
        <v>0.48289369679284277</v>
      </c>
      <c r="IG10" s="266">
        <f>+'WICHE Public Grads-RE PROJ'!JW11/'WICHE Public Grads-RE PROJ'!AK11</f>
        <v>0.46947684315827659</v>
      </c>
      <c r="IH10" s="266">
        <f>+'WICHE Public Grads-RE PROJ'!JX11/'WICHE Public Grads-RE PROJ'!AL11</f>
        <v>0.46895319066971253</v>
      </c>
      <c r="II10" s="266">
        <f>+'WICHE Public Grads-RE PROJ'!JY11/'WICHE Public Grads-RE PROJ'!AM11</f>
        <v>0.48993294028868251</v>
      </c>
      <c r="IJ10" s="266">
        <f>+'WICHE Public Grads-RE PROJ'!JZ11/'WICHE Public Grads-RE PROJ'!AN11</f>
        <v>0.48817057372807987</v>
      </c>
      <c r="IK10" s="266">
        <f>+'WICHE Public Grads-RE PROJ'!KA11/'WICHE Public Grads-RE PROJ'!AO11</f>
        <v>0.49218247774497953</v>
      </c>
      <c r="IL10" s="266">
        <f>+'WICHE Public Grads-RE PROJ'!KB11/'WICHE Public Grads-RE PROJ'!AP11</f>
        <v>0.48282081083908979</v>
      </c>
      <c r="IM10" s="282">
        <f>+'WICHE Public Grads-RE PROJ'!KC11/'WICHE Public Grads-RE PROJ'!AQ11</f>
        <v>0.47339095982626794</v>
      </c>
      <c r="IN10" s="278">
        <f t="shared" si="5"/>
        <v>1</v>
      </c>
      <c r="IO10" s="278">
        <f t="shared" si="6"/>
        <v>1</v>
      </c>
      <c r="IP10" s="278">
        <f t="shared" si="7"/>
        <v>1</v>
      </c>
      <c r="IQ10" s="278">
        <f t="shared" si="8"/>
        <v>1</v>
      </c>
      <c r="IR10" s="278">
        <f t="shared" si="9"/>
        <v>1</v>
      </c>
      <c r="IS10" s="278">
        <f t="shared" si="10"/>
        <v>1</v>
      </c>
      <c r="IT10" s="278">
        <f t="shared" si="11"/>
        <v>1</v>
      </c>
      <c r="IU10" s="278">
        <f t="shared" si="12"/>
        <v>1</v>
      </c>
      <c r="IV10" s="278">
        <f t="shared" si="13"/>
        <v>1</v>
      </c>
      <c r="IW10" s="278">
        <f t="shared" si="14"/>
        <v>0.97958875113395827</v>
      </c>
      <c r="IX10" s="278">
        <f t="shared" si="15"/>
        <v>1</v>
      </c>
      <c r="IY10" s="278">
        <f t="shared" si="16"/>
        <v>0.99985330790670379</v>
      </c>
      <c r="IZ10" s="278">
        <f t="shared" si="17"/>
        <v>1</v>
      </c>
      <c r="JA10" s="278">
        <f t="shared" si="18"/>
        <v>1</v>
      </c>
      <c r="JB10" s="278">
        <f t="shared" si="19"/>
        <v>1</v>
      </c>
      <c r="JC10" s="278">
        <f t="shared" si="20"/>
        <v>1</v>
      </c>
      <c r="JD10" s="278">
        <f t="shared" si="21"/>
        <v>0.99336762317271254</v>
      </c>
      <c r="JE10" s="278">
        <f t="shared" si="22"/>
        <v>1</v>
      </c>
      <c r="JF10" s="278">
        <f t="shared" si="23"/>
        <v>1</v>
      </c>
      <c r="JG10" s="278">
        <f t="shared" si="24"/>
        <v>0.99925400969787392</v>
      </c>
      <c r="JH10" s="278">
        <f t="shared" si="25"/>
        <v>0.99927246271371406</v>
      </c>
      <c r="JI10" s="278">
        <f t="shared" si="26"/>
        <v>0.99925650557620815</v>
      </c>
      <c r="JJ10" s="278">
        <f t="shared" si="27"/>
        <v>0.99979726287197712</v>
      </c>
      <c r="JK10" s="278">
        <f t="shared" si="28"/>
        <v>1.0004468327063984</v>
      </c>
      <c r="JL10" s="278">
        <f t="shared" si="29"/>
        <v>0.9994811402238466</v>
      </c>
      <c r="JM10" s="278">
        <f t="shared" si="30"/>
        <v>0.99868901086479311</v>
      </c>
      <c r="JN10" s="278">
        <f t="shared" si="31"/>
        <v>0.99985789567891925</v>
      </c>
      <c r="JO10" s="278">
        <f t="shared" si="32"/>
        <v>1.0008401040740507</v>
      </c>
      <c r="JP10" s="278">
        <f t="shared" si="33"/>
        <v>1.0033664776988458</v>
      </c>
      <c r="JQ10" s="278">
        <f t="shared" si="34"/>
        <v>1.0038303534444155</v>
      </c>
      <c r="JR10" s="278">
        <f t="shared" si="35"/>
        <v>1.0033866900120665</v>
      </c>
      <c r="JS10" s="278">
        <f t="shared" si="36"/>
        <v>1.0056245825209527</v>
      </c>
      <c r="JT10" s="278">
        <f t="shared" si="37"/>
        <v>1.0072882115027812</v>
      </c>
      <c r="JU10" s="278">
        <f t="shared" si="38"/>
        <v>1.005559585415581</v>
      </c>
      <c r="JV10" s="278">
        <f t="shared" si="39"/>
        <v>1.0118133381555112</v>
      </c>
      <c r="JW10" s="278">
        <f t="shared" si="40"/>
        <v>1.0109450391942008</v>
      </c>
      <c r="JX10" s="278">
        <f t="shared" si="41"/>
        <v>1.0028906891920695</v>
      </c>
      <c r="JY10" s="278">
        <f t="shared" si="42"/>
        <v>1.0030604565891159</v>
      </c>
      <c r="JZ10" s="278">
        <f t="shared" si="42"/>
        <v>0.99961517509138442</v>
      </c>
      <c r="KA10" s="278">
        <f t="shared" si="42"/>
        <v>1.0010750346066783</v>
      </c>
      <c r="KB10" s="278">
        <f t="shared" si="42"/>
        <v>1.0050906386680514</v>
      </c>
    </row>
    <row r="11" spans="1:288" s="17" customFormat="1">
      <c r="A11" s="173" t="s">
        <v>36</v>
      </c>
      <c r="B11" s="262">
        <f>+'WICHE Public Grads-RE PROJ'!AR12/'WICHE Public Grads-RE PROJ'!B12</f>
        <v>2.6058458056664603E-2</v>
      </c>
      <c r="C11" s="262">
        <f>+'WICHE Public Grads-RE PROJ'!AS12/'WICHE Public Grads-RE PROJ'!C12</f>
        <v>2.7094422328577179E-2</v>
      </c>
      <c r="D11" s="262">
        <f>+'WICHE Public Grads-RE PROJ'!AT12/'WICHE Public Grads-RE PROJ'!D12</f>
        <v>2.9398400581606688E-2</v>
      </c>
      <c r="E11" s="262">
        <f>+'WICHE Public Grads-RE PROJ'!AU12/'WICHE Public Grads-RE PROJ'!E12</f>
        <v>2.9267369499148363E-2</v>
      </c>
      <c r="F11" s="262">
        <f>+'WICHE Public Grads-RE PROJ'!AV12/'WICHE Public Grads-RE PROJ'!F12</f>
        <v>2.9694538446023173E-2</v>
      </c>
      <c r="G11" s="262">
        <f>+'WICHE Public Grads-RE PROJ'!AW12/'WICHE Public Grads-RE PROJ'!G12</f>
        <v>2.9108297139128485E-2</v>
      </c>
      <c r="H11" s="267">
        <f>+'WICHE Public Grads-RE PROJ'!AX12/'WICHE Public Grads-RE PROJ'!H12</f>
        <v>2.9888931754959491E-2</v>
      </c>
      <c r="I11" s="267">
        <f>+'WICHE Public Grads-RE PROJ'!AY12/'WICHE Public Grads-RE PROJ'!I12</f>
        <v>3.0258043091828959E-2</v>
      </c>
      <c r="J11" s="267">
        <f>+'WICHE Public Grads-RE PROJ'!AZ12/'WICHE Public Grads-RE PROJ'!J12</f>
        <v>3.0953630468193574E-2</v>
      </c>
      <c r="K11" s="267">
        <f>+'WICHE Public Grads-RE PROJ'!BA12/'WICHE Public Grads-RE PROJ'!K12</f>
        <v>3.020375836993304E-2</v>
      </c>
      <c r="L11" s="262">
        <f>+'WICHE Public Grads-RE PROJ'!BB12/'WICHE Public Grads-RE PROJ'!L12</f>
        <v>3.0517747642989201E-2</v>
      </c>
      <c r="M11" s="267">
        <f>+'WICHE Public Grads-RE PROJ'!BC12/'WICHE Public Grads-RE PROJ'!M12</f>
        <v>2.9156600043927082E-2</v>
      </c>
      <c r="N11" s="267">
        <f>+'WICHE Public Grads-RE PROJ'!BD12/'WICHE Public Grads-RE PROJ'!N12</f>
        <v>3.0711165898126589E-2</v>
      </c>
      <c r="O11" s="267">
        <f>+'WICHE Public Grads-RE PROJ'!BE12/'WICHE Public Grads-RE PROJ'!O12</f>
        <v>3.2066187611575328E-2</v>
      </c>
      <c r="P11" s="267">
        <f>+'WICHE Public Grads-RE PROJ'!BF12/'WICHE Public Grads-RE PROJ'!P12</f>
        <v>3.3054660469536555E-2</v>
      </c>
      <c r="Q11" s="267">
        <f>+'WICHE Public Grads-RE PROJ'!BG12/'WICHE Public Grads-RE PROJ'!Q12</f>
        <v>3.2603806471563912E-2</v>
      </c>
      <c r="R11" s="267">
        <f>+'WICHE Public Grads-RE PROJ'!BH12/'WICHE Public Grads-RE PROJ'!R12</f>
        <v>3.1520470190411015E-2</v>
      </c>
      <c r="S11" s="267">
        <f>+'WICHE Public Grads-RE PROJ'!BI12/'WICHE Public Grads-RE PROJ'!S12</f>
        <v>3.1845224519584783E-2</v>
      </c>
      <c r="T11" s="267">
        <f>+'WICHE Public Grads-RE PROJ'!BJ12/'WICHE Public Grads-RE PROJ'!T12</f>
        <v>3.2293601485941202E-2</v>
      </c>
      <c r="U11" s="267">
        <f>+'WICHE Public Grads-RE PROJ'!BK12/'WICHE Public Grads-RE PROJ'!U12</f>
        <v>3.3197235731636375E-2</v>
      </c>
      <c r="V11" s="267">
        <f>+'WICHE Public Grads-RE PROJ'!BL12/'WICHE Public Grads-RE PROJ'!V12</f>
        <v>3.5007709107826017E-2</v>
      </c>
      <c r="W11" s="267">
        <f>+'WICHE Public Grads-RE PROJ'!BM12/'WICHE Public Grads-RE PROJ'!W12</f>
        <v>3.5610286708295538E-2</v>
      </c>
      <c r="X11" s="268">
        <f>+'WICHE Public Grads-RE PROJ'!BN12/'WICHE Public Grads-RE PROJ'!Y12</f>
        <v>3.5467093437237841E-2</v>
      </c>
      <c r="Y11" s="268">
        <f>+'WICHE Public Grads-RE PROJ'!BO12/'WICHE Public Grads-RE PROJ'!Z12</f>
        <v>3.7641834588670223E-2</v>
      </c>
      <c r="Z11" s="268">
        <f>+'WICHE Public Grads-RE PROJ'!BP12/'WICHE Public Grads-RE PROJ'!AA12</f>
        <v>3.7456875156987847E-2</v>
      </c>
      <c r="AA11" s="268">
        <f>+'WICHE Public Grads-RE PROJ'!BQ12/'WICHE Public Grads-RE PROJ'!AB12</f>
        <v>3.7475775585656831E-2</v>
      </c>
      <c r="AB11" s="266">
        <f>+'WICHE Public Grads-RE PROJ'!BR12/'WICHE Public Grads-RE PROJ'!AC12</f>
        <v>3.9233930796647234E-2</v>
      </c>
      <c r="AC11" s="266">
        <f>+'WICHE Public Grads-RE PROJ'!BS12/'WICHE Public Grads-RE PROJ'!AD12</f>
        <v>4.0555412737757979E-2</v>
      </c>
      <c r="AD11" s="266">
        <f>+'WICHE Public Grads-RE PROJ'!BT12/'WICHE Public Grads-RE PROJ'!AE12</f>
        <v>4.1714410116831913E-2</v>
      </c>
      <c r="AE11" s="266">
        <f>+'WICHE Public Grads-RE PROJ'!BU12/'WICHE Public Grads-RE PROJ'!AF12</f>
        <v>4.3433178949302868E-2</v>
      </c>
      <c r="AF11" s="266">
        <f>+'WICHE Public Grads-RE PROJ'!BV12/'WICHE Public Grads-RE PROJ'!AG12</f>
        <v>4.4206454540607829E-2</v>
      </c>
      <c r="AG11" s="268">
        <f>+'WICHE Public Grads-RE PROJ'!BW12/'WICHE Public Grads-RE PROJ'!AH12</f>
        <v>4.3633344788078329E-2</v>
      </c>
      <c r="AH11" s="266">
        <f>+'WICHE Public Grads-RE PROJ'!BX12/'WICHE Public Grads-RE PROJ'!AI12</f>
        <v>4.2993679944842884E-2</v>
      </c>
      <c r="AI11" s="266">
        <f>+'WICHE Public Grads-RE PROJ'!BY12/'WICHE Public Grads-RE PROJ'!AJ12</f>
        <v>4.2575143292282479E-2</v>
      </c>
      <c r="AJ11" s="266">
        <f>+'WICHE Public Grads-RE PROJ'!BZ12/'WICHE Public Grads-RE PROJ'!AK12</f>
        <v>4.4505971661355004E-2</v>
      </c>
      <c r="AK11" s="266">
        <f>+'WICHE Public Grads-RE PROJ'!CA12/'WICHE Public Grads-RE PROJ'!AL12</f>
        <v>4.5254892640295412E-2</v>
      </c>
      <c r="AL11" s="266">
        <f>+'WICHE Public Grads-RE PROJ'!CB12/'WICHE Public Grads-RE PROJ'!AM12</f>
        <v>4.39365600867943E-2</v>
      </c>
      <c r="AM11" s="266">
        <f>+'WICHE Public Grads-RE PROJ'!CC12/'WICHE Public Grads-RE PROJ'!AN12</f>
        <v>4.5492518838805965E-2</v>
      </c>
      <c r="AN11" s="266">
        <f>+'WICHE Public Grads-RE PROJ'!CD12/'WICHE Public Grads-RE PROJ'!AO12</f>
        <v>4.6346121155108715E-2</v>
      </c>
      <c r="AO11" s="266">
        <f>+'WICHE Public Grads-RE PROJ'!CE12/'WICHE Public Grads-RE PROJ'!AP12</f>
        <v>4.4652410461403114E-2</v>
      </c>
      <c r="AP11" s="282">
        <f>+'WICHE Public Grads-RE PROJ'!CF12/'WICHE Public Grads-RE PROJ'!AQ12</f>
        <v>4.4973393391789886E-2</v>
      </c>
      <c r="AQ11" s="262">
        <f>+'WICHE Public Grads-RE PROJ'!CG12/'WICHE Public Grads-RE PROJ'!B12</f>
        <v>1.9108824220167816E-3</v>
      </c>
      <c r="AR11" s="262">
        <f>+'WICHE Public Grads-RE PROJ'!CH12/'WICHE Public Grads-RE PROJ'!C12</f>
        <v>1.7556022722189919E-3</v>
      </c>
      <c r="AS11" s="262">
        <f>+'WICHE Public Grads-RE PROJ'!CI12/'WICHE Public Grads-RE PROJ'!D12</f>
        <v>1.715285350781534E-3</v>
      </c>
      <c r="AT11" s="262">
        <f>+'WICHE Public Grads-RE PROJ'!CJ12/'WICHE Public Grads-RE PROJ'!E12</f>
        <v>1.9036592561256637E-3</v>
      </c>
      <c r="AU11" s="262">
        <f>+'WICHE Public Grads-RE PROJ'!CK12/'WICHE Public Grads-RE PROJ'!F12</f>
        <v>2.0393984895004593E-3</v>
      </c>
      <c r="AV11" s="262">
        <f>+'WICHE Public Grads-RE PROJ'!CL12/'WICHE Public Grads-RE PROJ'!G12</f>
        <v>2.2430211455720722E-3</v>
      </c>
      <c r="AW11" s="267">
        <f>+'WICHE Public Grads-RE PROJ'!CM12/'WICHE Public Grads-RE PROJ'!H12</f>
        <v>1.9695831387439339E-3</v>
      </c>
      <c r="AX11" s="267">
        <f>+'WICHE Public Grads-RE PROJ'!CN12/'WICHE Public Grads-RE PROJ'!I12</f>
        <v>2.3636043990389313E-3</v>
      </c>
      <c r="AY11" s="267">
        <f>+'WICHE Public Grads-RE PROJ'!CO12/'WICHE Public Grads-RE PROJ'!J12</f>
        <v>2.2116429883420174E-3</v>
      </c>
      <c r="AZ11" s="267">
        <f>+'WICHE Public Grads-RE PROJ'!CP12/'WICHE Public Grads-RE PROJ'!K12</f>
        <v>2.5919792641658865E-3</v>
      </c>
      <c r="BA11" s="262">
        <f>+'WICHE Public Grads-RE PROJ'!CQ12/'WICHE Public Grads-RE PROJ'!L12</f>
        <v>2.5347800262680176E-3</v>
      </c>
      <c r="BB11" s="267">
        <f>+'WICHE Public Grads-RE PROJ'!CR12/'WICHE Public Grads-RE PROJ'!M12</f>
        <v>2.847416146339933E-3</v>
      </c>
      <c r="BC11" s="267">
        <f>+'WICHE Public Grads-RE PROJ'!CS12/'WICHE Public Grads-RE PROJ'!N12</f>
        <v>3.7361700832458265E-3</v>
      </c>
      <c r="BD11" s="267">
        <f>+'WICHE Public Grads-RE PROJ'!CT12/'WICHE Public Grads-RE PROJ'!O12</f>
        <v>4.1329752921585982E-3</v>
      </c>
      <c r="BE11" s="267">
        <f>+'WICHE Public Grads-RE PROJ'!CU12/'WICHE Public Grads-RE PROJ'!P12</f>
        <v>3.2223096684139405E-3</v>
      </c>
      <c r="BF11" s="267">
        <f>+'WICHE Public Grads-RE PROJ'!CV12/'WICHE Public Grads-RE PROJ'!Q12</f>
        <v>2.8464198363835707E-3</v>
      </c>
      <c r="BG11" s="267">
        <f>+'WICHE Public Grads-RE PROJ'!CW12/'WICHE Public Grads-RE PROJ'!R12</f>
        <v>2.9722367591213453E-3</v>
      </c>
      <c r="BH11" s="267">
        <f>+'WICHE Public Grads-RE PROJ'!CX12/'WICHE Public Grads-RE PROJ'!S12</f>
        <v>2.9388574295749407E-3</v>
      </c>
      <c r="BI11" s="267">
        <f>+'WICHE Public Grads-RE PROJ'!CY12/'WICHE Public Grads-RE PROJ'!T12</f>
        <v>3.2152693268430155E-3</v>
      </c>
      <c r="BJ11" s="267">
        <f>+'WICHE Public Grads-RE PROJ'!CZ12/'WICHE Public Grads-RE PROJ'!U12</f>
        <v>3.9566057269371045E-3</v>
      </c>
      <c r="BK11" s="267">
        <f>+'WICHE Public Grads-RE PROJ'!DA12/'WICHE Public Grads-RE PROJ'!V12</f>
        <v>4.0492196581220019E-3</v>
      </c>
      <c r="BL11" s="267">
        <f>+'WICHE Public Grads-RE PROJ'!DB12/'WICHE Public Grads-RE PROJ'!W12</f>
        <v>4.1242657905869277E-3</v>
      </c>
      <c r="BM11" s="268">
        <f>+'WICHE Public Grads-RE PROJ'!DC12/'WICHE Public Grads-RE PROJ'!Y12</f>
        <v>3.6955142864957664E-3</v>
      </c>
      <c r="BN11" s="268">
        <f>+'WICHE Public Grads-RE PROJ'!DD12/'WICHE Public Grads-RE PROJ'!Z12</f>
        <v>4.06537687329176E-3</v>
      </c>
      <c r="BO11" s="268">
        <f>+'WICHE Public Grads-RE PROJ'!DE12/'WICHE Public Grads-RE PROJ'!AA12</f>
        <v>4.5829356869898112E-3</v>
      </c>
      <c r="BP11" s="268">
        <f>+'WICHE Public Grads-RE PROJ'!DF12/'WICHE Public Grads-RE PROJ'!AB12</f>
        <v>4.3420176075425277E-3</v>
      </c>
      <c r="BQ11" s="266">
        <f>+'WICHE Public Grads-RE PROJ'!DG12/'WICHE Public Grads-RE PROJ'!AC12</f>
        <v>4.3146745363762977E-3</v>
      </c>
      <c r="BR11" s="266">
        <f>+'WICHE Public Grads-RE PROJ'!DH12/'WICHE Public Grads-RE PROJ'!AD12</f>
        <v>4.2965991380084795E-3</v>
      </c>
      <c r="BS11" s="266">
        <f>+'WICHE Public Grads-RE PROJ'!DI12/'WICHE Public Grads-RE PROJ'!AE12</f>
        <v>4.5061069717439251E-3</v>
      </c>
      <c r="BT11" s="266">
        <f>+'WICHE Public Grads-RE PROJ'!DJ12/'WICHE Public Grads-RE PROJ'!AF12</f>
        <v>4.2809900081941287E-3</v>
      </c>
      <c r="BU11" s="266">
        <f>+'WICHE Public Grads-RE PROJ'!DK12/'WICHE Public Grads-RE PROJ'!AG12</f>
        <v>3.7642561960889425E-3</v>
      </c>
      <c r="BV11" s="268">
        <f>+'WICHE Public Grads-RE PROJ'!DL12/'WICHE Public Grads-RE PROJ'!AH12</f>
        <v>3.1909557908131243E-3</v>
      </c>
      <c r="BW11" s="266">
        <f>+'WICHE Public Grads-RE PROJ'!DM12/'WICHE Public Grads-RE PROJ'!AI12</f>
        <v>3.3723043368895323E-3</v>
      </c>
      <c r="BX11" s="266">
        <f>+'WICHE Public Grads-RE PROJ'!DN12/'WICHE Public Grads-RE PROJ'!AJ12</f>
        <v>3.4479277571552976E-3</v>
      </c>
      <c r="BY11" s="266">
        <f>+'WICHE Public Grads-RE PROJ'!DO12/'WICHE Public Grads-RE PROJ'!AK12</f>
        <v>3.0798831215514372E-3</v>
      </c>
      <c r="BZ11" s="266">
        <f>+'WICHE Public Grads-RE PROJ'!DP12/'WICHE Public Grads-RE PROJ'!AL12</f>
        <v>2.8779902167362882E-3</v>
      </c>
      <c r="CA11" s="266">
        <f>+'WICHE Public Grads-RE PROJ'!DQ12/'WICHE Public Grads-RE PROJ'!AM12</f>
        <v>1.8598156416019097E-3</v>
      </c>
      <c r="CB11" s="266">
        <f>+'WICHE Public Grads-RE PROJ'!DR12/'WICHE Public Grads-RE PROJ'!AN12</f>
        <v>2.0329514879009673E-3</v>
      </c>
      <c r="CC11" s="266">
        <f>+'WICHE Public Grads-RE PROJ'!DS12/'WICHE Public Grads-RE PROJ'!AO12</f>
        <v>2.0000780587066565E-3</v>
      </c>
      <c r="CD11" s="266">
        <f>+'WICHE Public Grads-RE PROJ'!DT12/'WICHE Public Grads-RE PROJ'!AP12</f>
        <v>1.8428155822976721E-3</v>
      </c>
      <c r="CE11" s="282">
        <f>+'WICHE Public Grads-RE PROJ'!DU12/'WICHE Public Grads-RE PROJ'!AQ12</f>
        <v>1.965521362060828E-3</v>
      </c>
      <c r="CF11" s="262">
        <f>+'WICHE Public Grads-RE PROJ'!DV12/'WICHE Public Grads-RE PROJ'!B12</f>
        <v>2.4147575634647821E-2</v>
      </c>
      <c r="CG11" s="262">
        <f>+'WICHE Public Grads-RE PROJ'!DW12/'WICHE Public Grads-RE PROJ'!C12</f>
        <v>2.5338820056358187E-2</v>
      </c>
      <c r="CH11" s="262">
        <f>+'WICHE Public Grads-RE PROJ'!DX12/'WICHE Public Grads-RE PROJ'!D12</f>
        <v>2.7683115230825155E-2</v>
      </c>
      <c r="CI11" s="262">
        <f>+'WICHE Public Grads-RE PROJ'!DY12/'WICHE Public Grads-RE PROJ'!E12</f>
        <v>2.7363710243022699E-2</v>
      </c>
      <c r="CJ11" s="262">
        <f>+'WICHE Public Grads-RE PROJ'!DZ12/'WICHE Public Grads-RE PROJ'!F12</f>
        <v>2.7655139956522714E-2</v>
      </c>
      <c r="CK11" s="262">
        <f>+'WICHE Public Grads-RE PROJ'!EA12/'WICHE Public Grads-RE PROJ'!G12</f>
        <v>2.6865275993556412E-2</v>
      </c>
      <c r="CL11" s="267">
        <f>+'WICHE Public Grads-RE PROJ'!EB12/'WICHE Public Grads-RE PROJ'!H12</f>
        <v>2.7919348616215558E-2</v>
      </c>
      <c r="CM11" s="267">
        <f>+'WICHE Public Grads-RE PROJ'!EC12/'WICHE Public Grads-RE PROJ'!I12</f>
        <v>2.7894438692790031E-2</v>
      </c>
      <c r="CN11" s="267">
        <f>+'WICHE Public Grads-RE PROJ'!ED12/'WICHE Public Grads-RE PROJ'!J12</f>
        <v>2.8741987479851558E-2</v>
      </c>
      <c r="CO11" s="267">
        <f>+'WICHE Public Grads-RE PROJ'!EE12/'WICHE Public Grads-RE PROJ'!K12</f>
        <v>2.7611779105767155E-2</v>
      </c>
      <c r="CP11" s="262">
        <f>+'WICHE Public Grads-RE PROJ'!EF12/'WICHE Public Grads-RE PROJ'!L12</f>
        <v>2.7982967616721182E-2</v>
      </c>
      <c r="CQ11" s="267">
        <f>+'WICHE Public Grads-RE PROJ'!EG12/'WICHE Public Grads-RE PROJ'!M12</f>
        <v>2.6309183897587147E-2</v>
      </c>
      <c r="CR11" s="267">
        <f>+'WICHE Public Grads-RE PROJ'!EH12/'WICHE Public Grads-RE PROJ'!N12</f>
        <v>2.6974995814880762E-2</v>
      </c>
      <c r="CS11" s="267">
        <f>+'WICHE Public Grads-RE PROJ'!EI12/'WICHE Public Grads-RE PROJ'!O12</f>
        <v>2.7933212319416732E-2</v>
      </c>
      <c r="CT11" s="267">
        <f>+'WICHE Public Grads-RE PROJ'!EJ12/'WICHE Public Grads-RE PROJ'!P12</f>
        <v>2.983235080112261E-2</v>
      </c>
      <c r="CU11" s="267">
        <f>+'WICHE Public Grads-RE PROJ'!EK12/'WICHE Public Grads-RE PROJ'!Q12</f>
        <v>2.9757386635180343E-2</v>
      </c>
      <c r="CV11" s="267">
        <f>+'WICHE Public Grads-RE PROJ'!EL12/'WICHE Public Grads-RE PROJ'!R12</f>
        <v>2.854823343128967E-2</v>
      </c>
      <c r="CW11" s="267">
        <f>+'WICHE Public Grads-RE PROJ'!EM12/'WICHE Public Grads-RE PROJ'!S12</f>
        <v>2.8906367090009839E-2</v>
      </c>
      <c r="CX11" s="267">
        <f>+'WICHE Public Grads-RE PROJ'!EN12/'WICHE Public Grads-RE PROJ'!T12</f>
        <v>2.9078332159098188E-2</v>
      </c>
      <c r="CY11" s="267">
        <f>+'WICHE Public Grads-RE PROJ'!EO12/'WICHE Public Grads-RE PROJ'!U12</f>
        <v>2.9240630004699269E-2</v>
      </c>
      <c r="CZ11" s="267">
        <f>+'WICHE Public Grads-RE PROJ'!EP12/'WICHE Public Grads-RE PROJ'!V12</f>
        <v>3.0958489449704016E-2</v>
      </c>
      <c r="DA11" s="267">
        <f>+'WICHE Public Grads-RE PROJ'!EQ12/'WICHE Public Grads-RE PROJ'!W12</f>
        <v>3.1486020917708614E-2</v>
      </c>
      <c r="DB11" s="268">
        <f>+'WICHE Public Grads-RE PROJ'!ER12/'WICHE Public Grads-RE PROJ'!Y12</f>
        <v>3.177157915074208E-2</v>
      </c>
      <c r="DC11" s="268">
        <f>+'WICHE Public Grads-RE PROJ'!ES12/'WICHE Public Grads-RE PROJ'!Z12</f>
        <v>3.3576457715378462E-2</v>
      </c>
      <c r="DD11" s="268">
        <f>+'WICHE Public Grads-RE PROJ'!ET12/'WICHE Public Grads-RE PROJ'!AA12</f>
        <v>3.2873939469998038E-2</v>
      </c>
      <c r="DE11" s="268">
        <f>+'WICHE Public Grads-RE PROJ'!EU12/'WICHE Public Grads-RE PROJ'!AB12</f>
        <v>3.3133757978114305E-2</v>
      </c>
      <c r="DF11" s="266">
        <f>+'WICHE Public Grads-RE PROJ'!EV12/'WICHE Public Grads-RE PROJ'!AC12</f>
        <v>3.4919256260270939E-2</v>
      </c>
      <c r="DG11" s="266">
        <f>+'WICHE Public Grads-RE PROJ'!EW12/'WICHE Public Grads-RE PROJ'!AD12</f>
        <v>3.6258813599749501E-2</v>
      </c>
      <c r="DH11" s="266">
        <f>+'WICHE Public Grads-RE PROJ'!EX12/'WICHE Public Grads-RE PROJ'!AE12</f>
        <v>3.7208303145087988E-2</v>
      </c>
      <c r="DI11" s="266">
        <f>+'WICHE Public Grads-RE PROJ'!EY12/'WICHE Public Grads-RE PROJ'!AF12</f>
        <v>3.9152188941108744E-2</v>
      </c>
      <c r="DJ11" s="266">
        <f>+'WICHE Public Grads-RE PROJ'!EZ12/'WICHE Public Grads-RE PROJ'!AG12</f>
        <v>4.0442198344518891E-2</v>
      </c>
      <c r="DK11" s="268">
        <f>+'WICHE Public Grads-RE PROJ'!FA12/'WICHE Public Grads-RE PROJ'!AH12</f>
        <v>4.0442388997265204E-2</v>
      </c>
      <c r="DL11" s="266">
        <f>+'WICHE Public Grads-RE PROJ'!FB12/'WICHE Public Grads-RE PROJ'!AI12</f>
        <v>3.9621375607953355E-2</v>
      </c>
      <c r="DM11" s="266">
        <f>+'WICHE Public Grads-RE PROJ'!FC12/'WICHE Public Grads-RE PROJ'!AJ12</f>
        <v>3.9127215535127179E-2</v>
      </c>
      <c r="DN11" s="266">
        <f>+'WICHE Public Grads-RE PROJ'!FD12/'WICHE Public Grads-RE PROJ'!AK12</f>
        <v>4.1426088539803563E-2</v>
      </c>
      <c r="DO11" s="266">
        <f>+'WICHE Public Grads-RE PROJ'!FE12/'WICHE Public Grads-RE PROJ'!AL12</f>
        <v>4.2376902423559126E-2</v>
      </c>
      <c r="DP11" s="266">
        <f>+'WICHE Public Grads-RE PROJ'!FF12/'WICHE Public Grads-RE PROJ'!AM12</f>
        <v>4.2076744445192389E-2</v>
      </c>
      <c r="DQ11" s="266">
        <f>+'WICHE Public Grads-RE PROJ'!FG12/'WICHE Public Grads-RE PROJ'!AN12</f>
        <v>4.3459567350904997E-2</v>
      </c>
      <c r="DR11" s="266">
        <f>+'WICHE Public Grads-RE PROJ'!FH12/'WICHE Public Grads-RE PROJ'!AO12</f>
        <v>4.4346043096402055E-2</v>
      </c>
      <c r="DS11" s="266">
        <f>+'WICHE Public Grads-RE PROJ'!FI12/'WICHE Public Grads-RE PROJ'!AP12</f>
        <v>4.2809594879105441E-2</v>
      </c>
      <c r="DT11" s="282">
        <f>+'WICHE Public Grads-RE PROJ'!FJ12/'WICHE Public Grads-RE PROJ'!AQ12</f>
        <v>4.3007872029729055E-2</v>
      </c>
      <c r="DU11" s="262">
        <f>+'WICHE Public Grads-RE PROJ'!FK12/'WICHE Public Grads-RE PROJ'!B12</f>
        <v>0.20562802912227512</v>
      </c>
      <c r="DV11" s="262">
        <f>+'WICHE Public Grads-RE PROJ'!FL12/'WICHE Public Grads-RE PROJ'!C12</f>
        <v>0.20417542604106095</v>
      </c>
      <c r="DW11" s="262">
        <f>+'WICHE Public Grads-RE PROJ'!FM12/'WICHE Public Grads-RE PROJ'!D12</f>
        <v>0.20344874591057796</v>
      </c>
      <c r="DX11" s="262">
        <f>+'WICHE Public Grads-RE PROJ'!FN12/'WICHE Public Grads-RE PROJ'!E12</f>
        <v>0.20596257250047312</v>
      </c>
      <c r="DY11" s="262">
        <f>+'WICHE Public Grads-RE PROJ'!FO12/'WICHE Public Grads-RE PROJ'!F12</f>
        <v>0.21057349678402545</v>
      </c>
      <c r="DZ11" s="262">
        <f>+'WICHE Public Grads-RE PROJ'!FP12/'WICHE Public Grads-RE PROJ'!G12</f>
        <v>0.20728574050284457</v>
      </c>
      <c r="EA11" s="267">
        <f>+'WICHE Public Grads-RE PROJ'!FQ12/'WICHE Public Grads-RE PROJ'!H12</f>
        <v>0.21372007553452863</v>
      </c>
      <c r="EB11" s="267">
        <f>+'WICHE Public Grads-RE PROJ'!FR12/'WICHE Public Grads-RE PROJ'!I12</f>
        <v>0.21146445803137148</v>
      </c>
      <c r="EC11" s="267">
        <f>+'WICHE Public Grads-RE PROJ'!FS12/'WICHE Public Grads-RE PROJ'!J12</f>
        <v>0.21174607339655882</v>
      </c>
      <c r="ED11" s="267">
        <f>+'WICHE Public Grads-RE PROJ'!FT12/'WICHE Public Grads-RE PROJ'!K12</f>
        <v>0.21247030023759811</v>
      </c>
      <c r="EE11" s="262">
        <f>+'WICHE Public Grads-RE PROJ'!FU12/'WICHE Public Grads-RE PROJ'!L12</f>
        <v>0.20880564176782085</v>
      </c>
      <c r="EF11" s="267">
        <f>+'WICHE Public Grads-RE PROJ'!FV12/'WICHE Public Grads-RE PROJ'!M12</f>
        <v>0.20265288193028144</v>
      </c>
      <c r="EG11" s="267">
        <f>+'WICHE Public Grads-RE PROJ'!FW12/'WICHE Public Grads-RE PROJ'!N12</f>
        <v>0.20044438356998281</v>
      </c>
      <c r="EH11" s="267">
        <f>+'WICHE Public Grads-RE PROJ'!FX12/'WICHE Public Grads-RE PROJ'!O12</f>
        <v>0.19929041839811579</v>
      </c>
      <c r="EI11" s="267">
        <f>+'WICHE Public Grads-RE PROJ'!FY12/'WICHE Public Grads-RE PROJ'!P12</f>
        <v>0.1986769226200199</v>
      </c>
      <c r="EJ11" s="267">
        <f>+'WICHE Public Grads-RE PROJ'!FZ12/'WICHE Public Grads-RE PROJ'!Q12</f>
        <v>0.19748531106800485</v>
      </c>
      <c r="EK11" s="267">
        <f>+'WICHE Public Grads-RE PROJ'!GA12/'WICHE Public Grads-RE PROJ'!R12</f>
        <v>0.2028836734967728</v>
      </c>
      <c r="EL11" s="267">
        <f>+'WICHE Public Grads-RE PROJ'!GB12/'WICHE Public Grads-RE PROJ'!S12</f>
        <v>0.20961025928411778</v>
      </c>
      <c r="EM11" s="267">
        <f>+'WICHE Public Grads-RE PROJ'!GC12/'WICHE Public Grads-RE PROJ'!T12</f>
        <v>0.21615320566194837</v>
      </c>
      <c r="EN11" s="267">
        <f>+'WICHE Public Grads-RE PROJ'!GD12/'WICHE Public Grads-RE PROJ'!U12</f>
        <v>0.21607515452768136</v>
      </c>
      <c r="EO11" s="267">
        <f>+'WICHE Public Grads-RE PROJ'!GE12/'WICHE Public Grads-RE PROJ'!V12</f>
        <v>0.20941850412173035</v>
      </c>
      <c r="EP11" s="267">
        <f>+'WICHE Public Grads-RE PROJ'!GF12/'WICHE Public Grads-RE PROJ'!W12</f>
        <v>0.21292342902568834</v>
      </c>
      <c r="EQ11" s="268">
        <f>+'WICHE Public Grads-RE PROJ'!GG12/'WICHE Public Grads-RE PROJ'!Y12</f>
        <v>0.21405633868860888</v>
      </c>
      <c r="ER11" s="268">
        <f>+'WICHE Public Grads-RE PROJ'!GH12/'WICHE Public Grads-RE PROJ'!Z12</f>
        <v>0.2150964688521938</v>
      </c>
      <c r="ES11" s="268">
        <f>+'WICHE Public Grads-RE PROJ'!GI12/'WICHE Public Grads-RE PROJ'!AA12</f>
        <v>0.21302175758492345</v>
      </c>
      <c r="ET11" s="268">
        <f>+'WICHE Public Grads-RE PROJ'!GJ12/'WICHE Public Grads-RE PROJ'!AB12</f>
        <v>0.2146333159151835</v>
      </c>
      <c r="EU11" s="266">
        <f>+'WICHE Public Grads-RE PROJ'!GK12/'WICHE Public Grads-RE PROJ'!AC12</f>
        <v>0.21807173496343216</v>
      </c>
      <c r="EV11" s="266">
        <f>+'WICHE Public Grads-RE PROJ'!GL12/'WICHE Public Grads-RE PROJ'!AD12</f>
        <v>0.21894409621999941</v>
      </c>
      <c r="EW11" s="266">
        <f>+'WICHE Public Grads-RE PROJ'!GM12/'WICHE Public Grads-RE PROJ'!AE12</f>
        <v>0.21906624210019293</v>
      </c>
      <c r="EX11" s="266">
        <f>+'WICHE Public Grads-RE PROJ'!GN12/'WICHE Public Grads-RE PROJ'!AF12</f>
        <v>0.21715678905023056</v>
      </c>
      <c r="EY11" s="266">
        <f>+'WICHE Public Grads-RE PROJ'!GO12/'WICHE Public Grads-RE PROJ'!AG12</f>
        <v>0.2149271200115089</v>
      </c>
      <c r="EZ11" s="268">
        <f>+'WICHE Public Grads-RE PROJ'!GP12/'WICHE Public Grads-RE PROJ'!AH12</f>
        <v>0.21955307607009383</v>
      </c>
      <c r="FA11" s="266">
        <f>+'WICHE Public Grads-RE PROJ'!GQ12/'WICHE Public Grads-RE PROJ'!AI12</f>
        <v>0.22024608916428839</v>
      </c>
      <c r="FB11" s="266">
        <f>+'WICHE Public Grads-RE PROJ'!GR12/'WICHE Public Grads-RE PROJ'!AJ12</f>
        <v>0.22420913802798215</v>
      </c>
      <c r="FC11" s="266">
        <f>+'WICHE Public Grads-RE PROJ'!GS12/'WICHE Public Grads-RE PROJ'!AK12</f>
        <v>0.22775991376341503</v>
      </c>
      <c r="FD11" s="266">
        <f>+'WICHE Public Grads-RE PROJ'!GT12/'WICHE Public Grads-RE PROJ'!AL12</f>
        <v>0.23379231867196168</v>
      </c>
      <c r="FE11" s="266">
        <f>+'WICHE Public Grads-RE PROJ'!GU12/'WICHE Public Grads-RE PROJ'!AM12</f>
        <v>0.23610892624288332</v>
      </c>
      <c r="FF11" s="266">
        <f>+'WICHE Public Grads-RE PROJ'!GV12/'WICHE Public Grads-RE PROJ'!AN12</f>
        <v>0.23470732635165301</v>
      </c>
      <c r="FG11" s="266">
        <f>+'WICHE Public Grads-RE PROJ'!GW12/'WICHE Public Grads-RE PROJ'!AO12</f>
        <v>0.23651167112979884</v>
      </c>
      <c r="FH11" s="266">
        <f>+'WICHE Public Grads-RE PROJ'!GX12/'WICHE Public Grads-RE PROJ'!AP12</f>
        <v>0.23248210931728922</v>
      </c>
      <c r="FI11" s="282">
        <f>+'WICHE Public Grads-RE PROJ'!GY12/'WICHE Public Grads-RE PROJ'!AQ12</f>
        <v>0.22857316158562463</v>
      </c>
      <c r="FJ11" s="262">
        <f>+'WICHE Public Grads-RE PROJ'!GZ12/'WICHE Public Grads-RE PROJ'!B12</f>
        <v>0.12279821508636335</v>
      </c>
      <c r="FK11" s="262">
        <f>+'WICHE Public Grads-RE PROJ'!HA12/'WICHE Public Grads-RE PROJ'!C12</f>
        <v>0.13208391107930403</v>
      </c>
      <c r="FL11" s="262">
        <f>+'WICHE Public Grads-RE PROJ'!HB12/'WICHE Public Grads-RE PROJ'!D12</f>
        <v>0.14057388222464559</v>
      </c>
      <c r="FM11" s="262">
        <f>+'WICHE Public Grads-RE PROJ'!HC12/'WICHE Public Grads-RE PROJ'!E12</f>
        <v>0.1434089972948</v>
      </c>
      <c r="FN11" s="262">
        <f>+'WICHE Public Grads-RE PROJ'!HD12/'WICHE Public Grads-RE PROJ'!F12</f>
        <v>0.14766589722328052</v>
      </c>
      <c r="FO11" s="262">
        <f>+'WICHE Public Grads-RE PROJ'!HE12/'WICHE Public Grads-RE PROJ'!G12</f>
        <v>0.13910809322811524</v>
      </c>
      <c r="FP11" s="267">
        <f>+'WICHE Public Grads-RE PROJ'!HF12/'WICHE Public Grads-RE PROJ'!H12</f>
        <v>0.14319072468476518</v>
      </c>
      <c r="FQ11" s="267">
        <f>+'WICHE Public Grads-RE PROJ'!HG12/'WICHE Public Grads-RE PROJ'!I12</f>
        <v>0.14663137538335319</v>
      </c>
      <c r="FR11" s="267">
        <f>+'WICHE Public Grads-RE PROJ'!HH12/'WICHE Public Grads-RE PROJ'!J12</f>
        <v>0.15080406342542266</v>
      </c>
      <c r="FS11" s="267">
        <f>+'WICHE Public Grads-RE PROJ'!HI12/'WICHE Public Grads-RE PROJ'!K12</f>
        <v>0.16148570811433507</v>
      </c>
      <c r="FT11" s="262">
        <f>+'WICHE Public Grads-RE PROJ'!HJ12/'WICHE Public Grads-RE PROJ'!L12</f>
        <v>0.16787270886838385</v>
      </c>
      <c r="FU11" s="267">
        <f>+'WICHE Public Grads-RE PROJ'!HK12/'WICHE Public Grads-RE PROJ'!M12</f>
        <v>0.17289228452197922</v>
      </c>
      <c r="FV11" s="267">
        <f>+'WICHE Public Grads-RE PROJ'!HL12/'WICHE Public Grads-RE PROJ'!N12</f>
        <v>0.18205268684655071</v>
      </c>
      <c r="FW11" s="267">
        <f>+'WICHE Public Grads-RE PROJ'!HM12/'WICHE Public Grads-RE PROJ'!O12</f>
        <v>0.18999684963770833</v>
      </c>
      <c r="FX11" s="267">
        <f>+'WICHE Public Grads-RE PROJ'!HN12/'WICHE Public Grads-RE PROJ'!P12</f>
        <v>0.19671680798301233</v>
      </c>
      <c r="FY11" s="267">
        <f>+'WICHE Public Grads-RE PROJ'!HO12/'WICHE Public Grads-RE PROJ'!Q12</f>
        <v>0.20284079727868207</v>
      </c>
      <c r="FZ11" s="267">
        <f>+'WICHE Public Grads-RE PROJ'!HP12/'WICHE Public Grads-RE PROJ'!R12</f>
        <v>0.21282691249681307</v>
      </c>
      <c r="GA11" s="267">
        <f>+'WICHE Public Grads-RE PROJ'!HQ12/'WICHE Public Grads-RE PROJ'!S12</f>
        <v>0.22206945087025368</v>
      </c>
      <c r="GB11" s="267">
        <f>+'WICHE Public Grads-RE PROJ'!HR12/'WICHE Public Grads-RE PROJ'!T12</f>
        <v>0.23311983603407416</v>
      </c>
      <c r="GC11" s="267">
        <f>+'WICHE Public Grads-RE PROJ'!HS12/'WICHE Public Grads-RE PROJ'!U12</f>
        <v>0.24833272237335444</v>
      </c>
      <c r="GD11" s="267">
        <f>+'WICHE Public Grads-RE PROJ'!HT12/'WICHE Public Grads-RE PROJ'!V12</f>
        <v>0.25126345713458453</v>
      </c>
      <c r="GE11" s="267">
        <f>+'WICHE Public Grads-RE PROJ'!HU12/'WICHE Public Grads-RE PROJ'!W12</f>
        <v>0.26583728303032989</v>
      </c>
      <c r="GF11" s="268">
        <f>+'WICHE Public Grads-RE PROJ'!HV12/'WICHE Public Grads-RE PROJ'!Y12</f>
        <v>0.27279570790116331</v>
      </c>
      <c r="GG11" s="268">
        <f>+'WICHE Public Grads-RE PROJ'!HW12/'WICHE Public Grads-RE PROJ'!Z12</f>
        <v>0.281990914353976</v>
      </c>
      <c r="GH11" s="268">
        <f>+'WICHE Public Grads-RE PROJ'!HX12/'WICHE Public Grads-RE PROJ'!AA12</f>
        <v>0.29191298003587784</v>
      </c>
      <c r="GI11" s="268">
        <f>+'WICHE Public Grads-RE PROJ'!HY12/'WICHE Public Grads-RE PROJ'!AB12</f>
        <v>0.30045694197227746</v>
      </c>
      <c r="GJ11" s="266">
        <f>+'WICHE Public Grads-RE PROJ'!HZ12/'WICHE Public Grads-RE PROJ'!AC12</f>
        <v>0.30775652333397624</v>
      </c>
      <c r="GK11" s="266">
        <f>+'WICHE Public Grads-RE PROJ'!IA12/'WICHE Public Grads-RE PROJ'!AD12</f>
        <v>0.31717152325550274</v>
      </c>
      <c r="GL11" s="266">
        <f>+'WICHE Public Grads-RE PROJ'!IB12/'WICHE Public Grads-RE PROJ'!AE12</f>
        <v>0.32548516337987055</v>
      </c>
      <c r="GM11" s="266">
        <f>+'WICHE Public Grads-RE PROJ'!IC12/'WICHE Public Grads-RE PROJ'!AF12</f>
        <v>0.33667521936332362</v>
      </c>
      <c r="GN11" s="266">
        <f>+'WICHE Public Grads-RE PROJ'!ID12/'WICHE Public Grads-RE PROJ'!AG12</f>
        <v>0.34511079362797109</v>
      </c>
      <c r="GO11" s="268">
        <f>+'WICHE Public Grads-RE PROJ'!IE12/'WICHE Public Grads-RE PROJ'!AH12</f>
        <v>0.35295581474927462</v>
      </c>
      <c r="GP11" s="266">
        <f>+'WICHE Public Grads-RE PROJ'!IF12/'WICHE Public Grads-RE PROJ'!AI12</f>
        <v>0.36598983557513393</v>
      </c>
      <c r="GQ11" s="266">
        <f>+'WICHE Public Grads-RE PROJ'!IG12/'WICHE Public Grads-RE PROJ'!AJ12</f>
        <v>0.37713277691904451</v>
      </c>
      <c r="GR11" s="266">
        <f>+'WICHE Public Grads-RE PROJ'!IH12/'WICHE Public Grads-RE PROJ'!AK12</f>
        <v>0.36267876364744495</v>
      </c>
      <c r="GS11" s="266">
        <f>+'WICHE Public Grads-RE PROJ'!II12/'WICHE Public Grads-RE PROJ'!AL12</f>
        <v>0.35452728639280606</v>
      </c>
      <c r="GT11" s="266">
        <f>+'WICHE Public Grads-RE PROJ'!IJ12/'WICHE Public Grads-RE PROJ'!AM12</f>
        <v>0.35046341042097406</v>
      </c>
      <c r="GU11" s="266">
        <f>+'WICHE Public Grads-RE PROJ'!IK12/'WICHE Public Grads-RE PROJ'!AN12</f>
        <v>0.34734553037034632</v>
      </c>
      <c r="GV11" s="266">
        <f>+'WICHE Public Grads-RE PROJ'!IL12/'WICHE Public Grads-RE PROJ'!AO12</f>
        <v>0.34371339074194734</v>
      </c>
      <c r="GW11" s="266">
        <f>+'WICHE Public Grads-RE PROJ'!IM12/'WICHE Public Grads-RE PROJ'!AP12</f>
        <v>0.34783173315172461</v>
      </c>
      <c r="GX11" s="282">
        <f>+'WICHE Public Grads-RE PROJ'!IN12/'WICHE Public Grads-RE PROJ'!AQ12</f>
        <v>0.35552128225434154</v>
      </c>
      <c r="GY11" s="262">
        <f>+'WICHE Public Grads-RE PROJ'!IO12/'WICHE Public Grads-RE PROJ'!B12</f>
        <v>0.64551529773469696</v>
      </c>
      <c r="GZ11" s="262">
        <f>+'WICHE Public Grads-RE PROJ'!IP12/'WICHE Public Grads-RE PROJ'!C12</f>
        <v>0.63664624055105778</v>
      </c>
      <c r="HA11" s="262">
        <f>+'WICHE Public Grads-RE PROJ'!IQ12/'WICHE Public Grads-RE PROJ'!D12</f>
        <v>0.62657897128316975</v>
      </c>
      <c r="HB11" s="262">
        <f>+'WICHE Public Grads-RE PROJ'!IR12/'WICHE Public Grads-RE PROJ'!E12</f>
        <v>0.62136106070557851</v>
      </c>
      <c r="HC11" s="262">
        <f>+'WICHE Public Grads-RE PROJ'!IS12/'WICHE Public Grads-RE PROJ'!F12</f>
        <v>0.61206606754667081</v>
      </c>
      <c r="HD11" s="262">
        <f>+'WICHE Public Grads-RE PROJ'!IT12/'WICHE Public Grads-RE PROJ'!G12</f>
        <v>0.62449786912991168</v>
      </c>
      <c r="HE11" s="267">
        <f>+'WICHE Public Grads-RE PROJ'!IU12/'WICHE Public Grads-RE PROJ'!H12</f>
        <v>0.61320026802574668</v>
      </c>
      <c r="HF11" s="267">
        <f>+'WICHE Public Grads-RE PROJ'!IV12/'WICHE Public Grads-RE PROJ'!I12</f>
        <v>0.61164612349344638</v>
      </c>
      <c r="HG11" s="267">
        <f>+'WICHE Public Grads-RE PROJ'!IW12/'WICHE Public Grads-RE PROJ'!J12</f>
        <v>0.60649623270982489</v>
      </c>
      <c r="HH11" s="267">
        <f>+'WICHE Public Grads-RE PROJ'!IX12/'WICHE Public Grads-RE PROJ'!K12</f>
        <v>0.59584023327813374</v>
      </c>
      <c r="HI11" s="262">
        <f>+'WICHE Public Grads-RE PROJ'!IY12/'WICHE Public Grads-RE PROJ'!L12</f>
        <v>0.5928039017208061</v>
      </c>
      <c r="HJ11" s="267">
        <f>+'WICHE Public Grads-RE PROJ'!IZ12/'WICHE Public Grads-RE PROJ'!M12</f>
        <v>0.59529823350381228</v>
      </c>
      <c r="HK11" s="267">
        <f>+'WICHE Public Grads-RE PROJ'!JA12/'WICHE Public Grads-RE PROJ'!N12</f>
        <v>0.58679176368533992</v>
      </c>
      <c r="HL11" s="267">
        <f>+'WICHE Public Grads-RE PROJ'!JB12/'WICHE Public Grads-RE PROJ'!O12</f>
        <v>0.57864654435260054</v>
      </c>
      <c r="HM11" s="267">
        <f>+'WICHE Public Grads-RE PROJ'!JC12/'WICHE Public Grads-RE PROJ'!P12</f>
        <v>0.57155160892743118</v>
      </c>
      <c r="HN11" s="267">
        <f>+'WICHE Public Grads-RE PROJ'!JD12/'WICHE Public Grads-RE PROJ'!Q12</f>
        <v>0.55110202130949371</v>
      </c>
      <c r="HO11" s="267">
        <f>+'WICHE Public Grads-RE PROJ'!JE12/'WICHE Public Grads-RE PROJ'!R12</f>
        <v>0.53403647196167625</v>
      </c>
      <c r="HP11" s="267">
        <f>+'WICHE Public Grads-RE PROJ'!JF12/'WICHE Public Grads-RE PROJ'!S12</f>
        <v>0.5143521806843433</v>
      </c>
      <c r="HQ11" s="267">
        <f>+'WICHE Public Grads-RE PROJ'!JG12/'WICHE Public Grads-RE PROJ'!T12</f>
        <v>0.49558060590533531</v>
      </c>
      <c r="HR11" s="267">
        <f>+'WICHE Public Grads-RE PROJ'!JH12/'WICHE Public Grads-RE PROJ'!U12</f>
        <v>0.50239488736732785</v>
      </c>
      <c r="HS11" s="267">
        <f>+'WICHE Public Grads-RE PROJ'!JI12/'WICHE Public Grads-RE PROJ'!V12</f>
        <v>0.50431032963585909</v>
      </c>
      <c r="HT11" s="267">
        <f>+'WICHE Public Grads-RE PROJ'!JJ12/'WICHE Public Grads-RE PROJ'!W12</f>
        <v>0.48562900123568625</v>
      </c>
      <c r="HU11" s="268">
        <f>+'WICHE Public Grads-RE PROJ'!JK12/'WICHE Public Grads-RE PROJ'!Y12</f>
        <v>0.47605140385304218</v>
      </c>
      <c r="HV11" s="268">
        <f>+'WICHE Public Grads-RE PROJ'!JL12/'WICHE Public Grads-RE PROJ'!Z12</f>
        <v>0.46775355443118066</v>
      </c>
      <c r="HW11" s="268">
        <f>+'WICHE Public Grads-RE PROJ'!JM12/'WICHE Public Grads-RE PROJ'!AA12</f>
        <v>0.46602729856784525</v>
      </c>
      <c r="HX11" s="268">
        <f>+'WICHE Public Grads-RE PROJ'!JN12/'WICHE Public Grads-RE PROJ'!AB12</f>
        <v>0.46010434727767885</v>
      </c>
      <c r="HY11" s="266">
        <f>+'WICHE Public Grads-RE PROJ'!JO12/'WICHE Public Grads-RE PROJ'!AC12</f>
        <v>0.4515990856669479</v>
      </c>
      <c r="HZ11" s="266">
        <f>+'WICHE Public Grads-RE PROJ'!JP12/'WICHE Public Grads-RE PROJ'!AD12</f>
        <v>0.44498648119895445</v>
      </c>
      <c r="IA11" s="266">
        <f>+'WICHE Public Grads-RE PROJ'!JQ12/'WICHE Public Grads-RE PROJ'!AE12</f>
        <v>0.44173400165395332</v>
      </c>
      <c r="IB11" s="266">
        <f>+'WICHE Public Grads-RE PROJ'!JR12/'WICHE Public Grads-RE PROJ'!AF12</f>
        <v>0.43806304122984979</v>
      </c>
      <c r="IC11" s="266">
        <f>+'WICHE Public Grads-RE PROJ'!JS12/'WICHE Public Grads-RE PROJ'!AG12</f>
        <v>0.43779846530102451</v>
      </c>
      <c r="ID11" s="268">
        <f>+'WICHE Public Grads-RE PROJ'!JT12/'WICHE Public Grads-RE PROJ'!AH12</f>
        <v>0.43144749582103437</v>
      </c>
      <c r="IE11" s="266">
        <f>+'WICHE Public Grads-RE PROJ'!JU12/'WICHE Public Grads-RE PROJ'!AI12</f>
        <v>0.42593530348118025</v>
      </c>
      <c r="IF11" s="266">
        <f>+'WICHE Public Grads-RE PROJ'!JV12/'WICHE Public Grads-RE PROJ'!AJ12</f>
        <v>0.41895679871523916</v>
      </c>
      <c r="IG11" s="266">
        <f>+'WICHE Public Grads-RE PROJ'!JW12/'WICHE Public Grads-RE PROJ'!AK12</f>
        <v>0.41942035676326633</v>
      </c>
      <c r="IH11" s="266">
        <f>+'WICHE Public Grads-RE PROJ'!JX12/'WICHE Public Grads-RE PROJ'!AL12</f>
        <v>0.41921965977546427</v>
      </c>
      <c r="II11" s="266">
        <f>+'WICHE Public Grads-RE PROJ'!JY12/'WICHE Public Grads-RE PROJ'!AM12</f>
        <v>0.42173711340269943</v>
      </c>
      <c r="IJ11" s="266">
        <f>+'WICHE Public Grads-RE PROJ'!JZ12/'WICHE Public Grads-RE PROJ'!AN12</f>
        <v>0.42019294011701203</v>
      </c>
      <c r="IK11" s="266">
        <f>+'WICHE Public Grads-RE PROJ'!KA12/'WICHE Public Grads-RE PROJ'!AO12</f>
        <v>0.41899314828632678</v>
      </c>
      <c r="IL11" s="266">
        <f>+'WICHE Public Grads-RE PROJ'!KB12/'WICHE Public Grads-RE PROJ'!AP12</f>
        <v>0.42072579115025666</v>
      </c>
      <c r="IM11" s="282">
        <f>+'WICHE Public Grads-RE PROJ'!KC12/'WICHE Public Grads-RE PROJ'!AQ12</f>
        <v>0.42149698158675081</v>
      </c>
      <c r="IN11" s="278">
        <f t="shared" si="5"/>
        <v>1</v>
      </c>
      <c r="IO11" s="278">
        <f t="shared" si="6"/>
        <v>1</v>
      </c>
      <c r="IP11" s="278">
        <f t="shared" si="7"/>
        <v>1</v>
      </c>
      <c r="IQ11" s="278">
        <f t="shared" si="8"/>
        <v>1</v>
      </c>
      <c r="IR11" s="278">
        <f t="shared" si="9"/>
        <v>1</v>
      </c>
      <c r="IS11" s="278">
        <f t="shared" si="10"/>
        <v>1</v>
      </c>
      <c r="IT11" s="278">
        <f t="shared" si="11"/>
        <v>1</v>
      </c>
      <c r="IU11" s="278">
        <f t="shared" si="12"/>
        <v>1</v>
      </c>
      <c r="IV11" s="278">
        <f t="shared" si="13"/>
        <v>1</v>
      </c>
      <c r="IW11" s="278">
        <f t="shared" si="14"/>
        <v>1</v>
      </c>
      <c r="IX11" s="278">
        <f t="shared" si="15"/>
        <v>1</v>
      </c>
      <c r="IY11" s="278">
        <f t="shared" si="16"/>
        <v>1</v>
      </c>
      <c r="IZ11" s="278">
        <f t="shared" si="17"/>
        <v>1</v>
      </c>
      <c r="JA11" s="278">
        <f t="shared" si="18"/>
        <v>1</v>
      </c>
      <c r="JB11" s="278">
        <f t="shared" si="19"/>
        <v>1</v>
      </c>
      <c r="JC11" s="278">
        <f t="shared" si="20"/>
        <v>0.98403193612774453</v>
      </c>
      <c r="JD11" s="278">
        <f t="shared" si="21"/>
        <v>0.98126752814567308</v>
      </c>
      <c r="JE11" s="278">
        <f t="shared" si="22"/>
        <v>0.97787711535829958</v>
      </c>
      <c r="JF11" s="278">
        <f t="shared" si="23"/>
        <v>0.977147249087299</v>
      </c>
      <c r="JG11" s="278">
        <f t="shared" si="24"/>
        <v>1</v>
      </c>
      <c r="JH11" s="278">
        <f t="shared" si="25"/>
        <v>1</v>
      </c>
      <c r="JI11" s="278">
        <f t="shared" si="26"/>
        <v>1</v>
      </c>
      <c r="JJ11" s="278">
        <f t="shared" si="27"/>
        <v>0.99837054388005209</v>
      </c>
      <c r="JK11" s="278">
        <f t="shared" si="28"/>
        <v>1.0024827722260206</v>
      </c>
      <c r="JL11" s="278">
        <f t="shared" si="29"/>
        <v>1.0084189113456343</v>
      </c>
      <c r="JM11" s="278">
        <f t="shared" si="30"/>
        <v>1.0126703807507966</v>
      </c>
      <c r="JN11" s="278">
        <f t="shared" si="31"/>
        <v>1.0166612747610035</v>
      </c>
      <c r="JO11" s="278">
        <f t="shared" si="32"/>
        <v>1.0216575134122148</v>
      </c>
      <c r="JP11" s="278">
        <f t="shared" si="33"/>
        <v>1.0279998172508487</v>
      </c>
      <c r="JQ11" s="278">
        <f t="shared" si="34"/>
        <v>1.0353282285927068</v>
      </c>
      <c r="JR11" s="278">
        <f t="shared" si="35"/>
        <v>1.0420428334811123</v>
      </c>
      <c r="JS11" s="278">
        <f t="shared" si="36"/>
        <v>1.0475897314284812</v>
      </c>
      <c r="JT11" s="278">
        <f t="shared" si="37"/>
        <v>1.0551649081654455</v>
      </c>
      <c r="JU11" s="278">
        <f t="shared" si="38"/>
        <v>1.0628738569545484</v>
      </c>
      <c r="JV11" s="278">
        <f t="shared" si="39"/>
        <v>1.0543650058354814</v>
      </c>
      <c r="JW11" s="278">
        <f t="shared" si="40"/>
        <v>1.0527941574805273</v>
      </c>
      <c r="JX11" s="278">
        <f t="shared" si="41"/>
        <v>1.0522460101533511</v>
      </c>
      <c r="JY11" s="278">
        <f t="shared" si="42"/>
        <v>1.0477383156778175</v>
      </c>
      <c r="JZ11" s="278">
        <f t="shared" si="42"/>
        <v>1.0455643313131817</v>
      </c>
      <c r="KA11" s="278">
        <f t="shared" si="42"/>
        <v>1.0456920440806736</v>
      </c>
      <c r="KB11" s="278">
        <f t="shared" si="42"/>
        <v>1.0505648188185068</v>
      </c>
    </row>
    <row r="12" spans="1:288" s="17" customFormat="1">
      <c r="A12" s="173" t="s">
        <v>37</v>
      </c>
      <c r="B12" s="262" t="e">
        <f>+'WICHE Public Grads-RE PROJ'!AR13/'WICHE Public Grads-RE PROJ'!B13</f>
        <v>#VALUE!</v>
      </c>
      <c r="C12" s="262">
        <f>+'WICHE Public Grads-RE PROJ'!AS13/'WICHE Public Grads-RE PROJ'!C13</f>
        <v>1.8141731189889241E-2</v>
      </c>
      <c r="D12" s="262">
        <f>+'WICHE Public Grads-RE PROJ'!AT13/'WICHE Public Grads-RE PROJ'!D13</f>
        <v>2.0973809354815815E-2</v>
      </c>
      <c r="E12" s="262">
        <f>+'WICHE Public Grads-RE PROJ'!AU13/'WICHE Public Grads-RE PROJ'!E13</f>
        <v>1.9925873632192021E-2</v>
      </c>
      <c r="F12" s="262">
        <f>+'WICHE Public Grads-RE PROJ'!AV13/'WICHE Public Grads-RE PROJ'!F13</f>
        <v>1.8730784951395924E-2</v>
      </c>
      <c r="G12" s="262">
        <f>+'WICHE Public Grads-RE PROJ'!AW13/'WICHE Public Grads-RE PROJ'!G13</f>
        <v>2.1509932876805207E-2</v>
      </c>
      <c r="H12" s="267">
        <f>+'WICHE Public Grads-RE PROJ'!AX13/'WICHE Public Grads-RE PROJ'!H13</f>
        <v>2.4895343870140967E-2</v>
      </c>
      <c r="I12" s="267">
        <f>+'WICHE Public Grads-RE PROJ'!AY13/'WICHE Public Grads-RE PROJ'!I13</f>
        <v>2.6812095834669997E-2</v>
      </c>
      <c r="J12" s="267">
        <f>+'WICHE Public Grads-RE PROJ'!AZ13/'WICHE Public Grads-RE PROJ'!J13</f>
        <v>2.8739031056694852E-2</v>
      </c>
      <c r="K12" s="267">
        <f>+'WICHE Public Grads-RE PROJ'!BA13/'WICHE Public Grads-RE PROJ'!K13</f>
        <v>3.3120529928478859E-2</v>
      </c>
      <c r="L12" s="262">
        <f>+'WICHE Public Grads-RE PROJ'!BB13/'WICHE Public Grads-RE PROJ'!L13</f>
        <v>3.3826894806237968E-2</v>
      </c>
      <c r="M12" s="267">
        <f>+'WICHE Public Grads-RE PROJ'!BC13/'WICHE Public Grads-RE PROJ'!M13</f>
        <v>3.3756914336971144E-2</v>
      </c>
      <c r="N12" s="267">
        <f>+'WICHE Public Grads-RE PROJ'!BD13/'WICHE Public Grads-RE PROJ'!N13</f>
        <v>3.4252370532458061E-2</v>
      </c>
      <c r="O12" s="267">
        <f>+'WICHE Public Grads-RE PROJ'!BE13/'WICHE Public Grads-RE PROJ'!O13</f>
        <v>3.4305559477087272E-2</v>
      </c>
      <c r="P12" s="267">
        <f>+'WICHE Public Grads-RE PROJ'!BF13/'WICHE Public Grads-RE PROJ'!P13</f>
        <v>3.6830934175079592E-2</v>
      </c>
      <c r="Q12" s="267">
        <f>+'WICHE Public Grads-RE PROJ'!BG13/'WICHE Public Grads-RE PROJ'!Q13</f>
        <v>3.7158385691708748E-2</v>
      </c>
      <c r="R12" s="267">
        <f>+'WICHE Public Grads-RE PROJ'!BH13/'WICHE Public Grads-RE PROJ'!R13</f>
        <v>3.6081671756182265E-2</v>
      </c>
      <c r="S12" s="267">
        <f>+'WICHE Public Grads-RE PROJ'!BI13/'WICHE Public Grads-RE PROJ'!S13</f>
        <v>3.6828289944660975E-2</v>
      </c>
      <c r="T12" s="267">
        <f>+'WICHE Public Grads-RE PROJ'!BJ13/'WICHE Public Grads-RE PROJ'!T13</f>
        <v>4.0480178732903757E-2</v>
      </c>
      <c r="U12" s="267">
        <f>+'WICHE Public Grads-RE PROJ'!BK13/'WICHE Public Grads-RE PROJ'!U13</f>
        <v>4.1270257473614236E-2</v>
      </c>
      <c r="V12" s="262">
        <f>+'WICHE Public Grads-RE PROJ'!BL13/'WICHE Public Grads-RE PROJ'!V13</f>
        <v>4.3295126901767365E-2</v>
      </c>
      <c r="W12" s="262">
        <f>+'WICHE Public Grads-RE PROJ'!BM13/'WICHE Public Grads-RE PROJ'!W13</f>
        <v>4.4353988710063547E-2</v>
      </c>
      <c r="X12" s="266">
        <f>+'WICHE Public Grads-RE PROJ'!BN13/'WICHE Public Grads-RE PROJ'!Y13</f>
        <v>4.5493992775172534E-2</v>
      </c>
      <c r="Y12" s="266">
        <f>+'WICHE Public Grads-RE PROJ'!BO13/'WICHE Public Grads-RE PROJ'!Z13</f>
        <v>4.6946594129234701E-2</v>
      </c>
      <c r="Z12" s="266">
        <f>+'WICHE Public Grads-RE PROJ'!BP13/'WICHE Public Grads-RE PROJ'!AA13</f>
        <v>4.7491747329430262E-2</v>
      </c>
      <c r="AA12" s="268">
        <f>+'WICHE Public Grads-RE PROJ'!BQ13/'WICHE Public Grads-RE PROJ'!AB13</f>
        <v>4.7585117897488989E-2</v>
      </c>
      <c r="AB12" s="266">
        <f>+'WICHE Public Grads-RE PROJ'!BR13/'WICHE Public Grads-RE PROJ'!AC13</f>
        <v>4.9550482185003561E-2</v>
      </c>
      <c r="AC12" s="266">
        <f>+'WICHE Public Grads-RE PROJ'!BS13/'WICHE Public Grads-RE PROJ'!AD13</f>
        <v>5.1704308927284233E-2</v>
      </c>
      <c r="AD12" s="266">
        <f>+'WICHE Public Grads-RE PROJ'!BT13/'WICHE Public Grads-RE PROJ'!AE13</f>
        <v>5.3709596015445629E-2</v>
      </c>
      <c r="AE12" s="266">
        <f>+'WICHE Public Grads-RE PROJ'!BU13/'WICHE Public Grads-RE PROJ'!AF13</f>
        <v>5.7548269459911351E-2</v>
      </c>
      <c r="AF12" s="266">
        <f>+'WICHE Public Grads-RE PROJ'!BV13/'WICHE Public Grads-RE PROJ'!AG13</f>
        <v>5.9485216256151406E-2</v>
      </c>
      <c r="AG12" s="268">
        <f>+'WICHE Public Grads-RE PROJ'!BW13/'WICHE Public Grads-RE PROJ'!AH13</f>
        <v>5.9366088320234808E-2</v>
      </c>
      <c r="AH12" s="266">
        <f>+'WICHE Public Grads-RE PROJ'!BX13/'WICHE Public Grads-RE PROJ'!AI13</f>
        <v>5.8813066944036811E-2</v>
      </c>
      <c r="AI12" s="266">
        <f>+'WICHE Public Grads-RE PROJ'!BY13/'WICHE Public Grads-RE PROJ'!AJ13</f>
        <v>6.0053306391741043E-2</v>
      </c>
      <c r="AJ12" s="266">
        <f>+'WICHE Public Grads-RE PROJ'!BZ13/'WICHE Public Grads-RE PROJ'!AK13</f>
        <v>6.2439959497917405E-2</v>
      </c>
      <c r="AK12" s="266">
        <f>+'WICHE Public Grads-RE PROJ'!CA13/'WICHE Public Grads-RE PROJ'!AL13</f>
        <v>6.4828003544556589E-2</v>
      </c>
      <c r="AL12" s="266">
        <f>+'WICHE Public Grads-RE PROJ'!CB13/'WICHE Public Grads-RE PROJ'!AM13</f>
        <v>6.6490474000869035E-2</v>
      </c>
      <c r="AM12" s="266">
        <f>+'WICHE Public Grads-RE PROJ'!CC13/'WICHE Public Grads-RE PROJ'!AN13</f>
        <v>7.105518348049894E-2</v>
      </c>
      <c r="AN12" s="266">
        <f>+'WICHE Public Grads-RE PROJ'!CD13/'WICHE Public Grads-RE PROJ'!AO13</f>
        <v>7.4039046368605824E-2</v>
      </c>
      <c r="AO12" s="266">
        <f>+'WICHE Public Grads-RE PROJ'!CE13/'WICHE Public Grads-RE PROJ'!AP13</f>
        <v>7.2107180751473321E-2</v>
      </c>
      <c r="AP12" s="282">
        <f>+'WICHE Public Grads-RE PROJ'!CF13/'WICHE Public Grads-RE PROJ'!AQ13</f>
        <v>7.6589712432726956E-2</v>
      </c>
      <c r="AQ12" s="262" t="e">
        <f>+'WICHE Public Grads-RE PROJ'!CG13/'WICHE Public Grads-RE PROJ'!B13</f>
        <v>#VALUE!</v>
      </c>
      <c r="AR12" s="262">
        <f>+'WICHE Public Grads-RE PROJ'!CH13/'WICHE Public Grads-RE PROJ'!C13</f>
        <v>1.440922190201729E-3</v>
      </c>
      <c r="AS12" s="262">
        <f>+'WICHE Public Grads-RE PROJ'!CI13/'WICHE Public Grads-RE PROJ'!D13</f>
        <v>1.3663141457874938E-3</v>
      </c>
      <c r="AT12" s="262">
        <f>+'WICHE Public Grads-RE PROJ'!CJ13/'WICHE Public Grads-RE PROJ'!E13</f>
        <v>1.1648429226967878E-3</v>
      </c>
      <c r="AU12" s="262">
        <f>+'WICHE Public Grads-RE PROJ'!CK13/'WICHE Public Grads-RE PROJ'!F13</f>
        <v>6.2199001261751164E-4</v>
      </c>
      <c r="AV12" s="262">
        <f>+'WICHE Public Grads-RE PROJ'!CL13/'WICHE Public Grads-RE PROJ'!G13</f>
        <v>1.2373720252220489E-3</v>
      </c>
      <c r="AW12" s="267">
        <f>+'WICHE Public Grads-RE PROJ'!CM13/'WICHE Public Grads-RE PROJ'!H13</f>
        <v>1.3156770610850063E-3</v>
      </c>
      <c r="AX12" s="267">
        <f>+'WICHE Public Grads-RE PROJ'!CN13/'WICHE Public Grads-RE PROJ'!I13</f>
        <v>1.1818933932159319E-3</v>
      </c>
      <c r="AY12" s="267">
        <f>+'WICHE Public Grads-RE PROJ'!CO13/'WICHE Public Grads-RE PROJ'!J13</f>
        <v>1.4225660534181546E-3</v>
      </c>
      <c r="AZ12" s="267">
        <f>+'WICHE Public Grads-RE PROJ'!CP13/'WICHE Public Grads-RE PROJ'!K13</f>
        <v>1.3120209923358774E-3</v>
      </c>
      <c r="BA12" s="262">
        <f>+'WICHE Public Grads-RE PROJ'!CQ13/'WICHE Public Grads-RE PROJ'!L13</f>
        <v>1.2275889244199264E-3</v>
      </c>
      <c r="BB12" s="267">
        <f>+'WICHE Public Grads-RE PROJ'!CR13/'WICHE Public Grads-RE PROJ'!M13</f>
        <v>1.210943339811631E-3</v>
      </c>
      <c r="BC12" s="267">
        <f>+'WICHE Public Grads-RE PROJ'!CS13/'WICHE Public Grads-RE PROJ'!N13</f>
        <v>1.4296134208606856E-3</v>
      </c>
      <c r="BD12" s="267">
        <f>+'WICHE Public Grads-RE PROJ'!CT13/'WICHE Public Grads-RE PROJ'!O13</f>
        <v>1.2423412485529548E-3</v>
      </c>
      <c r="BE12" s="267">
        <f>+'WICHE Public Grads-RE PROJ'!CU13/'WICHE Public Grads-RE PROJ'!P13</f>
        <v>1.115676617050804E-3</v>
      </c>
      <c r="BF12" s="267">
        <f>+'WICHE Public Grads-RE PROJ'!CV13/'WICHE Public Grads-RE PROJ'!Q13</f>
        <v>1.207776021791363E-3</v>
      </c>
      <c r="BG12" s="267">
        <f>+'WICHE Public Grads-RE PROJ'!CW13/'WICHE Public Grads-RE PROJ'!R13</f>
        <v>1.7364229686845098E-3</v>
      </c>
      <c r="BH12" s="267">
        <f>+'WICHE Public Grads-RE PROJ'!CX13/'WICHE Public Grads-RE PROJ'!S13</f>
        <v>1.5908548572207766E-3</v>
      </c>
      <c r="BI12" s="267">
        <f>+'WICHE Public Grads-RE PROJ'!CY13/'WICHE Public Grads-RE PROJ'!T13</f>
        <v>2.5170180265339662E-3</v>
      </c>
      <c r="BJ12" s="267">
        <f>+'WICHE Public Grads-RE PROJ'!CZ13/'WICHE Public Grads-RE PROJ'!U13</f>
        <v>2.5723263239044256E-3</v>
      </c>
      <c r="BK12" s="262">
        <f>+'WICHE Public Grads-RE PROJ'!DA13/'WICHE Public Grads-RE PROJ'!V13</f>
        <v>2.5540767975231532E-3</v>
      </c>
      <c r="BL12" s="262">
        <f>+'WICHE Public Grads-RE PROJ'!DB13/'WICHE Public Grads-RE PROJ'!W13</f>
        <v>2.3122474801989582E-3</v>
      </c>
      <c r="BM12" s="266">
        <f>+'WICHE Public Grads-RE PROJ'!DC13/'WICHE Public Grads-RE PROJ'!Y13</f>
        <v>2.2916513500637588E-3</v>
      </c>
      <c r="BN12" s="266">
        <f>+'WICHE Public Grads-RE PROJ'!DD13/'WICHE Public Grads-RE PROJ'!Z13</f>
        <v>2.4655662675608773E-3</v>
      </c>
      <c r="BO12" s="266">
        <f>+'WICHE Public Grads-RE PROJ'!DE13/'WICHE Public Grads-RE PROJ'!AA13</f>
        <v>2.5199008005276848E-3</v>
      </c>
      <c r="BP12" s="268">
        <f>+'WICHE Public Grads-RE PROJ'!DF13/'WICHE Public Grads-RE PROJ'!AB13</f>
        <v>2.5747249503420607E-3</v>
      </c>
      <c r="BQ12" s="266">
        <f>+'WICHE Public Grads-RE PROJ'!DG13/'WICHE Public Grads-RE PROJ'!AC13</f>
        <v>2.5312709319218227E-3</v>
      </c>
      <c r="BR12" s="266">
        <f>+'WICHE Public Grads-RE PROJ'!DH13/'WICHE Public Grads-RE PROJ'!AD13</f>
        <v>2.3559583150755165E-3</v>
      </c>
      <c r="BS12" s="266">
        <f>+'WICHE Public Grads-RE PROJ'!DI13/'WICHE Public Grads-RE PROJ'!AE13</f>
        <v>2.7659837087054702E-3</v>
      </c>
      <c r="BT12" s="266">
        <f>+'WICHE Public Grads-RE PROJ'!DJ13/'WICHE Public Grads-RE PROJ'!AF13</f>
        <v>2.7834975247308553E-3</v>
      </c>
      <c r="BU12" s="266">
        <f>+'WICHE Public Grads-RE PROJ'!DK13/'WICHE Public Grads-RE PROJ'!AG13</f>
        <v>3.0454275477854007E-3</v>
      </c>
      <c r="BV12" s="268">
        <f>+'WICHE Public Grads-RE PROJ'!DL13/'WICHE Public Grads-RE PROJ'!AH13</f>
        <v>2.8322716174951803E-3</v>
      </c>
      <c r="BW12" s="266">
        <f>+'WICHE Public Grads-RE PROJ'!DM13/'WICHE Public Grads-RE PROJ'!AI13</f>
        <v>2.9641288731612181E-3</v>
      </c>
      <c r="BX12" s="266">
        <f>+'WICHE Public Grads-RE PROJ'!DN13/'WICHE Public Grads-RE PROJ'!AJ13</f>
        <v>3.29849287905068E-3</v>
      </c>
      <c r="BY12" s="266">
        <f>+'WICHE Public Grads-RE PROJ'!DO13/'WICHE Public Grads-RE PROJ'!AK13</f>
        <v>2.1535261759709299E-3</v>
      </c>
      <c r="BZ12" s="266">
        <f>+'WICHE Public Grads-RE PROJ'!DP13/'WICHE Public Grads-RE PROJ'!AL13</f>
        <v>2.6601079594836272E-3</v>
      </c>
      <c r="CA12" s="266">
        <f>+'WICHE Public Grads-RE PROJ'!DQ13/'WICHE Public Grads-RE PROJ'!AM13</f>
        <v>2.8494297688361988E-3</v>
      </c>
      <c r="CB12" s="266">
        <f>+'WICHE Public Grads-RE PROJ'!DR13/'WICHE Public Grads-RE PROJ'!AN13</f>
        <v>2.4070687190561389E-3</v>
      </c>
      <c r="CC12" s="266">
        <f>+'WICHE Public Grads-RE PROJ'!DS13/'WICHE Public Grads-RE PROJ'!AO13</f>
        <v>2.5707355386769288E-3</v>
      </c>
      <c r="CD12" s="266">
        <f>+'WICHE Public Grads-RE PROJ'!DT13/'WICHE Public Grads-RE PROJ'!AP13</f>
        <v>2.3701347810726778E-3</v>
      </c>
      <c r="CE12" s="282">
        <f>+'WICHE Public Grads-RE PROJ'!DU13/'WICHE Public Grads-RE PROJ'!AQ13</f>
        <v>2.6330249350799738E-3</v>
      </c>
      <c r="CF12" s="262" t="e">
        <f>+'WICHE Public Grads-RE PROJ'!DV13/'WICHE Public Grads-RE PROJ'!B13</f>
        <v>#VALUE!</v>
      </c>
      <c r="CG12" s="262">
        <f>+'WICHE Public Grads-RE PROJ'!DW13/'WICHE Public Grads-RE PROJ'!C13</f>
        <v>1.6700808999687511E-2</v>
      </c>
      <c r="CH12" s="262">
        <f>+'WICHE Public Grads-RE PROJ'!DX13/'WICHE Public Grads-RE PROJ'!D13</f>
        <v>1.9607495209028322E-2</v>
      </c>
      <c r="CI12" s="262">
        <f>+'WICHE Public Grads-RE PROJ'!DY13/'WICHE Public Grads-RE PROJ'!E13</f>
        <v>1.8761030709495235E-2</v>
      </c>
      <c r="CJ12" s="262">
        <f>+'WICHE Public Grads-RE PROJ'!DZ13/'WICHE Public Grads-RE PROJ'!F13</f>
        <v>1.810879493877841E-2</v>
      </c>
      <c r="CK12" s="262">
        <f>+'WICHE Public Grads-RE PROJ'!EA13/'WICHE Public Grads-RE PROJ'!G13</f>
        <v>2.0272560851583157E-2</v>
      </c>
      <c r="CL12" s="267">
        <f>+'WICHE Public Grads-RE PROJ'!EB13/'WICHE Public Grads-RE PROJ'!H13</f>
        <v>2.357966680905596E-2</v>
      </c>
      <c r="CM12" s="267">
        <f>+'WICHE Public Grads-RE PROJ'!EC13/'WICHE Public Grads-RE PROJ'!I13</f>
        <v>2.5630202441454066E-2</v>
      </c>
      <c r="CN12" s="267">
        <f>+'WICHE Public Grads-RE PROJ'!ED13/'WICHE Public Grads-RE PROJ'!J13</f>
        <v>2.7316465003276696E-2</v>
      </c>
      <c r="CO12" s="267">
        <f>+'WICHE Public Grads-RE PROJ'!EE13/'WICHE Public Grads-RE PROJ'!K13</f>
        <v>3.1808508936142975E-2</v>
      </c>
      <c r="CP12" s="262">
        <f>+'WICHE Public Grads-RE PROJ'!EF13/'WICHE Public Grads-RE PROJ'!L13</f>
        <v>3.2599305881818044E-2</v>
      </c>
      <c r="CQ12" s="267">
        <f>+'WICHE Public Grads-RE PROJ'!EG13/'WICHE Public Grads-RE PROJ'!M13</f>
        <v>3.2545970997159515E-2</v>
      </c>
      <c r="CR12" s="267">
        <f>+'WICHE Public Grads-RE PROJ'!EH13/'WICHE Public Grads-RE PROJ'!N13</f>
        <v>3.2822757111597371E-2</v>
      </c>
      <c r="CS12" s="267">
        <f>+'WICHE Public Grads-RE PROJ'!EI13/'WICHE Public Grads-RE PROJ'!O13</f>
        <v>3.3063218228534322E-2</v>
      </c>
      <c r="CT12" s="267">
        <f>+'WICHE Public Grads-RE PROJ'!EJ13/'WICHE Public Grads-RE PROJ'!P13</f>
        <v>3.571525755802879E-2</v>
      </c>
      <c r="CU12" s="267">
        <f>+'WICHE Public Grads-RE PROJ'!EK13/'WICHE Public Grads-RE PROJ'!Q13</f>
        <v>3.595060966991738E-2</v>
      </c>
      <c r="CV12" s="267">
        <f>+'WICHE Public Grads-RE PROJ'!EL13/'WICHE Public Grads-RE PROJ'!R13</f>
        <v>3.4345248787497756E-2</v>
      </c>
      <c r="CW12" s="267">
        <f>+'WICHE Public Grads-RE PROJ'!EM13/'WICHE Public Grads-RE PROJ'!S13</f>
        <v>3.5237435087440198E-2</v>
      </c>
      <c r="CX12" s="267">
        <f>+'WICHE Public Grads-RE PROJ'!EN13/'WICHE Public Grads-RE PROJ'!T13</f>
        <v>3.7963160706369785E-2</v>
      </c>
      <c r="CY12" s="267">
        <f>+'WICHE Public Grads-RE PROJ'!EO13/'WICHE Public Grads-RE PROJ'!U13</f>
        <v>3.8697931149709812E-2</v>
      </c>
      <c r="CZ12" s="262">
        <f>+'WICHE Public Grads-RE PROJ'!EP13/'WICHE Public Grads-RE PROJ'!V13</f>
        <v>4.0741050104244211E-2</v>
      </c>
      <c r="DA12" s="262">
        <f>+'WICHE Public Grads-RE PROJ'!EQ13/'WICHE Public Grads-RE PROJ'!W13</f>
        <v>4.2041741229864586E-2</v>
      </c>
      <c r="DB12" s="266">
        <f>+'WICHE Public Grads-RE PROJ'!ER13/'WICHE Public Grads-RE PROJ'!Y13</f>
        <v>4.320234142510878E-2</v>
      </c>
      <c r="DC12" s="266">
        <f>+'WICHE Public Grads-RE PROJ'!ES13/'WICHE Public Grads-RE PROJ'!Z13</f>
        <v>4.4481027861673822E-2</v>
      </c>
      <c r="DD12" s="266">
        <f>+'WICHE Public Grads-RE PROJ'!ET13/'WICHE Public Grads-RE PROJ'!AA13</f>
        <v>4.4971846528902577E-2</v>
      </c>
      <c r="DE12" s="268">
        <f>+'WICHE Public Grads-RE PROJ'!EU13/'WICHE Public Grads-RE PROJ'!AB13</f>
        <v>4.5010392947146927E-2</v>
      </c>
      <c r="DF12" s="266">
        <f>+'WICHE Public Grads-RE PROJ'!EV13/'WICHE Public Grads-RE PROJ'!AC13</f>
        <v>4.7019211253081734E-2</v>
      </c>
      <c r="DG12" s="266">
        <f>+'WICHE Public Grads-RE PROJ'!EW13/'WICHE Public Grads-RE PROJ'!AD13</f>
        <v>4.934835061220872E-2</v>
      </c>
      <c r="DH12" s="266">
        <f>+'WICHE Public Grads-RE PROJ'!EX13/'WICHE Public Grads-RE PROJ'!AE13</f>
        <v>5.094361230674016E-2</v>
      </c>
      <c r="DI12" s="266">
        <f>+'WICHE Public Grads-RE PROJ'!EY13/'WICHE Public Grads-RE PROJ'!AF13</f>
        <v>5.4764771935180492E-2</v>
      </c>
      <c r="DJ12" s="266">
        <f>+'WICHE Public Grads-RE PROJ'!EZ13/'WICHE Public Grads-RE PROJ'!AG13</f>
        <v>5.6439788708366009E-2</v>
      </c>
      <c r="DK12" s="268">
        <f>+'WICHE Public Grads-RE PROJ'!FA13/'WICHE Public Grads-RE PROJ'!AH13</f>
        <v>5.6533816702739631E-2</v>
      </c>
      <c r="DL12" s="266">
        <f>+'WICHE Public Grads-RE PROJ'!FB13/'WICHE Public Grads-RE PROJ'!AI13</f>
        <v>5.5848938070875598E-2</v>
      </c>
      <c r="DM12" s="266">
        <f>+'WICHE Public Grads-RE PROJ'!FC13/'WICHE Public Grads-RE PROJ'!AJ13</f>
        <v>5.6754813512690364E-2</v>
      </c>
      <c r="DN12" s="266">
        <f>+'WICHE Public Grads-RE PROJ'!FD13/'WICHE Public Grads-RE PROJ'!AK13</f>
        <v>6.0286433321946477E-2</v>
      </c>
      <c r="DO12" s="266">
        <f>+'WICHE Public Grads-RE PROJ'!FE13/'WICHE Public Grads-RE PROJ'!AL13</f>
        <v>6.2167895585072956E-2</v>
      </c>
      <c r="DP12" s="266">
        <f>+'WICHE Public Grads-RE PROJ'!FF13/'WICHE Public Grads-RE PROJ'!AM13</f>
        <v>6.3641044232032845E-2</v>
      </c>
      <c r="DQ12" s="266">
        <f>+'WICHE Public Grads-RE PROJ'!FG13/'WICHE Public Grads-RE PROJ'!AN13</f>
        <v>6.8648114761442794E-2</v>
      </c>
      <c r="DR12" s="266">
        <f>+'WICHE Public Grads-RE PROJ'!FH13/'WICHE Public Grads-RE PROJ'!AO13</f>
        <v>7.1468310829928897E-2</v>
      </c>
      <c r="DS12" s="266">
        <f>+'WICHE Public Grads-RE PROJ'!FI13/'WICHE Public Grads-RE PROJ'!AP13</f>
        <v>6.9737045970400646E-2</v>
      </c>
      <c r="DT12" s="282">
        <f>+'WICHE Public Grads-RE PROJ'!FJ13/'WICHE Public Grads-RE PROJ'!AQ13</f>
        <v>7.3956687497646972E-2</v>
      </c>
      <c r="DU12" s="262" t="e">
        <f>+'WICHE Public Grads-RE PROJ'!FK13/'WICHE Public Grads-RE PROJ'!B13</f>
        <v>#VALUE!</v>
      </c>
      <c r="DV12" s="262">
        <f>+'WICHE Public Grads-RE PROJ'!FL13/'WICHE Public Grads-RE PROJ'!C13</f>
        <v>0.32877330648241382</v>
      </c>
      <c r="DW12" s="262">
        <f>+'WICHE Public Grads-RE PROJ'!FM13/'WICHE Public Grads-RE PROJ'!D13</f>
        <v>0.32560863084675989</v>
      </c>
      <c r="DX12" s="262">
        <f>+'WICHE Public Grads-RE PROJ'!FN13/'WICHE Public Grads-RE PROJ'!E13</f>
        <v>0.32250264737027884</v>
      </c>
      <c r="DY12" s="262">
        <f>+'WICHE Public Grads-RE PROJ'!FO13/'WICHE Public Grads-RE PROJ'!F13</f>
        <v>0.32576282632261733</v>
      </c>
      <c r="DZ12" s="262">
        <f>+'WICHE Public Grads-RE PROJ'!FP13/'WICHE Public Grads-RE PROJ'!G13</f>
        <v>0.32941216353651093</v>
      </c>
      <c r="EA12" s="267">
        <f>+'WICHE Public Grads-RE PROJ'!FQ13/'WICHE Public Grads-RE PROJ'!H13</f>
        <v>0.31636052968816747</v>
      </c>
      <c r="EB12" s="267">
        <f>+'WICHE Public Grads-RE PROJ'!FR13/'WICHE Public Grads-RE PROJ'!I13</f>
        <v>0.31696692386918129</v>
      </c>
      <c r="EC12" s="267">
        <f>+'WICHE Public Grads-RE PROJ'!FS13/'WICHE Public Grads-RE PROJ'!J13</f>
        <v>0.32255486469638606</v>
      </c>
      <c r="ED12" s="267">
        <f>+'WICHE Public Grads-RE PROJ'!FT13/'WICHE Public Grads-RE PROJ'!K13</f>
        <v>0.3167250676010816</v>
      </c>
      <c r="EE12" s="262">
        <f>+'WICHE Public Grads-RE PROJ'!FU13/'WICHE Public Grads-RE PROJ'!L13</f>
        <v>0.32367427973872059</v>
      </c>
      <c r="EF12" s="267">
        <f>+'WICHE Public Grads-RE PROJ'!FV13/'WICHE Public Grads-RE PROJ'!M13</f>
        <v>0.31792495141276722</v>
      </c>
      <c r="EG12" s="267">
        <f>+'WICHE Public Grads-RE PROJ'!FW13/'WICHE Public Grads-RE PROJ'!N13</f>
        <v>0.32137126185266229</v>
      </c>
      <c r="EH12" s="267">
        <f>+'WICHE Public Grads-RE PROJ'!FX13/'WICHE Public Grads-RE PROJ'!O13</f>
        <v>0.32518282180873592</v>
      </c>
      <c r="EI12" s="267">
        <f>+'WICHE Public Grads-RE PROJ'!FY13/'WICHE Public Grads-RE PROJ'!P13</f>
        <v>0.33781871615554165</v>
      </c>
      <c r="EJ12" s="267">
        <f>+'WICHE Public Grads-RE PROJ'!FZ13/'WICHE Public Grads-RE PROJ'!Q13</f>
        <v>0.33657120096622084</v>
      </c>
      <c r="EK12" s="267">
        <f>+'WICHE Public Grads-RE PROJ'!GA13/'WICHE Public Grads-RE PROJ'!R13</f>
        <v>0.3474043470450871</v>
      </c>
      <c r="EL12" s="267">
        <f>+'WICHE Public Grads-RE PROJ'!GB13/'WICHE Public Grads-RE PROJ'!S13</f>
        <v>0.36304444166676136</v>
      </c>
      <c r="EM12" s="267">
        <f>+'WICHE Public Grads-RE PROJ'!GC13/'WICHE Public Grads-RE PROJ'!T13</f>
        <v>0.37316672175650928</v>
      </c>
      <c r="EN12" s="267">
        <f>+'WICHE Public Grads-RE PROJ'!GD13/'WICHE Public Grads-RE PROJ'!U13</f>
        <v>0.37620608550428725</v>
      </c>
      <c r="EO12" s="262">
        <f>+'WICHE Public Grads-RE PROJ'!GE13/'WICHE Public Grads-RE PROJ'!V13</f>
        <v>0.3706519037437036</v>
      </c>
      <c r="EP12" s="262">
        <f>+'WICHE Public Grads-RE PROJ'!GF13/'WICHE Public Grads-RE PROJ'!W13</f>
        <v>0.36585744738557324</v>
      </c>
      <c r="EQ12" s="266">
        <f>+'WICHE Public Grads-RE PROJ'!GG13/'WICHE Public Grads-RE PROJ'!Y13</f>
        <v>0.36213247188247877</v>
      </c>
      <c r="ER12" s="266">
        <f>+'WICHE Public Grads-RE PROJ'!GH13/'WICHE Public Grads-RE PROJ'!Z13</f>
        <v>0.35888030835460549</v>
      </c>
      <c r="ES12" s="266">
        <f>+'WICHE Public Grads-RE PROJ'!GI13/'WICHE Public Grads-RE PROJ'!AA13</f>
        <v>0.35967489146167464</v>
      </c>
      <c r="ET12" s="268">
        <f>+'WICHE Public Grads-RE PROJ'!GJ13/'WICHE Public Grads-RE PROJ'!AB13</f>
        <v>0.35845755764570869</v>
      </c>
      <c r="EU12" s="266">
        <f>+'WICHE Public Grads-RE PROJ'!GK13/'WICHE Public Grads-RE PROJ'!AC13</f>
        <v>0.36099822678727833</v>
      </c>
      <c r="EV12" s="266">
        <f>+'WICHE Public Grads-RE PROJ'!GL13/'WICHE Public Grads-RE PROJ'!AD13</f>
        <v>0.36045717287806744</v>
      </c>
      <c r="EW12" s="266">
        <f>+'WICHE Public Grads-RE PROJ'!GM13/'WICHE Public Grads-RE PROJ'!AE13</f>
        <v>0.35600043626099243</v>
      </c>
      <c r="EX12" s="266">
        <f>+'WICHE Public Grads-RE PROJ'!GN13/'WICHE Public Grads-RE PROJ'!AF13</f>
        <v>0.35334702965227843</v>
      </c>
      <c r="EY12" s="266">
        <f>+'WICHE Public Grads-RE PROJ'!GO13/'WICHE Public Grads-RE PROJ'!AG13</f>
        <v>0.35197787517859219</v>
      </c>
      <c r="EZ12" s="268">
        <f>+'WICHE Public Grads-RE PROJ'!GP13/'WICHE Public Grads-RE PROJ'!AH13</f>
        <v>0.35647987292031641</v>
      </c>
      <c r="FA12" s="266">
        <f>+'WICHE Public Grads-RE PROJ'!GQ13/'WICHE Public Grads-RE PROJ'!AI13</f>
        <v>0.3647552452907481</v>
      </c>
      <c r="FB12" s="266">
        <f>+'WICHE Public Grads-RE PROJ'!GR13/'WICHE Public Grads-RE PROJ'!AJ13</f>
        <v>0.37584698305807895</v>
      </c>
      <c r="FC12" s="266">
        <f>+'WICHE Public Grads-RE PROJ'!GS13/'WICHE Public Grads-RE PROJ'!AK13</f>
        <v>0.37912402946144408</v>
      </c>
      <c r="FD12" s="266">
        <f>+'WICHE Public Grads-RE PROJ'!GT13/'WICHE Public Grads-RE PROJ'!AL13</f>
        <v>0.37649625754056776</v>
      </c>
      <c r="FE12" s="266">
        <f>+'WICHE Public Grads-RE PROJ'!GU13/'WICHE Public Grads-RE PROJ'!AM13</f>
        <v>0.38333948356110564</v>
      </c>
      <c r="FF12" s="266">
        <f>+'WICHE Public Grads-RE PROJ'!GV13/'WICHE Public Grads-RE PROJ'!AN13</f>
        <v>0.37642482481867584</v>
      </c>
      <c r="FG12" s="266">
        <f>+'WICHE Public Grads-RE PROJ'!GW13/'WICHE Public Grads-RE PROJ'!AO13</f>
        <v>0.3801825786984111</v>
      </c>
      <c r="FH12" s="266">
        <f>+'WICHE Public Grads-RE PROJ'!GX13/'WICHE Public Grads-RE PROJ'!AP13</f>
        <v>0.38524479047465299</v>
      </c>
      <c r="FI12" s="282">
        <f>+'WICHE Public Grads-RE PROJ'!GY13/'WICHE Public Grads-RE PROJ'!AQ13</f>
        <v>0.38408870538637807</v>
      </c>
      <c r="FJ12" s="262" t="e">
        <f>+'WICHE Public Grads-RE PROJ'!GZ13/'WICHE Public Grads-RE PROJ'!B13</f>
        <v>#VALUE!</v>
      </c>
      <c r="FK12" s="262">
        <f>+'WICHE Public Grads-RE PROJ'!HA13/'WICHE Public Grads-RE PROJ'!C13</f>
        <v>9.3920349987847637E-3</v>
      </c>
      <c r="FL12" s="262">
        <f>+'WICHE Public Grads-RE PROJ'!HB13/'WICHE Public Grads-RE PROJ'!D13</f>
        <v>1.0753069770743133E-2</v>
      </c>
      <c r="FM12" s="262">
        <f>+'WICHE Public Grads-RE PROJ'!HC13/'WICHE Public Grads-RE PROJ'!E13</f>
        <v>1.1613130956583128E-2</v>
      </c>
      <c r="FN12" s="262">
        <f>+'WICHE Public Grads-RE PROJ'!HD13/'WICHE Public Grads-RE PROJ'!F13</f>
        <v>1.7469033782943257E-2</v>
      </c>
      <c r="FO12" s="262">
        <f>+'WICHE Public Grads-RE PROJ'!HE13/'WICHE Public Grads-RE PROJ'!G13</f>
        <v>1.4085700725472914E-2</v>
      </c>
      <c r="FP12" s="267">
        <f>+'WICHE Public Grads-RE PROJ'!HF13/'WICHE Public Grads-RE PROJ'!H13</f>
        <v>1.486544211875267E-2</v>
      </c>
      <c r="FQ12" s="267">
        <f>+'WICHE Public Grads-RE PROJ'!HG13/'WICHE Public Grads-RE PROJ'!I13</f>
        <v>1.6597160079018014E-2</v>
      </c>
      <c r="FR12" s="267">
        <f>+'WICHE Public Grads-RE PROJ'!HH13/'WICHE Public Grads-RE PROJ'!J13</f>
        <v>1.7342518741108964E-2</v>
      </c>
      <c r="FS12" s="267">
        <f>+'WICHE Public Grads-RE PROJ'!HI13/'WICHE Public Grads-RE PROJ'!K13</f>
        <v>2.0496327941247061E-2</v>
      </c>
      <c r="FT12" s="262">
        <f>+'WICHE Public Grads-RE PROJ'!HJ13/'WICHE Public Grads-RE PROJ'!L13</f>
        <v>2.414258218025855E-2</v>
      </c>
      <c r="FU12" s="267">
        <f>+'WICHE Public Grads-RE PROJ'!HK13/'WICHE Public Grads-RE PROJ'!M13</f>
        <v>2.7911496486769324E-2</v>
      </c>
      <c r="FV12" s="267">
        <f>+'WICHE Public Grads-RE PROJ'!HL13/'WICHE Public Grads-RE PROJ'!N13</f>
        <v>3.0955506929248724E-2</v>
      </c>
      <c r="FW12" s="267">
        <f>+'WICHE Public Grads-RE PROJ'!HM13/'WICHE Public Grads-RE PROJ'!O13</f>
        <v>3.6564361747183555E-2</v>
      </c>
      <c r="FX12" s="267">
        <f>+'WICHE Public Grads-RE PROJ'!HN13/'WICHE Public Grads-RE PROJ'!P13</f>
        <v>4.0858254646384935E-2</v>
      </c>
      <c r="FY12" s="267">
        <f>+'WICHE Public Grads-RE PROJ'!HO13/'WICHE Public Grads-RE PROJ'!Q13</f>
        <v>4.5163114006347246E-2</v>
      </c>
      <c r="FZ12" s="267">
        <f>+'WICHE Public Grads-RE PROJ'!HP13/'WICHE Public Grads-RE PROJ'!R13</f>
        <v>5.1601700496976231E-2</v>
      </c>
      <c r="GA12" s="267">
        <f>+'WICHE Public Grads-RE PROJ'!HQ13/'WICHE Public Grads-RE PROJ'!S13</f>
        <v>5.7407133847709735E-2</v>
      </c>
      <c r="GB12" s="267">
        <f>+'WICHE Public Grads-RE PROJ'!HR13/'WICHE Public Grads-RE PROJ'!T13</f>
        <v>7.2618254497002002E-2</v>
      </c>
      <c r="GC12" s="267">
        <f>+'WICHE Public Grads-RE PROJ'!HS13/'WICHE Public Grads-RE PROJ'!U13</f>
        <v>7.8754142389915308E-2</v>
      </c>
      <c r="GD12" s="262">
        <f>+'WICHE Public Grads-RE PROJ'!HT13/'WICHE Public Grads-RE PROJ'!V13</f>
        <v>8.1241306219778764E-2</v>
      </c>
      <c r="GE12" s="262">
        <f>+'WICHE Public Grads-RE PROJ'!HU13/'WICHE Public Grads-RE PROJ'!W13</f>
        <v>8.9540772160664819E-2</v>
      </c>
      <c r="GF12" s="266">
        <f>+'WICHE Public Grads-RE PROJ'!HV13/'WICHE Public Grads-RE PROJ'!Y13</f>
        <v>9.4175877289822491E-2</v>
      </c>
      <c r="GG12" s="266">
        <f>+'WICHE Public Grads-RE PROJ'!HW13/'WICHE Public Grads-RE PROJ'!Z13</f>
        <v>0.10176181703735204</v>
      </c>
      <c r="GH12" s="266">
        <f>+'WICHE Public Grads-RE PROJ'!HX13/'WICHE Public Grads-RE PROJ'!AA13</f>
        <v>0.10496205946018973</v>
      </c>
      <c r="GI12" s="268">
        <f>+'WICHE Public Grads-RE PROJ'!HY13/'WICHE Public Grads-RE PROJ'!AB13</f>
        <v>0.11038264835280243</v>
      </c>
      <c r="GJ12" s="266">
        <f>+'WICHE Public Grads-RE PROJ'!HZ13/'WICHE Public Grads-RE PROJ'!AC13</f>
        <v>0.1169062944684242</v>
      </c>
      <c r="GK12" s="266">
        <f>+'WICHE Public Grads-RE PROJ'!IA13/'WICHE Public Grads-RE PROJ'!AD13</f>
        <v>0.1272208870471194</v>
      </c>
      <c r="GL12" s="266">
        <f>+'WICHE Public Grads-RE PROJ'!IB13/'WICHE Public Grads-RE PROJ'!AE13</f>
        <v>0.13438950055519389</v>
      </c>
      <c r="GM12" s="266">
        <f>+'WICHE Public Grads-RE PROJ'!IC13/'WICHE Public Grads-RE PROJ'!AF13</f>
        <v>0.13722379544417576</v>
      </c>
      <c r="GN12" s="266">
        <f>+'WICHE Public Grads-RE PROJ'!ID13/'WICHE Public Grads-RE PROJ'!AG13</f>
        <v>0.14183035113751205</v>
      </c>
      <c r="GO12" s="268">
        <f>+'WICHE Public Grads-RE PROJ'!IE13/'WICHE Public Grads-RE PROJ'!AH13</f>
        <v>0.14840788063953303</v>
      </c>
      <c r="GP12" s="266">
        <f>+'WICHE Public Grads-RE PROJ'!IF13/'WICHE Public Grads-RE PROJ'!AI13</f>
        <v>0.15270503936326232</v>
      </c>
      <c r="GQ12" s="266">
        <f>+'WICHE Public Grads-RE PROJ'!IG13/'WICHE Public Grads-RE PROJ'!AJ13</f>
        <v>0.15485713462225373</v>
      </c>
      <c r="GR12" s="266">
        <f>+'WICHE Public Grads-RE PROJ'!IH13/'WICHE Public Grads-RE PROJ'!AK13</f>
        <v>0.17061314763096319</v>
      </c>
      <c r="GS12" s="266">
        <f>+'WICHE Public Grads-RE PROJ'!II13/'WICHE Public Grads-RE PROJ'!AL13</f>
        <v>0.16783994990135753</v>
      </c>
      <c r="GT12" s="266">
        <f>+'WICHE Public Grads-RE PROJ'!IJ13/'WICHE Public Grads-RE PROJ'!AM13</f>
        <v>0.15230260706023463</v>
      </c>
      <c r="GU12" s="266">
        <f>+'WICHE Public Grads-RE PROJ'!IK13/'WICHE Public Grads-RE PROJ'!AN13</f>
        <v>0.13536004145529845</v>
      </c>
      <c r="GV12" s="266">
        <f>+'WICHE Public Grads-RE PROJ'!IL13/'WICHE Public Grads-RE PROJ'!AO13</f>
        <v>0.12875766919361367</v>
      </c>
      <c r="GW12" s="266">
        <f>+'WICHE Public Grads-RE PROJ'!IM13/'WICHE Public Grads-RE PROJ'!AP13</f>
        <v>0.12700908783933992</v>
      </c>
      <c r="GX12" s="282">
        <f>+'WICHE Public Grads-RE PROJ'!IN13/'WICHE Public Grads-RE PROJ'!AQ13</f>
        <v>0.1266568665836863</v>
      </c>
      <c r="GY12" s="262" t="e">
        <f>+'WICHE Public Grads-RE PROJ'!IO13/'WICHE Public Grads-RE PROJ'!B13</f>
        <v>#DIV/0!</v>
      </c>
      <c r="GZ12" s="262">
        <f>+'WICHE Public Grads-RE PROJ'!IP13/'WICHE Public Grads-RE PROJ'!C13</f>
        <v>0.64369292732891215</v>
      </c>
      <c r="HA12" s="262">
        <f>+'WICHE Public Grads-RE PROJ'!IQ13/'WICHE Public Grads-RE PROJ'!D13</f>
        <v>0.64266449002768122</v>
      </c>
      <c r="HB12" s="262">
        <f>+'WICHE Public Grads-RE PROJ'!IR13/'WICHE Public Grads-RE PROJ'!E13</f>
        <v>0.64595834804094598</v>
      </c>
      <c r="HC12" s="262">
        <f>+'WICHE Public Grads-RE PROJ'!IS13/'WICHE Public Grads-RE PROJ'!F13</f>
        <v>0.63803735494304348</v>
      </c>
      <c r="HD12" s="262">
        <f>+'WICHE Public Grads-RE PROJ'!IT13/'WICHE Public Grads-RE PROJ'!G13</f>
        <v>0.63499220286121094</v>
      </c>
      <c r="HE12" s="267">
        <f>+'WICHE Public Grads-RE PROJ'!IU13/'WICHE Public Grads-RE PROJ'!H13</f>
        <v>0.64387868432293893</v>
      </c>
      <c r="HF12" s="267">
        <f>+'WICHE Public Grads-RE PROJ'!IV13/'WICHE Public Grads-RE PROJ'!I13</f>
        <v>0.63962382021713071</v>
      </c>
      <c r="HG12" s="267">
        <f>+'WICHE Public Grads-RE PROJ'!IW13/'WICHE Public Grads-RE PROJ'!J13</f>
        <v>0.63136358550581018</v>
      </c>
      <c r="HH12" s="267">
        <f>+'WICHE Public Grads-RE PROJ'!IX13/'WICHE Public Grads-RE PROJ'!K13</f>
        <v>0.62965807452919242</v>
      </c>
      <c r="HI12" s="262">
        <f>+'WICHE Public Grads-RE PROJ'!IY13/'WICHE Public Grads-RE PROJ'!L13</f>
        <v>0.61835624327478289</v>
      </c>
      <c r="HJ12" s="267">
        <f>+'WICHE Public Grads-RE PROJ'!IZ13/'WICHE Public Grads-RE PROJ'!M13</f>
        <v>0.62040663776349225</v>
      </c>
      <c r="HK12" s="267">
        <f>+'WICHE Public Grads-RE PROJ'!JA13/'WICHE Public Grads-RE PROJ'!N13</f>
        <v>0.60231947483588621</v>
      </c>
      <c r="HL12" s="267">
        <f>+'WICHE Public Grads-RE PROJ'!JB13/'WICHE Public Grads-RE PROJ'!O13</f>
        <v>0.59156619702402802</v>
      </c>
      <c r="HM12" s="267">
        <f>+'WICHE Public Grads-RE PROJ'!JC13/'WICHE Public Grads-RE PROJ'!P13</f>
        <v>0.58449209502299382</v>
      </c>
      <c r="HN12" s="267">
        <f>+'WICHE Public Grads-RE PROJ'!JD13/'WICHE Public Grads-RE PROJ'!Q13</f>
        <v>0.56451965205771626</v>
      </c>
      <c r="HO12" s="267">
        <f>+'WICHE Public Grads-RE PROJ'!JE13/'WICHE Public Grads-RE PROJ'!R13</f>
        <v>0.54728459373690197</v>
      </c>
      <c r="HP12" s="267">
        <f>+'WICHE Public Grads-RE PROJ'!JF13/'WICHE Public Grads-RE PROJ'!S13</f>
        <v>0.52181175641739486</v>
      </c>
      <c r="HQ12" s="267">
        <f>+'WICHE Public Grads-RE PROJ'!JG13/'WICHE Public Grads-RE PROJ'!T13</f>
        <v>0.51373484501358502</v>
      </c>
      <c r="HR12" s="267">
        <f>+'WICHE Public Grads-RE PROJ'!JH13/'WICHE Public Grads-RE PROJ'!U13</f>
        <v>0.50376951463218322</v>
      </c>
      <c r="HS12" s="262">
        <f>+'WICHE Public Grads-RE PROJ'!JI13/'WICHE Public Grads-RE PROJ'!V13</f>
        <v>0.50481166313475023</v>
      </c>
      <c r="HT12" s="262">
        <f>+'WICHE Public Grads-RE PROJ'!JJ13/'WICHE Public Grads-RE PROJ'!W13</f>
        <v>0.50024779174369838</v>
      </c>
      <c r="HU12" s="266">
        <f>+'WICHE Public Grads-RE PROJ'!JK13/'WICHE Public Grads-RE PROJ'!Y13</f>
        <v>0.49782119369941197</v>
      </c>
      <c r="HV12" s="266">
        <f>+'WICHE Public Grads-RE PROJ'!JL13/'WICHE Public Grads-RE PROJ'!Z13</f>
        <v>0.49634318807292821</v>
      </c>
      <c r="HW12" s="266">
        <f>+'WICHE Public Grads-RE PROJ'!JM13/'WICHE Public Grads-RE PROJ'!AA13</f>
        <v>0.49225877824391856</v>
      </c>
      <c r="HX12" s="268">
        <f>+'WICHE Public Grads-RE PROJ'!JN13/'WICHE Public Grads-RE PROJ'!AB13</f>
        <v>0.48790429092963061</v>
      </c>
      <c r="HY12" s="266">
        <f>+'WICHE Public Grads-RE PROJ'!JO13/'WICHE Public Grads-RE PROJ'!AC13</f>
        <v>0.47880155995808471</v>
      </c>
      <c r="HZ12" s="266">
        <f>+'WICHE Public Grads-RE PROJ'!JP13/'WICHE Public Grads-RE PROJ'!AD13</f>
        <v>0.46857556094108999</v>
      </c>
      <c r="IA12" s="266">
        <f>+'WICHE Public Grads-RE PROJ'!JQ13/'WICHE Public Grads-RE PROJ'!AE13</f>
        <v>0.46720678116288383</v>
      </c>
      <c r="IB12" s="266">
        <f>+'WICHE Public Grads-RE PROJ'!JR13/'WICHE Public Grads-RE PROJ'!AF13</f>
        <v>0.46644633600519375</v>
      </c>
      <c r="IC12" s="266">
        <f>+'WICHE Public Grads-RE PROJ'!JS13/'WICHE Public Grads-RE PROJ'!AG13</f>
        <v>0.46428325892424627</v>
      </c>
      <c r="ID12" s="268">
        <f>+'WICHE Public Grads-RE PROJ'!JT13/'WICHE Public Grads-RE PROJ'!AH13</f>
        <v>0.45503141150584558</v>
      </c>
      <c r="IE12" s="266">
        <f>+'WICHE Public Grads-RE PROJ'!JU13/'WICHE Public Grads-RE PROJ'!AI13</f>
        <v>0.44498229366145586</v>
      </c>
      <c r="IF12" s="266">
        <f>+'WICHE Public Grads-RE PROJ'!JV13/'WICHE Public Grads-RE PROJ'!AJ13</f>
        <v>0.43344037662445845</v>
      </c>
      <c r="IG12" s="266">
        <f>+'WICHE Public Grads-RE PROJ'!JW13/'WICHE Public Grads-RE PROJ'!AK13</f>
        <v>0.41392739401674716</v>
      </c>
      <c r="IH12" s="266">
        <f>+'WICHE Public Grads-RE PROJ'!JX13/'WICHE Public Grads-RE PROJ'!AL13</f>
        <v>0.41724516675101786</v>
      </c>
      <c r="II12" s="266">
        <f>+'WICHE Public Grads-RE PROJ'!JY13/'WICHE Public Grads-RE PROJ'!AM13</f>
        <v>0.42555147028992335</v>
      </c>
      <c r="IJ12" s="266">
        <f>+'WICHE Public Grads-RE PROJ'!JZ13/'WICHE Public Grads-RE PROJ'!AN13</f>
        <v>0.42599881125909533</v>
      </c>
      <c r="IK12" s="266">
        <f>+'WICHE Public Grads-RE PROJ'!KA13/'WICHE Public Grads-RE PROJ'!AO13</f>
        <v>0.43041415940889333</v>
      </c>
      <c r="IL12" s="266">
        <f>+'WICHE Public Grads-RE PROJ'!KB13/'WICHE Public Grads-RE PROJ'!AP13</f>
        <v>0.4284457884951558</v>
      </c>
      <c r="IM12" s="282">
        <f>+'WICHE Public Grads-RE PROJ'!KC13/'WICHE Public Grads-RE PROJ'!AQ13</f>
        <v>0.42653107449349997</v>
      </c>
      <c r="IN12" s="278" t="e">
        <f t="shared" si="5"/>
        <v>#VALUE!</v>
      </c>
      <c r="IO12" s="278">
        <f t="shared" si="6"/>
        <v>1</v>
      </c>
      <c r="IP12" s="278">
        <f t="shared" si="7"/>
        <v>1</v>
      </c>
      <c r="IQ12" s="278">
        <f t="shared" si="8"/>
        <v>1</v>
      </c>
      <c r="IR12" s="278">
        <f t="shared" si="9"/>
        <v>1</v>
      </c>
      <c r="IS12" s="278">
        <f t="shared" si="10"/>
        <v>1</v>
      </c>
      <c r="IT12" s="278">
        <f t="shared" si="11"/>
        <v>1</v>
      </c>
      <c r="IU12" s="278">
        <f t="shared" si="12"/>
        <v>1</v>
      </c>
      <c r="IV12" s="278">
        <f t="shared" si="13"/>
        <v>1</v>
      </c>
      <c r="IW12" s="278">
        <f t="shared" si="14"/>
        <v>1</v>
      </c>
      <c r="IX12" s="278">
        <f t="shared" si="15"/>
        <v>1</v>
      </c>
      <c r="IY12" s="278">
        <f t="shared" si="16"/>
        <v>1</v>
      </c>
      <c r="IZ12" s="278">
        <f t="shared" si="17"/>
        <v>0.98889861415025526</v>
      </c>
      <c r="JA12" s="278">
        <f t="shared" si="18"/>
        <v>0.98761894005703477</v>
      </c>
      <c r="JB12" s="278">
        <f t="shared" si="19"/>
        <v>1</v>
      </c>
      <c r="JC12" s="278">
        <f t="shared" si="20"/>
        <v>0.98341235272199312</v>
      </c>
      <c r="JD12" s="278">
        <f t="shared" si="21"/>
        <v>0.9823723130351476</v>
      </c>
      <c r="JE12" s="278">
        <f t="shared" si="22"/>
        <v>0.97909162187652687</v>
      </c>
      <c r="JF12" s="278">
        <f t="shared" si="23"/>
        <v>1</v>
      </c>
      <c r="JG12" s="278">
        <f t="shared" si="24"/>
        <v>1</v>
      </c>
      <c r="JH12" s="278">
        <f t="shared" si="25"/>
        <v>1</v>
      </c>
      <c r="JI12" s="278">
        <f t="shared" si="26"/>
        <v>1</v>
      </c>
      <c r="JJ12" s="278">
        <f t="shared" si="27"/>
        <v>0.99962353564688566</v>
      </c>
      <c r="JK12" s="278">
        <f t="shared" si="28"/>
        <v>1.0039319075941204</v>
      </c>
      <c r="JL12" s="278">
        <f t="shared" si="29"/>
        <v>1.0043874764952132</v>
      </c>
      <c r="JM12" s="278">
        <f t="shared" si="30"/>
        <v>1.0043296148256307</v>
      </c>
      <c r="JN12" s="278">
        <f t="shared" si="31"/>
        <v>1.0062565633987908</v>
      </c>
      <c r="JO12" s="278">
        <f t="shared" si="32"/>
        <v>1.007957929793561</v>
      </c>
      <c r="JP12" s="278">
        <f t="shared" si="33"/>
        <v>1.0113063139945158</v>
      </c>
      <c r="JQ12" s="278">
        <f t="shared" si="34"/>
        <v>1.0145654305615592</v>
      </c>
      <c r="JR12" s="278">
        <f t="shared" si="35"/>
        <v>1.0175767014965018</v>
      </c>
      <c r="JS12" s="278">
        <f t="shared" si="36"/>
        <v>1.0192852533859298</v>
      </c>
      <c r="JT12" s="278">
        <f t="shared" si="37"/>
        <v>1.0212556452595032</v>
      </c>
      <c r="JU12" s="278">
        <f t="shared" si="38"/>
        <v>1.0241978006965322</v>
      </c>
      <c r="JV12" s="278">
        <f t="shared" si="39"/>
        <v>1.0261045306070717</v>
      </c>
      <c r="JW12" s="278">
        <f t="shared" si="40"/>
        <v>1.0264093777374996</v>
      </c>
      <c r="JX12" s="278">
        <f t="shared" si="41"/>
        <v>1.0276840349121326</v>
      </c>
      <c r="JY12" s="278">
        <f t="shared" si="42"/>
        <v>1.0088388610135686</v>
      </c>
      <c r="JZ12" s="278">
        <f t="shared" si="42"/>
        <v>1.0133934536695239</v>
      </c>
      <c r="KA12" s="278">
        <f t="shared" si="42"/>
        <v>1.012806847560622</v>
      </c>
      <c r="KB12" s="278">
        <f t="shared" si="42"/>
        <v>1.0138663588962913</v>
      </c>
    </row>
    <row r="13" spans="1:288" s="17" customFormat="1">
      <c r="A13" s="173" t="s">
        <v>38</v>
      </c>
      <c r="B13" s="262">
        <f>+'WICHE Public Grads-RE PROJ'!AR14/'WICHE Public Grads-RE PROJ'!B14</f>
        <v>7.4402632708541992E-3</v>
      </c>
      <c r="C13" s="262">
        <f>+'WICHE Public Grads-RE PROJ'!AS14/'WICHE Public Grads-RE PROJ'!C14</f>
        <v>1.2654642132945558E-2</v>
      </c>
      <c r="D13" s="262">
        <f>+'WICHE Public Grads-RE PROJ'!AT14/'WICHE Public Grads-RE PROJ'!D14</f>
        <v>1.2654642132945558E-2</v>
      </c>
      <c r="E13" s="262">
        <f>+'WICHE Public Grads-RE PROJ'!AU14/'WICHE Public Grads-RE PROJ'!E14</f>
        <v>1.2654642132945556E-2</v>
      </c>
      <c r="F13" s="262">
        <f>+'WICHE Public Grads-RE PROJ'!AV14/'WICHE Public Grads-RE PROJ'!F14</f>
        <v>1.5119674681367866E-2</v>
      </c>
      <c r="G13" s="262">
        <f>+'WICHE Public Grads-RE PROJ'!AW14/'WICHE Public Grads-RE PROJ'!G14</f>
        <v>1.5565360981023795E-2</v>
      </c>
      <c r="H13" s="267">
        <f>+'WICHE Public Grads-RE PROJ'!AX14/'WICHE Public Grads-RE PROJ'!H14</f>
        <v>1.3013147303461229E-2</v>
      </c>
      <c r="I13" s="267">
        <f>+'WICHE Public Grads-RE PROJ'!AY14/'WICHE Public Grads-RE PROJ'!I14</f>
        <v>1.2551962425093127E-2</v>
      </c>
      <c r="J13" s="267">
        <f>+'WICHE Public Grads-RE PROJ'!AZ14/'WICHE Public Grads-RE PROJ'!J14</f>
        <v>2.1558512082541406E-2</v>
      </c>
      <c r="K13" s="267">
        <f>+'WICHE Public Grads-RE PROJ'!BA14/'WICHE Public Grads-RE PROJ'!K14</f>
        <v>8.3610682685282892E-3</v>
      </c>
      <c r="L13" s="262">
        <f>+'WICHE Public Grads-RE PROJ'!BB14/'WICHE Public Grads-RE PROJ'!L14</f>
        <v>1.0485180394639073E-2</v>
      </c>
      <c r="M13" s="267">
        <f>+'WICHE Public Grads-RE PROJ'!BC14/'WICHE Public Grads-RE PROJ'!M14</f>
        <v>9.9059860838157966E-3</v>
      </c>
      <c r="N13" s="267">
        <f>+'WICHE Public Grads-RE PROJ'!BD14/'WICHE Public Grads-RE PROJ'!N14</f>
        <v>1.0506258766242359E-2</v>
      </c>
      <c r="O13" s="267">
        <f>+'WICHE Public Grads-RE PROJ'!BE14/'WICHE Public Grads-RE PROJ'!O14</f>
        <v>1.2213859735930623E-2</v>
      </c>
      <c r="P13" s="267">
        <f>+'WICHE Public Grads-RE PROJ'!BF14/'WICHE Public Grads-RE PROJ'!P14</f>
        <v>1.1573773050014304E-2</v>
      </c>
      <c r="Q13" s="267">
        <f>+'WICHE Public Grads-RE PROJ'!BG14/'WICHE Public Grads-RE PROJ'!Q14</f>
        <v>1.1662702370904627E-2</v>
      </c>
      <c r="R13" s="267">
        <f>+'WICHE Public Grads-RE PROJ'!BH14/'WICHE Public Grads-RE PROJ'!R14</f>
        <v>1.1261089504054501E-2</v>
      </c>
      <c r="S13" s="267">
        <f>+'WICHE Public Grads-RE PROJ'!BI14/'WICHE Public Grads-RE PROJ'!S14</f>
        <v>1.1019116841891472E-2</v>
      </c>
      <c r="T13" s="267">
        <f>+'WICHE Public Grads-RE PROJ'!BJ14/'WICHE Public Grads-RE PROJ'!T14</f>
        <v>1.3688355522220138E-2</v>
      </c>
      <c r="U13" s="267">
        <f>+'WICHE Public Grads-RE PROJ'!BK14/'WICHE Public Grads-RE PROJ'!U14</f>
        <v>1.2522022860947788E-2</v>
      </c>
      <c r="V13" s="267">
        <f>+'WICHE Public Grads-RE PROJ'!BL14/'WICHE Public Grads-RE PROJ'!V14</f>
        <v>1.4600834709928057E-2</v>
      </c>
      <c r="W13" s="267">
        <f>+'WICHE Public Grads-RE PROJ'!BM14/'WICHE Public Grads-RE PROJ'!W14</f>
        <v>1.6405530624843706E-2</v>
      </c>
      <c r="X13" s="268">
        <f>+'WICHE Public Grads-RE PROJ'!BN14/'WICHE Public Grads-RE PROJ'!Y14</f>
        <v>1.6578279013724922E-2</v>
      </c>
      <c r="Y13" s="268">
        <f>+'WICHE Public Grads-RE PROJ'!BO14/'WICHE Public Grads-RE PROJ'!Z14</f>
        <v>1.7434091626335538E-2</v>
      </c>
      <c r="Z13" s="268">
        <f>+'WICHE Public Grads-RE PROJ'!BP14/'WICHE Public Grads-RE PROJ'!AA14</f>
        <v>1.7597153448128608E-2</v>
      </c>
      <c r="AA13" s="268">
        <f>+'WICHE Public Grads-RE PROJ'!BQ14/'WICHE Public Grads-RE PROJ'!AB14</f>
        <v>1.8605332606958031E-2</v>
      </c>
      <c r="AB13" s="266">
        <f>+'WICHE Public Grads-RE PROJ'!BR14/'WICHE Public Grads-RE PROJ'!AC14</f>
        <v>2.1650836429953194E-2</v>
      </c>
      <c r="AC13" s="266">
        <f>+'WICHE Public Grads-RE PROJ'!BS14/'WICHE Public Grads-RE PROJ'!AD14</f>
        <v>2.3159102347798544E-2</v>
      </c>
      <c r="AD13" s="266">
        <f>+'WICHE Public Grads-RE PROJ'!BT14/'WICHE Public Grads-RE PROJ'!AE14</f>
        <v>2.2251794565308118E-2</v>
      </c>
      <c r="AE13" s="266">
        <f>+'WICHE Public Grads-RE PROJ'!BU14/'WICHE Public Grads-RE PROJ'!AF14</f>
        <v>2.5991037136273775E-2</v>
      </c>
      <c r="AF13" s="266">
        <f>+'WICHE Public Grads-RE PROJ'!BV14/'WICHE Public Grads-RE PROJ'!AG14</f>
        <v>2.7794960216402032E-2</v>
      </c>
      <c r="AG13" s="268">
        <f>+'WICHE Public Grads-RE PROJ'!BW14/'WICHE Public Grads-RE PROJ'!AH14</f>
        <v>2.7067903230345379E-2</v>
      </c>
      <c r="AH13" s="266">
        <f>+'WICHE Public Grads-RE PROJ'!BX14/'WICHE Public Grads-RE PROJ'!AI14</f>
        <v>2.7643873749966415E-2</v>
      </c>
      <c r="AI13" s="266">
        <f>+'WICHE Public Grads-RE PROJ'!BY14/'WICHE Public Grads-RE PROJ'!AJ14</f>
        <v>2.7793895200914735E-2</v>
      </c>
      <c r="AJ13" s="266">
        <f>+'WICHE Public Grads-RE PROJ'!BZ14/'WICHE Public Grads-RE PROJ'!AK14</f>
        <v>2.8326906956752471E-2</v>
      </c>
      <c r="AK13" s="266">
        <f>+'WICHE Public Grads-RE PROJ'!CA14/'WICHE Public Grads-RE PROJ'!AL14</f>
        <v>3.1691236958280751E-2</v>
      </c>
      <c r="AL13" s="266">
        <f>+'WICHE Public Grads-RE PROJ'!CB14/'WICHE Public Grads-RE PROJ'!AM14</f>
        <v>3.2246882003813683E-2</v>
      </c>
      <c r="AM13" s="266">
        <f>+'WICHE Public Grads-RE PROJ'!CC14/'WICHE Public Grads-RE PROJ'!AN14</f>
        <v>3.5467437521949731E-2</v>
      </c>
      <c r="AN13" s="266">
        <f>+'WICHE Public Grads-RE PROJ'!CD14/'WICHE Public Grads-RE PROJ'!AO14</f>
        <v>3.7646601660974936E-2</v>
      </c>
      <c r="AO13" s="266">
        <f>+'WICHE Public Grads-RE PROJ'!CE14/'WICHE Public Grads-RE PROJ'!AP14</f>
        <v>3.4616593287684315E-2</v>
      </c>
      <c r="AP13" s="282">
        <f>+'WICHE Public Grads-RE PROJ'!CF14/'WICHE Public Grads-RE PROJ'!AQ14</f>
        <v>3.8193872132230293E-2</v>
      </c>
      <c r="AQ13" s="262">
        <f>+'WICHE Public Grads-RE PROJ'!CG14/'WICHE Public Grads-RE PROJ'!B14</f>
        <v>6.2956073830304764E-4</v>
      </c>
      <c r="AR13" s="262">
        <f>+'WICHE Public Grads-RE PROJ'!CH14/'WICHE Public Grads-RE PROJ'!C14</f>
        <v>5.8891278808441746E-3</v>
      </c>
      <c r="AS13" s="262">
        <f>+'WICHE Public Grads-RE PROJ'!CI14/'WICHE Public Grads-RE PROJ'!D14</f>
        <v>5.8891278808441746E-3</v>
      </c>
      <c r="AT13" s="262">
        <f>+'WICHE Public Grads-RE PROJ'!CJ14/'WICHE Public Grads-RE PROJ'!E14</f>
        <v>5.8891278808441746E-3</v>
      </c>
      <c r="AU13" s="262">
        <f>+'WICHE Public Grads-RE PROJ'!CK14/'WICHE Public Grads-RE PROJ'!F14</f>
        <v>8.0237984771157986E-3</v>
      </c>
      <c r="AV13" s="262">
        <f>+'WICHE Public Grads-RE PROJ'!CL14/'WICHE Public Grads-RE PROJ'!G14</f>
        <v>9.1767954305514206E-3</v>
      </c>
      <c r="AW13" s="267">
        <f>+'WICHE Public Grads-RE PROJ'!CM14/'WICHE Public Grads-RE PROJ'!H14</f>
        <v>7.002951435470888E-3</v>
      </c>
      <c r="AX13" s="267">
        <f>+'WICHE Public Grads-RE PROJ'!CN14/'WICHE Public Grads-RE PROJ'!I14</f>
        <v>6.8023538303730495E-3</v>
      </c>
      <c r="AY13" s="267">
        <f>+'WICHE Public Grads-RE PROJ'!CO14/'WICHE Public Grads-RE PROJ'!J14</f>
        <v>1.5069237035025794E-2</v>
      </c>
      <c r="AZ13" s="267">
        <f>+'WICHE Public Grads-RE PROJ'!CP14/'WICHE Public Grads-RE PROJ'!K14</f>
        <v>1.0823389344373192E-3</v>
      </c>
      <c r="BA13" s="262">
        <f>+'WICHE Public Grads-RE PROJ'!CQ14/'WICHE Public Grads-RE PROJ'!L14</f>
        <v>8.5312491399950469E-4</v>
      </c>
      <c r="BB13" s="267">
        <f>+'WICHE Public Grads-RE PROJ'!CR14/'WICHE Public Grads-RE PROJ'!M14</f>
        <v>1.1950921548839434E-3</v>
      </c>
      <c r="BC13" s="267">
        <f>+'WICHE Public Grads-RE PROJ'!CS14/'WICHE Public Grads-RE PROJ'!N14</f>
        <v>1.3232063937332946E-3</v>
      </c>
      <c r="BD13" s="267">
        <f>+'WICHE Public Grads-RE PROJ'!CT14/'WICHE Public Grads-RE PROJ'!O14</f>
        <v>1.5625406911638324E-3</v>
      </c>
      <c r="BE13" s="267">
        <f>+'WICHE Public Grads-RE PROJ'!CU14/'WICHE Public Grads-RE PROJ'!P14</f>
        <v>1.456474810788317E-3</v>
      </c>
      <c r="BF13" s="267">
        <f>+'WICHE Public Grads-RE PROJ'!CV14/'WICHE Public Grads-RE PROJ'!Q14</f>
        <v>1.3043811862195965E-3</v>
      </c>
      <c r="BG13" s="267">
        <f>+'WICHE Public Grads-RE PROJ'!CW14/'WICHE Public Grads-RE PROJ'!R14</f>
        <v>1.3472635298304482E-3</v>
      </c>
      <c r="BH13" s="267">
        <f>+'WICHE Public Grads-RE PROJ'!CX14/'WICHE Public Grads-RE PROJ'!S14</f>
        <v>1.0551972222885952E-3</v>
      </c>
      <c r="BI13" s="267">
        <f>+'WICHE Public Grads-RE PROJ'!CY14/'WICHE Public Grads-RE PROJ'!T14</f>
        <v>1.1953872117007314E-3</v>
      </c>
      <c r="BJ13" s="267">
        <f>+'WICHE Public Grads-RE PROJ'!CZ14/'WICHE Public Grads-RE PROJ'!U14</f>
        <v>1.1235531776108356E-3</v>
      </c>
      <c r="BK13" s="267">
        <f>+'WICHE Public Grads-RE PROJ'!DA14/'WICHE Public Grads-RE PROJ'!V14</f>
        <v>1.2073665367690722E-3</v>
      </c>
      <c r="BL13" s="267">
        <f>+'WICHE Public Grads-RE PROJ'!DB14/'WICHE Public Grads-RE PROJ'!W14</f>
        <v>2.7955980302278435E-3</v>
      </c>
      <c r="BM13" s="268">
        <f>+'WICHE Public Grads-RE PROJ'!DC14/'WICHE Public Grads-RE PROJ'!Y14</f>
        <v>1.8016796896728165E-3</v>
      </c>
      <c r="BN13" s="268">
        <f>+'WICHE Public Grads-RE PROJ'!DD14/'WICHE Public Grads-RE PROJ'!Z14</f>
        <v>1.6789674640550873E-3</v>
      </c>
      <c r="BO13" s="268">
        <f>+'WICHE Public Grads-RE PROJ'!DE14/'WICHE Public Grads-RE PROJ'!AA14</f>
        <v>1.7927005258363781E-3</v>
      </c>
      <c r="BP13" s="268">
        <f>+'WICHE Public Grads-RE PROJ'!DF14/'WICHE Public Grads-RE PROJ'!AB14</f>
        <v>1.5453954398891275E-3</v>
      </c>
      <c r="BQ13" s="266">
        <f>+'WICHE Public Grads-RE PROJ'!DG14/'WICHE Public Grads-RE PROJ'!AC14</f>
        <v>2.1926926308081978E-3</v>
      </c>
      <c r="BR13" s="266">
        <f>+'WICHE Public Grads-RE PROJ'!DH14/'WICHE Public Grads-RE PROJ'!AD14</f>
        <v>1.5498132741346054E-3</v>
      </c>
      <c r="BS13" s="266">
        <f>+'WICHE Public Grads-RE PROJ'!DI14/'WICHE Public Grads-RE PROJ'!AE14</f>
        <v>1.5569213301279297E-3</v>
      </c>
      <c r="BT13" s="266">
        <f>+'WICHE Public Grads-RE PROJ'!DJ14/'WICHE Public Grads-RE PROJ'!AF14</f>
        <v>1.6171878358453345E-3</v>
      </c>
      <c r="BU13" s="266">
        <f>+'WICHE Public Grads-RE PROJ'!DK14/'WICHE Public Grads-RE PROJ'!AG14</f>
        <v>1.4991619201591554E-3</v>
      </c>
      <c r="BV13" s="268">
        <f>+'WICHE Public Grads-RE PROJ'!DL14/'WICHE Public Grads-RE PROJ'!AH14</f>
        <v>1.4513385375388495E-3</v>
      </c>
      <c r="BW13" s="266">
        <f>+'WICHE Public Grads-RE PROJ'!DM14/'WICHE Public Grads-RE PROJ'!AI14</f>
        <v>1.3950412582696089E-3</v>
      </c>
      <c r="BX13" s="266">
        <f>+'WICHE Public Grads-RE PROJ'!DN14/'WICHE Public Grads-RE PROJ'!AJ14</f>
        <v>1.3503477341506318E-3</v>
      </c>
      <c r="BY13" s="266">
        <f>+'WICHE Public Grads-RE PROJ'!DO14/'WICHE Public Grads-RE PROJ'!AK14</f>
        <v>1.1921729514358698E-3</v>
      </c>
      <c r="BZ13" s="266">
        <f>+'WICHE Public Grads-RE PROJ'!DP14/'WICHE Public Grads-RE PROJ'!AL14</f>
        <v>1.090155847587248E-3</v>
      </c>
      <c r="CA13" s="266">
        <f>+'WICHE Public Grads-RE PROJ'!DQ14/'WICHE Public Grads-RE PROJ'!AM14</f>
        <v>1.6237390045695833E-3</v>
      </c>
      <c r="CB13" s="266">
        <f>+'WICHE Public Grads-RE PROJ'!DR14/'WICHE Public Grads-RE PROJ'!AN14</f>
        <v>1.3206572258586435E-3</v>
      </c>
      <c r="CC13" s="266">
        <f>+'WICHE Public Grads-RE PROJ'!DS14/'WICHE Public Grads-RE PROJ'!AO14</f>
        <v>1.1327356463512021E-3</v>
      </c>
      <c r="CD13" s="266">
        <f>+'WICHE Public Grads-RE PROJ'!DT14/'WICHE Public Grads-RE PROJ'!AP14</f>
        <v>1.0538482116816913E-3</v>
      </c>
      <c r="CE13" s="282">
        <f>+'WICHE Public Grads-RE PROJ'!DU14/'WICHE Public Grads-RE PROJ'!AQ14</f>
        <v>1.2581010749725099E-3</v>
      </c>
      <c r="CF13" s="262">
        <f>+'WICHE Public Grads-RE PROJ'!DV14/'WICHE Public Grads-RE PROJ'!B14</f>
        <v>6.8107025325511517E-3</v>
      </c>
      <c r="CG13" s="262">
        <f>+'WICHE Public Grads-RE PROJ'!DW14/'WICHE Public Grads-RE PROJ'!C14</f>
        <v>6.7655142521013826E-3</v>
      </c>
      <c r="CH13" s="262">
        <f>+'WICHE Public Grads-RE PROJ'!DX14/'WICHE Public Grads-RE PROJ'!D14</f>
        <v>6.7655142521013834E-3</v>
      </c>
      <c r="CI13" s="262">
        <f>+'WICHE Public Grads-RE PROJ'!DY14/'WICHE Public Grads-RE PROJ'!E14</f>
        <v>6.7655142521013826E-3</v>
      </c>
      <c r="CJ13" s="262">
        <f>+'WICHE Public Grads-RE PROJ'!DZ14/'WICHE Public Grads-RE PROJ'!F14</f>
        <v>7.0958762042520676E-3</v>
      </c>
      <c r="CK13" s="262">
        <f>+'WICHE Public Grads-RE PROJ'!EA14/'WICHE Public Grads-RE PROJ'!G14</f>
        <v>6.3885655504723748E-3</v>
      </c>
      <c r="CL13" s="267">
        <f>+'WICHE Public Grads-RE PROJ'!EB14/'WICHE Public Grads-RE PROJ'!H14</f>
        <v>6.0101958679903405E-3</v>
      </c>
      <c r="CM13" s="267">
        <f>+'WICHE Public Grads-RE PROJ'!EC14/'WICHE Public Grads-RE PROJ'!I14</f>
        <v>5.7496085947200777E-3</v>
      </c>
      <c r="CN13" s="267">
        <f>+'WICHE Public Grads-RE PROJ'!ED14/'WICHE Public Grads-RE PROJ'!J14</f>
        <v>6.4892750475156122E-3</v>
      </c>
      <c r="CO13" s="267">
        <f>+'WICHE Public Grads-RE PROJ'!EE14/'WICHE Public Grads-RE PROJ'!K14</f>
        <v>7.2787293340909704E-3</v>
      </c>
      <c r="CP13" s="262">
        <f>+'WICHE Public Grads-RE PROJ'!EF14/'WICHE Public Grads-RE PROJ'!L14</f>
        <v>9.6320554806395686E-3</v>
      </c>
      <c r="CQ13" s="267">
        <f>+'WICHE Public Grads-RE PROJ'!EG14/'WICHE Public Grads-RE PROJ'!M14</f>
        <v>8.7108939289318524E-3</v>
      </c>
      <c r="CR13" s="267">
        <f>+'WICHE Public Grads-RE PROJ'!EH14/'WICHE Public Grads-RE PROJ'!N14</f>
        <v>9.1830523725090641E-3</v>
      </c>
      <c r="CS13" s="267">
        <f>+'WICHE Public Grads-RE PROJ'!EI14/'WICHE Public Grads-RE PROJ'!O14</f>
        <v>1.065131904476679E-2</v>
      </c>
      <c r="CT13" s="267">
        <f>+'WICHE Public Grads-RE PROJ'!EJ14/'WICHE Public Grads-RE PROJ'!P14</f>
        <v>1.0117298239225988E-2</v>
      </c>
      <c r="CU13" s="267">
        <f>+'WICHE Public Grads-RE PROJ'!EK14/'WICHE Public Grads-RE PROJ'!Q14</f>
        <v>1.035832118468503E-2</v>
      </c>
      <c r="CV13" s="267">
        <f>+'WICHE Public Grads-RE PROJ'!EL14/'WICHE Public Grads-RE PROJ'!R14</f>
        <v>9.9138259742240532E-3</v>
      </c>
      <c r="CW13" s="267">
        <f>+'WICHE Public Grads-RE PROJ'!EM14/'WICHE Public Grads-RE PROJ'!S14</f>
        <v>9.9639196196028776E-3</v>
      </c>
      <c r="CX13" s="267">
        <f>+'WICHE Public Grads-RE PROJ'!EN14/'WICHE Public Grads-RE PROJ'!T14</f>
        <v>1.2492968310519407E-2</v>
      </c>
      <c r="CY13" s="267">
        <f>+'WICHE Public Grads-RE PROJ'!EO14/'WICHE Public Grads-RE PROJ'!U14</f>
        <v>1.1398469683336953E-2</v>
      </c>
      <c r="CZ13" s="267">
        <f>+'WICHE Public Grads-RE PROJ'!EP14/'WICHE Public Grads-RE PROJ'!V14</f>
        <v>1.3393468173158988E-2</v>
      </c>
      <c r="DA13" s="267">
        <f>+'WICHE Public Grads-RE PROJ'!EQ14/'WICHE Public Grads-RE PROJ'!W14</f>
        <v>1.360993259461586E-2</v>
      </c>
      <c r="DB13" s="268">
        <f>+'WICHE Public Grads-RE PROJ'!ER14/'WICHE Public Grads-RE PROJ'!Y14</f>
        <v>1.4776599324052108E-2</v>
      </c>
      <c r="DC13" s="268">
        <f>+'WICHE Public Grads-RE PROJ'!ES14/'WICHE Public Grads-RE PROJ'!Z14</f>
        <v>1.5755124162280452E-2</v>
      </c>
      <c r="DD13" s="268">
        <f>+'WICHE Public Grads-RE PROJ'!ET14/'WICHE Public Grads-RE PROJ'!AA14</f>
        <v>1.5804452922292229E-2</v>
      </c>
      <c r="DE13" s="268">
        <f>+'WICHE Public Grads-RE PROJ'!EU14/'WICHE Public Grads-RE PROJ'!AB14</f>
        <v>1.7059937167068901E-2</v>
      </c>
      <c r="DF13" s="266">
        <f>+'WICHE Public Grads-RE PROJ'!EV14/'WICHE Public Grads-RE PROJ'!AC14</f>
        <v>1.9458143799144997E-2</v>
      </c>
      <c r="DG13" s="266">
        <f>+'WICHE Public Grads-RE PROJ'!EW14/'WICHE Public Grads-RE PROJ'!AD14</f>
        <v>2.160928907366394E-2</v>
      </c>
      <c r="DH13" s="266">
        <f>+'WICHE Public Grads-RE PROJ'!EX14/'WICHE Public Grads-RE PROJ'!AE14</f>
        <v>2.0694873235180187E-2</v>
      </c>
      <c r="DI13" s="266">
        <f>+'WICHE Public Grads-RE PROJ'!EY14/'WICHE Public Grads-RE PROJ'!AF14</f>
        <v>2.4373849300428439E-2</v>
      </c>
      <c r="DJ13" s="266">
        <f>+'WICHE Public Grads-RE PROJ'!EZ14/'WICHE Public Grads-RE PROJ'!AG14</f>
        <v>2.6295798296242876E-2</v>
      </c>
      <c r="DK13" s="268">
        <f>+'WICHE Public Grads-RE PROJ'!FA14/'WICHE Public Grads-RE PROJ'!AH14</f>
        <v>2.5616564692806529E-2</v>
      </c>
      <c r="DL13" s="266">
        <f>+'WICHE Public Grads-RE PROJ'!FB14/'WICHE Public Grads-RE PROJ'!AI14</f>
        <v>2.6248832491696808E-2</v>
      </c>
      <c r="DM13" s="266">
        <f>+'WICHE Public Grads-RE PROJ'!FC14/'WICHE Public Grads-RE PROJ'!AJ14</f>
        <v>2.6443547466764104E-2</v>
      </c>
      <c r="DN13" s="266">
        <f>+'WICHE Public Grads-RE PROJ'!FD14/'WICHE Public Grads-RE PROJ'!AK14</f>
        <v>2.7134734005316602E-2</v>
      </c>
      <c r="DO13" s="266">
        <f>+'WICHE Public Grads-RE PROJ'!FE14/'WICHE Public Grads-RE PROJ'!AL14</f>
        <v>3.0601081110693509E-2</v>
      </c>
      <c r="DP13" s="266">
        <f>+'WICHE Public Grads-RE PROJ'!FF14/'WICHE Public Grads-RE PROJ'!AM14</f>
        <v>3.06231429992441E-2</v>
      </c>
      <c r="DQ13" s="266">
        <f>+'WICHE Public Grads-RE PROJ'!FG14/'WICHE Public Grads-RE PROJ'!AN14</f>
        <v>3.4146780296091091E-2</v>
      </c>
      <c r="DR13" s="266">
        <f>+'WICHE Public Grads-RE PROJ'!FH14/'WICHE Public Grads-RE PROJ'!AO14</f>
        <v>3.6513866014623732E-2</v>
      </c>
      <c r="DS13" s="266">
        <f>+'WICHE Public Grads-RE PROJ'!FI14/'WICHE Public Grads-RE PROJ'!AP14</f>
        <v>3.3562745076002626E-2</v>
      </c>
      <c r="DT13" s="282">
        <f>+'WICHE Public Grads-RE PROJ'!FJ14/'WICHE Public Grads-RE PROJ'!AQ14</f>
        <v>3.6935771057257781E-2</v>
      </c>
      <c r="DU13" s="262">
        <f>+'WICHE Public Grads-RE PROJ'!FK14/'WICHE Public Grads-RE PROJ'!B14</f>
        <v>8.2501073114894838E-2</v>
      </c>
      <c r="DV13" s="262">
        <f>+'WICHE Public Grads-RE PROJ'!FL14/'WICHE Public Grads-RE PROJ'!C14</f>
        <v>8.2198556035690928E-2</v>
      </c>
      <c r="DW13" s="262">
        <f>+'WICHE Public Grads-RE PROJ'!FM14/'WICHE Public Grads-RE PROJ'!D14</f>
        <v>8.2198556035690928E-2</v>
      </c>
      <c r="DX13" s="262">
        <f>+'WICHE Public Grads-RE PROJ'!FN14/'WICHE Public Grads-RE PROJ'!E14</f>
        <v>8.2198556035690928E-2</v>
      </c>
      <c r="DY13" s="262">
        <f>+'WICHE Public Grads-RE PROJ'!FO14/'WICHE Public Grads-RE PROJ'!F14</f>
        <v>8.1575284517343957E-2</v>
      </c>
      <c r="DZ13" s="262">
        <f>+'WICHE Public Grads-RE PROJ'!FP14/'WICHE Public Grads-RE PROJ'!G14</f>
        <v>8.2509948295931348E-2</v>
      </c>
      <c r="EA13" s="267">
        <f>+'WICHE Public Grads-RE PROJ'!FQ14/'WICHE Public Grads-RE PROJ'!H14</f>
        <v>8.0681513281459616E-2</v>
      </c>
      <c r="EB13" s="267">
        <f>+'WICHE Public Grads-RE PROJ'!FR14/'WICHE Public Grads-RE PROJ'!I14</f>
        <v>8.1412298223829838E-2</v>
      </c>
      <c r="EC13" s="267">
        <f>+'WICHE Public Grads-RE PROJ'!FS14/'WICHE Public Grads-RE PROJ'!J14</f>
        <v>7.8794461037197935E-2</v>
      </c>
      <c r="ED13" s="267">
        <f>+'WICHE Public Grads-RE PROJ'!FT14/'WICHE Public Grads-RE PROJ'!K14</f>
        <v>8.1040127715994267E-2</v>
      </c>
      <c r="EE13" s="262">
        <f>+'WICHE Public Grads-RE PROJ'!FU14/'WICHE Public Grads-RE PROJ'!L14</f>
        <v>8.6716019484272225E-2</v>
      </c>
      <c r="EF13" s="267">
        <f>+'WICHE Public Grads-RE PROJ'!FV14/'WICHE Public Grads-RE PROJ'!M14</f>
        <v>8.2965953152387528E-2</v>
      </c>
      <c r="EG13" s="267">
        <f>+'WICHE Public Grads-RE PROJ'!FW14/'WICHE Public Grads-RE PROJ'!N14</f>
        <v>8.9634001111493375E-2</v>
      </c>
      <c r="EH13" s="267">
        <f>+'WICHE Public Grads-RE PROJ'!FX14/'WICHE Public Grads-RE PROJ'!O14</f>
        <v>9.1851350295580614E-2</v>
      </c>
      <c r="EI13" s="267">
        <f>+'WICHE Public Grads-RE PROJ'!FY14/'WICHE Public Grads-RE PROJ'!P14</f>
        <v>9.1159718068090201E-2</v>
      </c>
      <c r="EJ13" s="267">
        <f>+'WICHE Public Grads-RE PROJ'!FZ14/'WICHE Public Grads-RE PROJ'!Q14</f>
        <v>9.4299086933169643E-2</v>
      </c>
      <c r="EK13" s="267">
        <f>+'WICHE Public Grads-RE PROJ'!GA14/'WICHE Public Grads-RE PROJ'!R14</f>
        <v>9.5808231017565262E-2</v>
      </c>
      <c r="EL13" s="267">
        <f>+'WICHE Public Grads-RE PROJ'!GB14/'WICHE Public Grads-RE PROJ'!S14</f>
        <v>0.1006666507371389</v>
      </c>
      <c r="EM13" s="267">
        <f>+'WICHE Public Grads-RE PROJ'!GC14/'WICHE Public Grads-RE PROJ'!T14</f>
        <v>0.10718638664916558</v>
      </c>
      <c r="EN13" s="267">
        <f>+'WICHE Public Grads-RE PROJ'!GD14/'WICHE Public Grads-RE PROJ'!U14</f>
        <v>0.10630404506398586</v>
      </c>
      <c r="EO13" s="267">
        <f>+'WICHE Public Grads-RE PROJ'!GE14/'WICHE Public Grads-RE PROJ'!V14</f>
        <v>0.10679625015593135</v>
      </c>
      <c r="EP13" s="267">
        <f>+'WICHE Public Grads-RE PROJ'!GF14/'WICHE Public Grads-RE PROJ'!W14</f>
        <v>0.10811959044831421</v>
      </c>
      <c r="EQ13" s="268">
        <f>+'WICHE Public Grads-RE PROJ'!GG14/'WICHE Public Grads-RE PROJ'!Y14</f>
        <v>0.10144902666257022</v>
      </c>
      <c r="ER13" s="268">
        <f>+'WICHE Public Grads-RE PROJ'!GH14/'WICHE Public Grads-RE PROJ'!Z14</f>
        <v>0.10444013288009033</v>
      </c>
      <c r="ES13" s="268">
        <f>+'WICHE Public Grads-RE PROJ'!GI14/'WICHE Public Grads-RE PROJ'!AA14</f>
        <v>0.1084577776267916</v>
      </c>
      <c r="ET13" s="268">
        <f>+'WICHE Public Grads-RE PROJ'!GJ14/'WICHE Public Grads-RE PROJ'!AB14</f>
        <v>0.10723365396227315</v>
      </c>
      <c r="EU13" s="266">
        <f>+'WICHE Public Grads-RE PROJ'!GK14/'WICHE Public Grads-RE PROJ'!AC14</f>
        <v>0.11135072528547019</v>
      </c>
      <c r="EV13" s="266">
        <f>+'WICHE Public Grads-RE PROJ'!GL14/'WICHE Public Grads-RE PROJ'!AD14</f>
        <v>0.11111282656076228</v>
      </c>
      <c r="EW13" s="266">
        <f>+'WICHE Public Grads-RE PROJ'!GM14/'WICHE Public Grads-RE PROJ'!AE14</f>
        <v>0.11543121152947261</v>
      </c>
      <c r="EX13" s="266">
        <f>+'WICHE Public Grads-RE PROJ'!GN14/'WICHE Public Grads-RE PROJ'!AF14</f>
        <v>0.11204434708029644</v>
      </c>
      <c r="EY13" s="266">
        <f>+'WICHE Public Grads-RE PROJ'!GO14/'WICHE Public Grads-RE PROJ'!AG14</f>
        <v>0.10968140409572469</v>
      </c>
      <c r="EZ13" s="268">
        <f>+'WICHE Public Grads-RE PROJ'!GP14/'WICHE Public Grads-RE PROJ'!AH14</f>
        <v>0.11132302293875672</v>
      </c>
      <c r="FA13" s="266">
        <f>+'WICHE Public Grads-RE PROJ'!GQ14/'WICHE Public Grads-RE PROJ'!AI14</f>
        <v>0.11427014537115994</v>
      </c>
      <c r="FB13" s="266">
        <f>+'WICHE Public Grads-RE PROJ'!GR14/'WICHE Public Grads-RE PROJ'!AJ14</f>
        <v>0.11661894507596694</v>
      </c>
      <c r="FC13" s="266">
        <f>+'WICHE Public Grads-RE PROJ'!GS14/'WICHE Public Grads-RE PROJ'!AK14</f>
        <v>0.11972577139917466</v>
      </c>
      <c r="FD13" s="266">
        <f>+'WICHE Public Grads-RE PROJ'!GT14/'WICHE Public Grads-RE PROJ'!AL14</f>
        <v>0.1212292107519455</v>
      </c>
      <c r="FE13" s="266">
        <f>+'WICHE Public Grads-RE PROJ'!GU14/'WICHE Public Grads-RE PROJ'!AM14</f>
        <v>0.12030557134715121</v>
      </c>
      <c r="FF13" s="266">
        <f>+'WICHE Public Grads-RE PROJ'!GV14/'WICHE Public Grads-RE PROJ'!AN14</f>
        <v>0.12017637312487058</v>
      </c>
      <c r="FG13" s="266">
        <f>+'WICHE Public Grads-RE PROJ'!GW14/'WICHE Public Grads-RE PROJ'!AO14</f>
        <v>0.11646137197971777</v>
      </c>
      <c r="FH13" s="266">
        <f>+'WICHE Public Grads-RE PROJ'!GX14/'WICHE Public Grads-RE PROJ'!AP14</f>
        <v>0.11998101481813135</v>
      </c>
      <c r="FI13" s="282">
        <f>+'WICHE Public Grads-RE PROJ'!GY14/'WICHE Public Grads-RE PROJ'!AQ14</f>
        <v>0.12201878480446068</v>
      </c>
      <c r="FJ13" s="262">
        <f>+'WICHE Public Grads-RE PROJ'!GZ14/'WICHE Public Grads-RE PROJ'!B14</f>
        <v>2.6613249391901558E-3</v>
      </c>
      <c r="FK13" s="262">
        <f>+'WICHE Public Grads-RE PROJ'!HA14/'WICHE Public Grads-RE PROJ'!C14</f>
        <v>3.5325412484605882E-3</v>
      </c>
      <c r="FL13" s="262">
        <f>+'WICHE Public Grads-RE PROJ'!HB14/'WICHE Public Grads-RE PROJ'!D14</f>
        <v>3.5325412484605882E-3</v>
      </c>
      <c r="FM13" s="262">
        <f>+'WICHE Public Grads-RE PROJ'!HC14/'WICHE Public Grads-RE PROJ'!E14</f>
        <v>3.5325412484605886E-3</v>
      </c>
      <c r="FN13" s="262">
        <f>+'WICHE Public Grads-RE PROJ'!HD14/'WICHE Public Grads-RE PROJ'!F14</f>
        <v>3.9027319123386369E-3</v>
      </c>
      <c r="FO13" s="262">
        <f>+'WICHE Public Grads-RE PROJ'!HE14/'WICHE Public Grads-RE PROJ'!G14</f>
        <v>4.0605289515714248E-3</v>
      </c>
      <c r="FP13" s="267">
        <f>+'WICHE Public Grads-RE PROJ'!HF14/'WICHE Public Grads-RE PROJ'!H14</f>
        <v>4.5881405956533401E-3</v>
      </c>
      <c r="FQ13" s="267">
        <f>+'WICHE Public Grads-RE PROJ'!HG14/'WICHE Public Grads-RE PROJ'!I14</f>
        <v>2.4024186146952438E-3</v>
      </c>
      <c r="FR13" s="267">
        <f>+'WICHE Public Grads-RE PROJ'!HH14/'WICHE Public Grads-RE PROJ'!J14</f>
        <v>5.3489003529731197E-3</v>
      </c>
      <c r="FS13" s="267">
        <f>+'WICHE Public Grads-RE PROJ'!HI14/'WICHE Public Grads-RE PROJ'!K14</f>
        <v>6.2775658197364503E-3</v>
      </c>
      <c r="FT13" s="262">
        <f>+'WICHE Public Grads-RE PROJ'!HJ14/'WICHE Public Grads-RE PROJ'!L14</f>
        <v>6.8525194705121506E-3</v>
      </c>
      <c r="FU13" s="267">
        <f>+'WICHE Public Grads-RE PROJ'!HK14/'WICHE Public Grads-RE PROJ'!M14</f>
        <v>1.0224677325118182E-2</v>
      </c>
      <c r="FV13" s="267">
        <f>+'WICHE Public Grads-RE PROJ'!HL14/'WICHE Public Grads-RE PROJ'!N14</f>
        <v>1.5507978934554212E-2</v>
      </c>
      <c r="FW13" s="267">
        <f>+'WICHE Public Grads-RE PROJ'!HM14/'WICHE Public Grads-RE PROJ'!O14</f>
        <v>1.05731920102086E-2</v>
      </c>
      <c r="FX13" s="267">
        <f>+'WICHE Public Grads-RE PROJ'!HN14/'WICHE Public Grads-RE PROJ'!P14</f>
        <v>1.2197976540352155E-2</v>
      </c>
      <c r="FY13" s="267">
        <f>+'WICHE Public Grads-RE PROJ'!HO14/'WICHE Public Grads-RE PROJ'!Q14</f>
        <v>1.2557865930074939E-2</v>
      </c>
      <c r="FZ13" s="267">
        <f>+'WICHE Public Grads-RE PROJ'!HP14/'WICHE Public Grads-RE PROJ'!R14</f>
        <v>1.4870738961336078E-2</v>
      </c>
      <c r="GA13" s="267">
        <f>+'WICHE Public Grads-RE PROJ'!HQ14/'WICHE Public Grads-RE PROJ'!S14</f>
        <v>1.6964947074143987E-2</v>
      </c>
      <c r="GB13" s="267">
        <f>+'WICHE Public Grads-RE PROJ'!HR14/'WICHE Public Grads-RE PROJ'!T14</f>
        <v>1.9571535720982563E-2</v>
      </c>
      <c r="GC13" s="267">
        <f>+'WICHE Public Grads-RE PROJ'!HS14/'WICHE Public Grads-RE PROJ'!U14</f>
        <v>2.244893216518324E-2</v>
      </c>
      <c r="GD13" s="267">
        <f>+'WICHE Public Grads-RE PROJ'!HT14/'WICHE Public Grads-RE PROJ'!V14</f>
        <v>2.4693963697762771E-2</v>
      </c>
      <c r="GE13" s="267">
        <f>+'WICHE Public Grads-RE PROJ'!HU14/'WICHE Public Grads-RE PROJ'!W14</f>
        <v>2.8819250139899274E-2</v>
      </c>
      <c r="GF13" s="268">
        <f>+'WICHE Public Grads-RE PROJ'!HV14/'WICHE Public Grads-RE PROJ'!Y14</f>
        <v>3.0325859117726645E-2</v>
      </c>
      <c r="GG13" s="268">
        <f>+'WICHE Public Grads-RE PROJ'!HW14/'WICHE Public Grads-RE PROJ'!Z14</f>
        <v>3.5903221726569075E-2</v>
      </c>
      <c r="GH13" s="268">
        <f>+'WICHE Public Grads-RE PROJ'!HX14/'WICHE Public Grads-RE PROJ'!AA14</f>
        <v>3.9030725903165975E-2</v>
      </c>
      <c r="GI13" s="268">
        <f>+'WICHE Public Grads-RE PROJ'!HY14/'WICHE Public Grads-RE PROJ'!AB14</f>
        <v>4.3731670095910613E-2</v>
      </c>
      <c r="GJ13" s="266">
        <f>+'WICHE Public Grads-RE PROJ'!HZ14/'WICHE Public Grads-RE PROJ'!AC14</f>
        <v>4.8528214151753429E-2</v>
      </c>
      <c r="GK13" s="266">
        <f>+'WICHE Public Grads-RE PROJ'!IA14/'WICHE Public Grads-RE PROJ'!AD14</f>
        <v>5.8378533641348117E-2</v>
      </c>
      <c r="GL13" s="266">
        <f>+'WICHE Public Grads-RE PROJ'!IB14/'WICHE Public Grads-RE PROJ'!AE14</f>
        <v>6.6164422908804504E-2</v>
      </c>
      <c r="GM13" s="266">
        <f>+'WICHE Public Grads-RE PROJ'!IC14/'WICHE Public Grads-RE PROJ'!AF14</f>
        <v>7.3147341071097549E-2</v>
      </c>
      <c r="GN13" s="266">
        <f>+'WICHE Public Grads-RE PROJ'!ID14/'WICHE Public Grads-RE PROJ'!AG14</f>
        <v>7.7930385041728112E-2</v>
      </c>
      <c r="GO13" s="268">
        <f>+'WICHE Public Grads-RE PROJ'!IE14/'WICHE Public Grads-RE PROJ'!AH14</f>
        <v>8.837998375594551E-2</v>
      </c>
      <c r="GP13" s="266">
        <f>+'WICHE Public Grads-RE PROJ'!IF14/'WICHE Public Grads-RE PROJ'!AI14</f>
        <v>0.10488778490804944</v>
      </c>
      <c r="GQ13" s="266">
        <f>+'WICHE Public Grads-RE PROJ'!IG14/'WICHE Public Grads-RE PROJ'!AJ14</f>
        <v>0.1137880815708753</v>
      </c>
      <c r="GR13" s="266">
        <f>+'WICHE Public Grads-RE PROJ'!IH14/'WICHE Public Grads-RE PROJ'!AK14</f>
        <v>0.10531353672579036</v>
      </c>
      <c r="GS13" s="266">
        <f>+'WICHE Public Grads-RE PROJ'!II14/'WICHE Public Grads-RE PROJ'!AL14</f>
        <v>0.10878076559696333</v>
      </c>
      <c r="GT13" s="266">
        <f>+'WICHE Public Grads-RE PROJ'!IJ14/'WICHE Public Grads-RE PROJ'!AM14</f>
        <v>0.10815970456200526</v>
      </c>
      <c r="GU13" s="266">
        <f>+'WICHE Public Grads-RE PROJ'!IK14/'WICHE Public Grads-RE PROJ'!AN14</f>
        <v>0.10720517645412912</v>
      </c>
      <c r="GV13" s="266">
        <f>+'WICHE Public Grads-RE PROJ'!IL14/'WICHE Public Grads-RE PROJ'!AO14</f>
        <v>0.10434654113973098</v>
      </c>
      <c r="GW13" s="266">
        <f>+'WICHE Public Grads-RE PROJ'!IM14/'WICHE Public Grads-RE PROJ'!AP14</f>
        <v>0.10249791721294416</v>
      </c>
      <c r="GX13" s="282">
        <f>+'WICHE Public Grads-RE PROJ'!IN14/'WICHE Public Grads-RE PROJ'!AQ14</f>
        <v>0.10631127740132</v>
      </c>
      <c r="GY13" s="262">
        <f>+'WICHE Public Grads-RE PROJ'!IO14/'WICHE Public Grads-RE PROJ'!B14</f>
        <v>0.90739733867506078</v>
      </c>
      <c r="GZ13" s="262">
        <f>+'WICHE Public Grads-RE PROJ'!IP14/'WICHE Public Grads-RE PROJ'!C14</f>
        <v>0.90161426058290295</v>
      </c>
      <c r="HA13" s="262">
        <f>+'WICHE Public Grads-RE PROJ'!IQ14/'WICHE Public Grads-RE PROJ'!D14</f>
        <v>0.90161426058290284</v>
      </c>
      <c r="HB13" s="262">
        <f>+'WICHE Public Grads-RE PROJ'!IR14/'WICHE Public Grads-RE PROJ'!E14</f>
        <v>0.90161426058290284</v>
      </c>
      <c r="HC13" s="262">
        <f>+'WICHE Public Grads-RE PROJ'!IS14/'WICHE Public Grads-RE PROJ'!F14</f>
        <v>0.89940230888894956</v>
      </c>
      <c r="HD13" s="262">
        <f>+'WICHE Public Grads-RE PROJ'!IT14/'WICHE Public Grads-RE PROJ'!G14</f>
        <v>0.89786416177147343</v>
      </c>
      <c r="HE13" s="267">
        <f>+'WICHE Public Grads-RE PROJ'!IU14/'WICHE Public Grads-RE PROJ'!H14</f>
        <v>0.9017171988194258</v>
      </c>
      <c r="HF13" s="267">
        <f>+'WICHE Public Grads-RE PROJ'!IV14/'WICHE Public Grads-RE PROJ'!I14</f>
        <v>0.90363332073638181</v>
      </c>
      <c r="HG13" s="267">
        <f>+'WICHE Public Grads-RE PROJ'!IW14/'WICHE Public Grads-RE PROJ'!J14</f>
        <v>0.89429812652728757</v>
      </c>
      <c r="HH13" s="267">
        <f>+'WICHE Public Grads-RE PROJ'!IX14/'WICHE Public Grads-RE PROJ'!K14</f>
        <v>0.90432123819574095</v>
      </c>
      <c r="HI13" s="262">
        <f>+'WICHE Public Grads-RE PROJ'!IY14/'WICHE Public Grads-RE PROJ'!L14</f>
        <v>0.89594628065057658</v>
      </c>
      <c r="HJ13" s="267">
        <f>+'WICHE Public Grads-RE PROJ'!IZ14/'WICHE Public Grads-RE PROJ'!M14</f>
        <v>0.89690338343867848</v>
      </c>
      <c r="HK13" s="267">
        <f>+'WICHE Public Grads-RE PROJ'!JA14/'WICHE Public Grads-RE PROJ'!N14</f>
        <v>0.88350490909572077</v>
      </c>
      <c r="HL13" s="267">
        <f>+'WICHE Public Grads-RE PROJ'!JB14/'WICHE Public Grads-RE PROJ'!O14</f>
        <v>0.88502304747519467</v>
      </c>
      <c r="HM13" s="267">
        <f>+'WICHE Public Grads-RE PROJ'!JC14/'WICHE Public Grads-RE PROJ'!P14</f>
        <v>0.86075060469713127</v>
      </c>
      <c r="HN13" s="267">
        <f>+'WICHE Public Grads-RE PROJ'!JD14/'WICHE Public Grads-RE PROJ'!Q14</f>
        <v>0.85848742934601907</v>
      </c>
      <c r="HO13" s="267">
        <f>+'WICHE Public Grads-RE PROJ'!JE14/'WICHE Public Grads-RE PROJ'!R14</f>
        <v>0.86898497674063901</v>
      </c>
      <c r="HP13" s="267">
        <f>+'WICHE Public Grads-RE PROJ'!JF14/'WICHE Public Grads-RE PROJ'!S14</f>
        <v>0.86124584836682516</v>
      </c>
      <c r="HQ13" s="267">
        <f>+'WICHE Public Grads-RE PROJ'!JG14/'WICHE Public Grads-RE PROJ'!T14</f>
        <v>0.8595537221076317</v>
      </c>
      <c r="HR13" s="267">
        <f>+'WICHE Public Grads-RE PROJ'!JH14/'WICHE Public Grads-RE PROJ'!U14</f>
        <v>0.85872499990988316</v>
      </c>
      <c r="HS13" s="267">
        <f>+'WICHE Public Grads-RE PROJ'!JI14/'WICHE Public Grads-RE PROJ'!V14</f>
        <v>0.85390895143637779</v>
      </c>
      <c r="HT13" s="267">
        <f>+'WICHE Public Grads-RE PROJ'!JJ14/'WICHE Public Grads-RE PROJ'!W14</f>
        <v>0.84665562878694289</v>
      </c>
      <c r="HU13" s="268">
        <f>+'WICHE Public Grads-RE PROJ'!JK14/'WICHE Public Grads-RE PROJ'!Y14</f>
        <v>0.85326333046433633</v>
      </c>
      <c r="HV13" s="268">
        <f>+'WICHE Public Grads-RE PROJ'!JL14/'WICHE Public Grads-RE PROJ'!Z14</f>
        <v>0.8468680806042086</v>
      </c>
      <c r="HW13" s="268">
        <f>+'WICHE Public Grads-RE PROJ'!JM14/'WICHE Public Grads-RE PROJ'!AA14</f>
        <v>0.84166550851331146</v>
      </c>
      <c r="HX13" s="268">
        <f>+'WICHE Public Grads-RE PROJ'!JN14/'WICHE Public Grads-RE PROJ'!AB14</f>
        <v>0.83962309664479062</v>
      </c>
      <c r="HY13" s="266">
        <f>+'WICHE Public Grads-RE PROJ'!JO14/'WICHE Public Grads-RE PROJ'!AC14</f>
        <v>0.83160441560687903</v>
      </c>
      <c r="HZ13" s="266">
        <f>+'WICHE Public Grads-RE PROJ'!JP14/'WICHE Public Grads-RE PROJ'!AD14</f>
        <v>0.82587553456543217</v>
      </c>
      <c r="IA13" s="266">
        <f>+'WICHE Public Grads-RE PROJ'!JQ14/'WICHE Public Grads-RE PROJ'!AE14</f>
        <v>0.81997148309639645</v>
      </c>
      <c r="IB13" s="266">
        <f>+'WICHE Public Grads-RE PROJ'!JR14/'WICHE Public Grads-RE PROJ'!AF14</f>
        <v>0.81879772784171545</v>
      </c>
      <c r="IC13" s="266">
        <f>+'WICHE Public Grads-RE PROJ'!JS14/'WICHE Public Grads-RE PROJ'!AG14</f>
        <v>0.82001566857981634</v>
      </c>
      <c r="ID13" s="268">
        <f>+'WICHE Public Grads-RE PROJ'!JT14/'WICHE Public Grads-RE PROJ'!AH14</f>
        <v>0.81567113662063329</v>
      </c>
      <c r="IE13" s="266">
        <f>+'WICHE Public Grads-RE PROJ'!JU14/'WICHE Public Grads-RE PROJ'!AI14</f>
        <v>0.80605620113643806</v>
      </c>
      <c r="IF13" s="266">
        <f>+'WICHE Public Grads-RE PROJ'!JV14/'WICHE Public Grads-RE PROJ'!AJ14</f>
        <v>0.80476095289820737</v>
      </c>
      <c r="IG13" s="266">
        <f>+'WICHE Public Grads-RE PROJ'!JW14/'WICHE Public Grads-RE PROJ'!AK14</f>
        <v>0.80259920182387678</v>
      </c>
      <c r="IH13" s="266">
        <f>+'WICHE Public Grads-RE PROJ'!JX14/'WICHE Public Grads-RE PROJ'!AL14</f>
        <v>0.79787198030590833</v>
      </c>
      <c r="II13" s="266">
        <f>+'WICHE Public Grads-RE PROJ'!JY14/'WICHE Public Grads-RE PROJ'!AM14</f>
        <v>0.79866892503699338</v>
      </c>
      <c r="IJ13" s="266">
        <f>+'WICHE Public Grads-RE PROJ'!JZ14/'WICHE Public Grads-RE PROJ'!AN14</f>
        <v>0.79686977534273185</v>
      </c>
      <c r="IK13" s="266">
        <f>+'WICHE Public Grads-RE PROJ'!KA14/'WICHE Public Grads-RE PROJ'!AO14</f>
        <v>0.80008562088569901</v>
      </c>
      <c r="IL13" s="266">
        <f>+'WICHE Public Grads-RE PROJ'!KB14/'WICHE Public Grads-RE PROJ'!AP14</f>
        <v>0.79961675486134998</v>
      </c>
      <c r="IM13" s="282">
        <f>+'WICHE Public Grads-RE PROJ'!KC14/'WICHE Public Grads-RE PROJ'!AQ14</f>
        <v>0.79420797784083674</v>
      </c>
      <c r="IN13" s="278">
        <f t="shared" si="5"/>
        <v>1</v>
      </c>
      <c r="IO13" s="278">
        <f t="shared" si="6"/>
        <v>1</v>
      </c>
      <c r="IP13" s="278">
        <f t="shared" si="7"/>
        <v>0.99999999999999989</v>
      </c>
      <c r="IQ13" s="278">
        <f t="shared" si="8"/>
        <v>0.99999999999999989</v>
      </c>
      <c r="IR13" s="278">
        <f t="shared" si="9"/>
        <v>1</v>
      </c>
      <c r="IS13" s="278">
        <f t="shared" si="10"/>
        <v>1</v>
      </c>
      <c r="IT13" s="278">
        <f t="shared" si="11"/>
        <v>1</v>
      </c>
      <c r="IU13" s="278">
        <f t="shared" si="12"/>
        <v>1</v>
      </c>
      <c r="IV13" s="278">
        <f t="shared" si="13"/>
        <v>1</v>
      </c>
      <c r="IW13" s="278">
        <f t="shared" si="14"/>
        <v>1</v>
      </c>
      <c r="IX13" s="278">
        <f t="shared" si="15"/>
        <v>1</v>
      </c>
      <c r="IY13" s="278">
        <f t="shared" si="16"/>
        <v>1</v>
      </c>
      <c r="IZ13" s="278">
        <f t="shared" si="17"/>
        <v>0.99915314790801069</v>
      </c>
      <c r="JA13" s="278">
        <f t="shared" si="18"/>
        <v>0.99966144951691449</v>
      </c>
      <c r="JB13" s="278">
        <f t="shared" si="19"/>
        <v>0.9756820723555879</v>
      </c>
      <c r="JC13" s="278">
        <f t="shared" si="20"/>
        <v>0.97700708458016827</v>
      </c>
      <c r="JD13" s="278">
        <f t="shared" si="21"/>
        <v>0.99092503622359485</v>
      </c>
      <c r="JE13" s="278">
        <f t="shared" si="22"/>
        <v>0.98989656301999951</v>
      </c>
      <c r="JF13" s="278">
        <f t="shared" si="23"/>
        <v>1</v>
      </c>
      <c r="JG13" s="278">
        <f t="shared" si="24"/>
        <v>1</v>
      </c>
      <c r="JH13" s="278">
        <f t="shared" si="25"/>
        <v>1</v>
      </c>
      <c r="JI13" s="278">
        <f t="shared" si="26"/>
        <v>1</v>
      </c>
      <c r="JJ13" s="278">
        <f t="shared" si="27"/>
        <v>1.0016164952583582</v>
      </c>
      <c r="JK13" s="278">
        <f t="shared" si="28"/>
        <v>1.0046455268372037</v>
      </c>
      <c r="JL13" s="278">
        <f t="shared" si="29"/>
        <v>1.0067511654913976</v>
      </c>
      <c r="JM13" s="278">
        <f t="shared" si="30"/>
        <v>1.0091937533099324</v>
      </c>
      <c r="JN13" s="278">
        <f t="shared" si="31"/>
        <v>1.0131341914740559</v>
      </c>
      <c r="JO13" s="278">
        <f t="shared" si="32"/>
        <v>1.0185259971153411</v>
      </c>
      <c r="JP13" s="278">
        <f t="shared" si="33"/>
        <v>1.0238189120999817</v>
      </c>
      <c r="JQ13" s="278">
        <f t="shared" si="34"/>
        <v>1.0299804531293832</v>
      </c>
      <c r="JR13" s="278">
        <f t="shared" si="35"/>
        <v>1.0354224179336713</v>
      </c>
      <c r="JS13" s="278">
        <f t="shared" si="36"/>
        <v>1.042442046545681</v>
      </c>
      <c r="JT13" s="278">
        <f t="shared" si="37"/>
        <v>1.0528580051656138</v>
      </c>
      <c r="JU13" s="278">
        <f t="shared" si="38"/>
        <v>1.0629618747459644</v>
      </c>
      <c r="JV13" s="278">
        <f t="shared" si="39"/>
        <v>1.0559654169055943</v>
      </c>
      <c r="JW13" s="278">
        <f t="shared" si="40"/>
        <v>1.0595731936130979</v>
      </c>
      <c r="JX13" s="278">
        <f t="shared" si="41"/>
        <v>1.0593810829499635</v>
      </c>
      <c r="JY13" s="278">
        <f t="shared" si="42"/>
        <v>1.0597187624436812</v>
      </c>
      <c r="JZ13" s="278">
        <f t="shared" si="42"/>
        <v>1.0585401356661226</v>
      </c>
      <c r="KA13" s="278">
        <f t="shared" si="42"/>
        <v>1.0567122801801099</v>
      </c>
      <c r="KB13" s="278">
        <f t="shared" si="42"/>
        <v>1.0607319121788477</v>
      </c>
    </row>
    <row r="14" spans="1:288" s="17" customFormat="1">
      <c r="A14" s="173" t="s">
        <v>39</v>
      </c>
      <c r="B14" s="262">
        <f>+'WICHE Public Grads-RE PROJ'!AR15/'WICHE Public Grads-RE PROJ'!B15</f>
        <v>1.6869786336713492E-2</v>
      </c>
      <c r="C14" s="262">
        <f>+'WICHE Public Grads-RE PROJ'!AS15/'WICHE Public Grads-RE PROJ'!C15</f>
        <v>2.030758268511371E-2</v>
      </c>
      <c r="D14" s="262">
        <f>+'WICHE Public Grads-RE PROJ'!AT15/'WICHE Public Grads-RE PROJ'!D15</f>
        <v>1.9786341967721555E-2</v>
      </c>
      <c r="E14" s="262">
        <f>+'WICHE Public Grads-RE PROJ'!AU15/'WICHE Public Grads-RE PROJ'!E15</f>
        <v>2.0970461839743239E-2</v>
      </c>
      <c r="F14" s="262">
        <f>+'WICHE Public Grads-RE PROJ'!AV15/'WICHE Public Grads-RE PROJ'!F15</f>
        <v>2.0138739513873953E-2</v>
      </c>
      <c r="G14" s="262">
        <f>+'WICHE Public Grads-RE PROJ'!AW15/'WICHE Public Grads-RE PROJ'!G15</f>
        <v>2.1948212083847101E-2</v>
      </c>
      <c r="H14" s="267">
        <f>+'WICHE Public Grads-RE PROJ'!AX15/'WICHE Public Grads-RE PROJ'!H15</f>
        <v>1.9879042860899289E-2</v>
      </c>
      <c r="I14" s="267">
        <f>+'WICHE Public Grads-RE PROJ'!AY15/'WICHE Public Grads-RE PROJ'!I15</f>
        <v>2.116290143378657E-2</v>
      </c>
      <c r="J14" s="267">
        <f>+'WICHE Public Grads-RE PROJ'!AZ15/'WICHE Public Grads-RE PROJ'!J15</f>
        <v>2.2612542284673433E-2</v>
      </c>
      <c r="K14" s="267">
        <f>+'WICHE Public Grads-RE PROJ'!BA15/'WICHE Public Grads-RE PROJ'!K15</f>
        <v>2.3124706373649318E-2</v>
      </c>
      <c r="L14" s="262">
        <f>+'WICHE Public Grads-RE PROJ'!BB15/'WICHE Public Grads-RE PROJ'!L15</f>
        <v>2.2345337026777469E-2</v>
      </c>
      <c r="M14" s="267">
        <f>+'WICHE Public Grads-RE PROJ'!BC15/'WICHE Public Grads-RE PROJ'!M15</f>
        <v>2.2759904280776389E-2</v>
      </c>
      <c r="N14" s="267">
        <f>+'WICHE Public Grads-RE PROJ'!BD15/'WICHE Public Grads-RE PROJ'!N15</f>
        <v>2.4473918798454848E-2</v>
      </c>
      <c r="O14" s="267">
        <f>+'WICHE Public Grads-RE PROJ'!BE15/'WICHE Public Grads-RE PROJ'!O15</f>
        <v>2.588241828431781E-2</v>
      </c>
      <c r="P14" s="267">
        <f>+'WICHE Public Grads-RE PROJ'!BF15/'WICHE Public Grads-RE PROJ'!P15</f>
        <v>2.5935386927122463E-2</v>
      </c>
      <c r="Q14" s="267">
        <f>+'WICHE Public Grads-RE PROJ'!BG15/'WICHE Public Grads-RE PROJ'!Q15</f>
        <v>2.6258971815370253E-2</v>
      </c>
      <c r="R14" s="267">
        <f>+'WICHE Public Grads-RE PROJ'!BH15/'WICHE Public Grads-RE PROJ'!R15</f>
        <v>2.4999273276939623E-2</v>
      </c>
      <c r="S14" s="267">
        <f>+'WICHE Public Grads-RE PROJ'!BI15/'WICHE Public Grads-RE PROJ'!S15</f>
        <v>2.720229071921846E-2</v>
      </c>
      <c r="T14" s="267">
        <f>+'WICHE Public Grads-RE PROJ'!BJ15/'WICHE Public Grads-RE PROJ'!T15</f>
        <v>2.6412927569518498E-2</v>
      </c>
      <c r="U14" s="267">
        <f>+'WICHE Public Grads-RE PROJ'!BK15/'WICHE Public Grads-RE PROJ'!U15</f>
        <v>2.6892801234199275E-2</v>
      </c>
      <c r="V14" s="267">
        <f>+'WICHE Public Grads-RE PROJ'!BL15/'WICHE Public Grads-RE PROJ'!V15</f>
        <v>2.6928699175386952E-2</v>
      </c>
      <c r="W14" s="267">
        <f>+'WICHE Public Grads-RE PROJ'!BM15/'WICHE Public Grads-RE PROJ'!W15</f>
        <v>2.7382166759369254E-2</v>
      </c>
      <c r="X14" s="268">
        <f>+'WICHE Public Grads-RE PROJ'!BN15/'WICHE Public Grads-RE PROJ'!Y15</f>
        <v>2.9149867055321198E-2</v>
      </c>
      <c r="Y14" s="268">
        <f>+'WICHE Public Grads-RE PROJ'!BO15/'WICHE Public Grads-RE PROJ'!Z15</f>
        <v>2.8486712273811731E-2</v>
      </c>
      <c r="Z14" s="268">
        <f>+'WICHE Public Grads-RE PROJ'!BP15/'WICHE Public Grads-RE PROJ'!AA15</f>
        <v>2.8085806553604882E-2</v>
      </c>
      <c r="AA14" s="268">
        <f>+'WICHE Public Grads-RE PROJ'!BQ15/'WICHE Public Grads-RE PROJ'!AB15</f>
        <v>2.8521137212961241E-2</v>
      </c>
      <c r="AB14" s="266">
        <f>+'WICHE Public Grads-RE PROJ'!BR15/'WICHE Public Grads-RE PROJ'!AC15</f>
        <v>2.762787453872749E-2</v>
      </c>
      <c r="AC14" s="266">
        <f>+'WICHE Public Grads-RE PROJ'!BS15/'WICHE Public Grads-RE PROJ'!AD15</f>
        <v>2.8423268282820321E-2</v>
      </c>
      <c r="AD14" s="266">
        <f>+'WICHE Public Grads-RE PROJ'!BT15/'WICHE Public Grads-RE PROJ'!AE15</f>
        <v>2.8970906789655408E-2</v>
      </c>
      <c r="AE14" s="266">
        <f>+'WICHE Public Grads-RE PROJ'!BU15/'WICHE Public Grads-RE PROJ'!AF15</f>
        <v>3.0352340822474805E-2</v>
      </c>
      <c r="AF14" s="266">
        <f>+'WICHE Public Grads-RE PROJ'!BV15/'WICHE Public Grads-RE PROJ'!AG15</f>
        <v>3.1915854603609947E-2</v>
      </c>
      <c r="AG14" s="268">
        <f>+'WICHE Public Grads-RE PROJ'!BW15/'WICHE Public Grads-RE PROJ'!AH15</f>
        <v>3.0224430857941981E-2</v>
      </c>
      <c r="AH14" s="266">
        <f>+'WICHE Public Grads-RE PROJ'!BX15/'WICHE Public Grads-RE PROJ'!AI15</f>
        <v>2.9546478674019053E-2</v>
      </c>
      <c r="AI14" s="266">
        <f>+'WICHE Public Grads-RE PROJ'!BY15/'WICHE Public Grads-RE PROJ'!AJ15</f>
        <v>2.9803347492045575E-2</v>
      </c>
      <c r="AJ14" s="266">
        <f>+'WICHE Public Grads-RE PROJ'!BZ15/'WICHE Public Grads-RE PROJ'!AK15</f>
        <v>3.2288332776017704E-2</v>
      </c>
      <c r="AK14" s="266">
        <f>+'WICHE Public Grads-RE PROJ'!CA15/'WICHE Public Grads-RE PROJ'!AL15</f>
        <v>3.5010364352045603E-2</v>
      </c>
      <c r="AL14" s="266">
        <f>+'WICHE Public Grads-RE PROJ'!CB15/'WICHE Public Grads-RE PROJ'!AM15</f>
        <v>3.687529950286221E-2</v>
      </c>
      <c r="AM14" s="266">
        <f>+'WICHE Public Grads-RE PROJ'!CC15/'WICHE Public Grads-RE PROJ'!AN15</f>
        <v>3.4564679860632407E-2</v>
      </c>
      <c r="AN14" s="266">
        <f>+'WICHE Public Grads-RE PROJ'!CD15/'WICHE Public Grads-RE PROJ'!AO15</f>
        <v>3.6979224059825053E-2</v>
      </c>
      <c r="AO14" s="266">
        <f>+'WICHE Public Grads-RE PROJ'!CE15/'WICHE Public Grads-RE PROJ'!AP15</f>
        <v>3.5232334787611577E-2</v>
      </c>
      <c r="AP14" s="282">
        <f>+'WICHE Public Grads-RE PROJ'!CF15/'WICHE Public Grads-RE PROJ'!AQ15</f>
        <v>3.614640370576562E-2</v>
      </c>
      <c r="AQ14" s="262">
        <f>+'WICHE Public Grads-RE PROJ'!CG15/'WICHE Public Grads-RE PROJ'!B15</f>
        <v>3.008031754891928E-3</v>
      </c>
      <c r="AR14" s="262">
        <f>+'WICHE Public Grads-RE PROJ'!CH15/'WICHE Public Grads-RE PROJ'!C15</f>
        <v>4.0377649783267027E-3</v>
      </c>
      <c r="AS14" s="262">
        <f>+'WICHE Public Grads-RE PROJ'!CI15/'WICHE Public Grads-RE PROJ'!D15</f>
        <v>3.4748147722704036E-3</v>
      </c>
      <c r="AT14" s="262">
        <f>+'WICHE Public Grads-RE PROJ'!CJ15/'WICHE Public Grads-RE PROJ'!E15</f>
        <v>3.454278409399989E-3</v>
      </c>
      <c r="AU14" s="262">
        <f>+'WICHE Public Grads-RE PROJ'!CK15/'WICHE Public Grads-RE PROJ'!F15</f>
        <v>3.6567003656700365E-3</v>
      </c>
      <c r="AV14" s="262">
        <f>+'WICHE Public Grads-RE PROJ'!CL15/'WICHE Public Grads-RE PROJ'!G15</f>
        <v>4.3841622140019182E-3</v>
      </c>
      <c r="AW14" s="267">
        <f>+'WICHE Public Grads-RE PROJ'!CM15/'WICHE Public Grads-RE PROJ'!H15</f>
        <v>4.5490402313962657E-3</v>
      </c>
      <c r="AX14" s="267">
        <f>+'WICHE Public Grads-RE PROJ'!CN15/'WICHE Public Grads-RE PROJ'!I15</f>
        <v>4.6558383154330458E-3</v>
      </c>
      <c r="AY14" s="267">
        <f>+'WICHE Public Grads-RE PROJ'!CO15/'WICHE Public Grads-RE PROJ'!J15</f>
        <v>5.4644808743169399E-3</v>
      </c>
      <c r="AZ14" s="267">
        <f>+'WICHE Public Grads-RE PROJ'!CP15/'WICHE Public Grads-RE PROJ'!K15</f>
        <v>5.4288249725948741E-3</v>
      </c>
      <c r="BA14" s="262">
        <f>+'WICHE Public Grads-RE PROJ'!CQ15/'WICHE Public Grads-RE PROJ'!L15</f>
        <v>5.9358923624851598E-3</v>
      </c>
      <c r="BB14" s="267">
        <f>+'WICHE Public Grads-RE PROJ'!CR15/'WICHE Public Grads-RE PROJ'!M15</f>
        <v>6.1419835150226003E-3</v>
      </c>
      <c r="BC14" s="267">
        <f>+'WICHE Public Grads-RE PROJ'!CS15/'WICHE Public Grads-RE PROJ'!N15</f>
        <v>6.3480915205705183E-3</v>
      </c>
      <c r="BD14" s="267">
        <f>+'WICHE Public Grads-RE PROJ'!CT15/'WICHE Public Grads-RE PROJ'!O15</f>
        <v>7.2759587880807577E-3</v>
      </c>
      <c r="BE14" s="267">
        <f>+'WICHE Public Grads-RE PROJ'!CU15/'WICHE Public Grads-RE PROJ'!P15</f>
        <v>7.1224643125469573E-3</v>
      </c>
      <c r="BF14" s="267">
        <f>+'WICHE Public Grads-RE PROJ'!CV15/'WICHE Public Grads-RE PROJ'!Q15</f>
        <v>7.0607457547995564E-3</v>
      </c>
      <c r="BG14" s="267">
        <f>+'WICHE Public Grads-RE PROJ'!CW15/'WICHE Public Grads-RE PROJ'!R15</f>
        <v>6.9184035347809661E-3</v>
      </c>
      <c r="BH14" s="267">
        <f>+'WICHE Public Grads-RE PROJ'!CX15/'WICHE Public Grads-RE PROJ'!S15</f>
        <v>8.0568188198304417E-3</v>
      </c>
      <c r="BI14" s="267">
        <f>+'WICHE Public Grads-RE PROJ'!CY15/'WICHE Public Grads-RE PROJ'!T15</f>
        <v>6.6989309053126622E-3</v>
      </c>
      <c r="BJ14" s="267">
        <f>+'WICHE Public Grads-RE PROJ'!CZ15/'WICHE Public Grads-RE PROJ'!U15</f>
        <v>7.1033893805010594E-3</v>
      </c>
      <c r="BK14" s="267">
        <f>+'WICHE Public Grads-RE PROJ'!DA15/'WICHE Public Grads-RE PROJ'!V15</f>
        <v>7.272976084270846E-3</v>
      </c>
      <c r="BL14" s="267">
        <f>+'WICHE Public Grads-RE PROJ'!DB15/'WICHE Public Grads-RE PROJ'!W15</f>
        <v>7.3091037851157311E-3</v>
      </c>
      <c r="BM14" s="268">
        <f>+'WICHE Public Grads-RE PROJ'!DC15/'WICHE Public Grads-RE PROJ'!Y15</f>
        <v>7.8348572974389075E-3</v>
      </c>
      <c r="BN14" s="268">
        <f>+'WICHE Public Grads-RE PROJ'!DD15/'WICHE Public Grads-RE PROJ'!Z15</f>
        <v>7.3277673874790712E-3</v>
      </c>
      <c r="BO14" s="268">
        <f>+'WICHE Public Grads-RE PROJ'!DE15/'WICHE Public Grads-RE PROJ'!AA15</f>
        <v>7.7644152899902057E-3</v>
      </c>
      <c r="BP14" s="268">
        <f>+'WICHE Public Grads-RE PROJ'!DF15/'WICHE Public Grads-RE PROJ'!AB15</f>
        <v>7.2804951225667377E-3</v>
      </c>
      <c r="BQ14" s="266">
        <f>+'WICHE Public Grads-RE PROJ'!DG15/'WICHE Public Grads-RE PROJ'!AC15</f>
        <v>7.0650236567520097E-3</v>
      </c>
      <c r="BR14" s="266">
        <f>+'WICHE Public Grads-RE PROJ'!DH15/'WICHE Public Grads-RE PROJ'!AD15</f>
        <v>6.775154907442597E-3</v>
      </c>
      <c r="BS14" s="266">
        <f>+'WICHE Public Grads-RE PROJ'!DI15/'WICHE Public Grads-RE PROJ'!AE15</f>
        <v>6.8242034615237663E-3</v>
      </c>
      <c r="BT14" s="266">
        <f>+'WICHE Public Grads-RE PROJ'!DJ15/'WICHE Public Grads-RE PROJ'!AF15</f>
        <v>6.40356926283016E-3</v>
      </c>
      <c r="BU14" s="266">
        <f>+'WICHE Public Grads-RE PROJ'!DK15/'WICHE Public Grads-RE PROJ'!AG15</f>
        <v>6.7692552487301338E-3</v>
      </c>
      <c r="BV14" s="268">
        <f>+'WICHE Public Grads-RE PROJ'!DL15/'WICHE Public Grads-RE PROJ'!AH15</f>
        <v>5.7173758433193287E-3</v>
      </c>
      <c r="BW14" s="266">
        <f>+'WICHE Public Grads-RE PROJ'!DM15/'WICHE Public Grads-RE PROJ'!AI15</f>
        <v>5.6473403389289576E-3</v>
      </c>
      <c r="BX14" s="266">
        <f>+'WICHE Public Grads-RE PROJ'!DN15/'WICHE Public Grads-RE PROJ'!AJ15</f>
        <v>5.1234060103689579E-3</v>
      </c>
      <c r="BY14" s="266">
        <f>+'WICHE Public Grads-RE PROJ'!DO15/'WICHE Public Grads-RE PROJ'!AK15</f>
        <v>6.3966409148342885E-3</v>
      </c>
      <c r="BZ14" s="266">
        <f>+'WICHE Public Grads-RE PROJ'!DP15/'WICHE Public Grads-RE PROJ'!AL15</f>
        <v>6.0867377057686328E-3</v>
      </c>
      <c r="CA14" s="266">
        <f>+'WICHE Public Grads-RE PROJ'!DQ15/'WICHE Public Grads-RE PROJ'!AM15</f>
        <v>6.6192402981359588E-3</v>
      </c>
      <c r="CB14" s="266">
        <f>+'WICHE Public Grads-RE PROJ'!DR15/'WICHE Public Grads-RE PROJ'!AN15</f>
        <v>4.6789426393725134E-3</v>
      </c>
      <c r="CC14" s="266">
        <f>+'WICHE Public Grads-RE PROJ'!DS15/'WICHE Public Grads-RE PROJ'!AO15</f>
        <v>4.1856364798472691E-3</v>
      </c>
      <c r="CD14" s="266">
        <f>+'WICHE Public Grads-RE PROJ'!DT15/'WICHE Public Grads-RE PROJ'!AP15</f>
        <v>4.991328516792376E-3</v>
      </c>
      <c r="CE14" s="282">
        <f>+'WICHE Public Grads-RE PROJ'!DU15/'WICHE Public Grads-RE PROJ'!AQ15</f>
        <v>4.6828016904805203E-3</v>
      </c>
      <c r="CF14" s="262">
        <f>+'WICHE Public Grads-RE PROJ'!DV15/'WICHE Public Grads-RE PROJ'!B15</f>
        <v>1.3861754581821565E-2</v>
      </c>
      <c r="CG14" s="262">
        <f>+'WICHE Public Grads-RE PROJ'!DW15/'WICHE Public Grads-RE PROJ'!C15</f>
        <v>1.6269817706787006E-2</v>
      </c>
      <c r="CH14" s="262">
        <f>+'WICHE Public Grads-RE PROJ'!DX15/'WICHE Public Grads-RE PROJ'!D15</f>
        <v>1.6311527195451151E-2</v>
      </c>
      <c r="CI14" s="262">
        <f>+'WICHE Public Grads-RE PROJ'!DY15/'WICHE Public Grads-RE PROJ'!E15</f>
        <v>1.7516183430343252E-2</v>
      </c>
      <c r="CJ14" s="262">
        <f>+'WICHE Public Grads-RE PROJ'!DZ15/'WICHE Public Grads-RE PROJ'!F15</f>
        <v>1.6482039148203915E-2</v>
      </c>
      <c r="CK14" s="262">
        <f>+'WICHE Public Grads-RE PROJ'!EA15/'WICHE Public Grads-RE PROJ'!G15</f>
        <v>1.7564049869845184E-2</v>
      </c>
      <c r="CL14" s="267">
        <f>+'WICHE Public Grads-RE PROJ'!EB15/'WICHE Public Grads-RE PROJ'!H15</f>
        <v>1.5330002629503023E-2</v>
      </c>
      <c r="CM14" s="267">
        <f>+'WICHE Public Grads-RE PROJ'!EC15/'WICHE Public Grads-RE PROJ'!I15</f>
        <v>1.6507063118353527E-2</v>
      </c>
      <c r="CN14" s="267">
        <f>+'WICHE Public Grads-RE PROJ'!ED15/'WICHE Public Grads-RE PROJ'!J15</f>
        <v>1.7148061410356491E-2</v>
      </c>
      <c r="CO14" s="267">
        <f>+'WICHE Public Grads-RE PROJ'!EE15/'WICHE Public Grads-RE PROJ'!K15</f>
        <v>1.7695881401054443E-2</v>
      </c>
      <c r="CP14" s="262">
        <f>+'WICHE Public Grads-RE PROJ'!EF15/'WICHE Public Grads-RE PROJ'!L15</f>
        <v>1.6409444664292311E-2</v>
      </c>
      <c r="CQ14" s="267">
        <f>+'WICHE Public Grads-RE PROJ'!EG15/'WICHE Public Grads-RE PROJ'!M15</f>
        <v>1.6617920765753788E-2</v>
      </c>
      <c r="CR14" s="267">
        <f>+'WICHE Public Grads-RE PROJ'!EH15/'WICHE Public Grads-RE PROJ'!N15</f>
        <v>1.8125827277884331E-2</v>
      </c>
      <c r="CS14" s="267">
        <f>+'WICHE Public Grads-RE PROJ'!EI15/'WICHE Public Grads-RE PROJ'!O15</f>
        <v>1.860645949623705E-2</v>
      </c>
      <c r="CT14" s="267">
        <f>+'WICHE Public Grads-RE PROJ'!EJ15/'WICHE Public Grads-RE PROJ'!P15</f>
        <v>1.8812922614575508E-2</v>
      </c>
      <c r="CU14" s="267">
        <f>+'WICHE Public Grads-RE PROJ'!EK15/'WICHE Public Grads-RE PROJ'!Q15</f>
        <v>1.9198226060570697E-2</v>
      </c>
      <c r="CV14" s="267">
        <f>+'WICHE Public Grads-RE PROJ'!EL15/'WICHE Public Grads-RE PROJ'!R15</f>
        <v>1.8080869742158657E-2</v>
      </c>
      <c r="CW14" s="267">
        <f>+'WICHE Public Grads-RE PROJ'!EM15/'WICHE Public Grads-RE PROJ'!S15</f>
        <v>1.914547189938802E-2</v>
      </c>
      <c r="CX14" s="267">
        <f>+'WICHE Public Grads-RE PROJ'!EN15/'WICHE Public Grads-RE PROJ'!T15</f>
        <v>1.9713996664205834E-2</v>
      </c>
      <c r="CY14" s="267">
        <f>+'WICHE Public Grads-RE PROJ'!EO15/'WICHE Public Grads-RE PROJ'!U15</f>
        <v>1.9789411853698216E-2</v>
      </c>
      <c r="CZ14" s="267">
        <f>+'WICHE Public Grads-RE PROJ'!EP15/'WICHE Public Grads-RE PROJ'!V15</f>
        <v>1.9655723091116104E-2</v>
      </c>
      <c r="DA14" s="267">
        <f>+'WICHE Public Grads-RE PROJ'!EQ15/'WICHE Public Grads-RE PROJ'!W15</f>
        <v>2.0073062974253521E-2</v>
      </c>
      <c r="DB14" s="268">
        <f>+'WICHE Public Grads-RE PROJ'!ER15/'WICHE Public Grads-RE PROJ'!Y15</f>
        <v>2.1315009757882291E-2</v>
      </c>
      <c r="DC14" s="268">
        <f>+'WICHE Public Grads-RE PROJ'!ES15/'WICHE Public Grads-RE PROJ'!Z15</f>
        <v>2.1158944886332662E-2</v>
      </c>
      <c r="DD14" s="268">
        <f>+'WICHE Public Grads-RE PROJ'!ET15/'WICHE Public Grads-RE PROJ'!AA15</f>
        <v>2.032139126361468E-2</v>
      </c>
      <c r="DE14" s="268">
        <f>+'WICHE Public Grads-RE PROJ'!EU15/'WICHE Public Grads-RE PROJ'!AB15</f>
        <v>2.1240642090394505E-2</v>
      </c>
      <c r="DF14" s="266">
        <f>+'WICHE Public Grads-RE PROJ'!EV15/'WICHE Public Grads-RE PROJ'!AC15</f>
        <v>2.0562850881975479E-2</v>
      </c>
      <c r="DG14" s="266">
        <f>+'WICHE Public Grads-RE PROJ'!EW15/'WICHE Public Grads-RE PROJ'!AD15</f>
        <v>2.1648113375377726E-2</v>
      </c>
      <c r="DH14" s="266">
        <f>+'WICHE Public Grads-RE PROJ'!EX15/'WICHE Public Grads-RE PROJ'!AE15</f>
        <v>2.2146703328131644E-2</v>
      </c>
      <c r="DI14" s="266">
        <f>+'WICHE Public Grads-RE PROJ'!EY15/'WICHE Public Grads-RE PROJ'!AF15</f>
        <v>2.3948771559644647E-2</v>
      </c>
      <c r="DJ14" s="266">
        <f>+'WICHE Public Grads-RE PROJ'!EZ15/'WICHE Public Grads-RE PROJ'!AG15</f>
        <v>2.5146599354879808E-2</v>
      </c>
      <c r="DK14" s="268">
        <f>+'WICHE Public Grads-RE PROJ'!FA15/'WICHE Public Grads-RE PROJ'!AH15</f>
        <v>2.4507055014622654E-2</v>
      </c>
      <c r="DL14" s="266">
        <f>+'WICHE Public Grads-RE PROJ'!FB15/'WICHE Public Grads-RE PROJ'!AI15</f>
        <v>2.3899138335090095E-2</v>
      </c>
      <c r="DM14" s="266">
        <f>+'WICHE Public Grads-RE PROJ'!FC15/'WICHE Public Grads-RE PROJ'!AJ15</f>
        <v>2.4679941481676616E-2</v>
      </c>
      <c r="DN14" s="266">
        <f>+'WICHE Public Grads-RE PROJ'!FD15/'WICHE Public Grads-RE PROJ'!AK15</f>
        <v>2.5891691861183414E-2</v>
      </c>
      <c r="DO14" s="266">
        <f>+'WICHE Public Grads-RE PROJ'!FE15/'WICHE Public Grads-RE PROJ'!AL15</f>
        <v>2.8923626646276974E-2</v>
      </c>
      <c r="DP14" s="266">
        <f>+'WICHE Public Grads-RE PROJ'!FF15/'WICHE Public Grads-RE PROJ'!AM15</f>
        <v>3.0256059204726252E-2</v>
      </c>
      <c r="DQ14" s="266">
        <f>+'WICHE Public Grads-RE PROJ'!FG15/'WICHE Public Grads-RE PROJ'!AN15</f>
        <v>2.9885737221259895E-2</v>
      </c>
      <c r="DR14" s="266">
        <f>+'WICHE Public Grads-RE PROJ'!FH15/'WICHE Public Grads-RE PROJ'!AO15</f>
        <v>3.2793587579977787E-2</v>
      </c>
      <c r="DS14" s="266">
        <f>+'WICHE Public Grads-RE PROJ'!FI15/'WICHE Public Grads-RE PROJ'!AP15</f>
        <v>3.0241006270819198E-2</v>
      </c>
      <c r="DT14" s="282">
        <f>+'WICHE Public Grads-RE PROJ'!FJ15/'WICHE Public Grads-RE PROJ'!AQ15</f>
        <v>3.14636020152851E-2</v>
      </c>
      <c r="DU14" s="262">
        <f>+'WICHE Public Grads-RE PROJ'!FK15/'WICHE Public Grads-RE PROJ'!B15</f>
        <v>0.37575588426830403</v>
      </c>
      <c r="DV14" s="262">
        <f>+'WICHE Public Grads-RE PROJ'!FL15/'WICHE Public Grads-RE PROJ'!C15</f>
        <v>0.360251766522178</v>
      </c>
      <c r="DW14" s="262">
        <f>+'WICHE Public Grads-RE PROJ'!FM15/'WICHE Public Grads-RE PROJ'!D15</f>
        <v>0.36953649991384757</v>
      </c>
      <c r="DX14" s="262">
        <f>+'WICHE Public Grads-RE PROJ'!FN15/'WICHE Public Grads-RE PROJ'!E15</f>
        <v>0.37542838492085079</v>
      </c>
      <c r="DY14" s="262">
        <f>+'WICHE Public Grads-RE PROJ'!FO15/'WICHE Public Grads-RE PROJ'!F15</f>
        <v>0.3774198752419875</v>
      </c>
      <c r="DZ14" s="262">
        <f>+'WICHE Public Grads-RE PROJ'!FP15/'WICHE Public Grads-RE PROJ'!G15</f>
        <v>0.38832716810521989</v>
      </c>
      <c r="EA14" s="267">
        <f>+'WICHE Public Grads-RE PROJ'!FQ15/'WICHE Public Grads-RE PROJ'!H15</f>
        <v>0.39006047856955034</v>
      </c>
      <c r="EB14" s="267">
        <f>+'WICHE Public Grads-RE PROJ'!FR15/'WICHE Public Grads-RE PROJ'!I15</f>
        <v>0.38365694936775829</v>
      </c>
      <c r="EC14" s="267">
        <f>+'WICHE Public Grads-RE PROJ'!FS15/'WICHE Public Grads-RE PROJ'!J15</f>
        <v>0.38592245641425971</v>
      </c>
      <c r="ED14" s="267">
        <f>+'WICHE Public Grads-RE PROJ'!FT15/'WICHE Public Grads-RE PROJ'!K15</f>
        <v>0.39270240643106957</v>
      </c>
      <c r="EE14" s="262">
        <f>+'WICHE Public Grads-RE PROJ'!FU15/'WICHE Public Grads-RE PROJ'!L15</f>
        <v>0.40422107901332277</v>
      </c>
      <c r="EF14" s="267">
        <f>+'WICHE Public Grads-RE PROJ'!FV15/'WICHE Public Grads-RE PROJ'!M15</f>
        <v>0.39423025791013028</v>
      </c>
      <c r="EG14" s="267">
        <f>+'WICHE Public Grads-RE PROJ'!FW15/'WICHE Public Grads-RE PROJ'!N15</f>
        <v>0.39930846322158892</v>
      </c>
      <c r="EH14" s="267">
        <f>+'WICHE Public Grads-RE PROJ'!FX15/'WICHE Public Grads-RE PROJ'!O15</f>
        <v>0.39606764975422809</v>
      </c>
      <c r="EI14" s="267">
        <f>+'WICHE Public Grads-RE PROJ'!FY15/'WICHE Public Grads-RE PROJ'!P15</f>
        <v>0.3725319308790383</v>
      </c>
      <c r="EJ14" s="267">
        <f>+'WICHE Public Grads-RE PROJ'!FZ15/'WICHE Public Grads-RE PROJ'!Q15</f>
        <v>0.38078426795821907</v>
      </c>
      <c r="EK14" s="267">
        <f>+'WICHE Public Grads-RE PROJ'!GA15/'WICHE Public Grads-RE PROJ'!R15</f>
        <v>0.38525042876660565</v>
      </c>
      <c r="EL14" s="267">
        <f>+'WICHE Public Grads-RE PROJ'!GB15/'WICHE Public Grads-RE PROJ'!S15</f>
        <v>0.40272865083375442</v>
      </c>
      <c r="EM14" s="267">
        <f>+'WICHE Public Grads-RE PROJ'!GC15/'WICHE Public Grads-RE PROJ'!T15</f>
        <v>0.41500560522790036</v>
      </c>
      <c r="EN14" s="267">
        <f>+'WICHE Public Grads-RE PROJ'!GD15/'WICHE Public Grads-RE PROJ'!U15</f>
        <v>0.40752956404891039</v>
      </c>
      <c r="EO14" s="267">
        <f>+'WICHE Public Grads-RE PROJ'!GE15/'WICHE Public Grads-RE PROJ'!V15</f>
        <v>0.41860254831522153</v>
      </c>
      <c r="EP14" s="267">
        <f>+'WICHE Public Grads-RE PROJ'!GF15/'WICHE Public Grads-RE PROJ'!W15</f>
        <v>0.41137030992096302</v>
      </c>
      <c r="EQ14" s="268">
        <f>+'WICHE Public Grads-RE PROJ'!GG15/'WICHE Public Grads-RE PROJ'!Y15</f>
        <v>0.41607080413953745</v>
      </c>
      <c r="ER14" s="268">
        <f>+'WICHE Public Grads-RE PROJ'!GH15/'WICHE Public Grads-RE PROJ'!Z15</f>
        <v>0.41099374834586549</v>
      </c>
      <c r="ES14" s="268">
        <f>+'WICHE Public Grads-RE PROJ'!GI15/'WICHE Public Grads-RE PROJ'!AA15</f>
        <v>0.41079129235078971</v>
      </c>
      <c r="ET14" s="268">
        <f>+'WICHE Public Grads-RE PROJ'!GJ15/'WICHE Public Grads-RE PROJ'!AB15</f>
        <v>0.40360431048353418</v>
      </c>
      <c r="EU14" s="266">
        <f>+'WICHE Public Grads-RE PROJ'!GK15/'WICHE Public Grads-RE PROJ'!AC15</f>
        <v>0.40930282859595918</v>
      </c>
      <c r="EV14" s="266">
        <f>+'WICHE Public Grads-RE PROJ'!GL15/'WICHE Public Grads-RE PROJ'!AD15</f>
        <v>0.40660984552897644</v>
      </c>
      <c r="EW14" s="266">
        <f>+'WICHE Public Grads-RE PROJ'!GM15/'WICHE Public Grads-RE PROJ'!AE15</f>
        <v>0.40876038540071663</v>
      </c>
      <c r="EX14" s="266">
        <f>+'WICHE Public Grads-RE PROJ'!GN15/'WICHE Public Grads-RE PROJ'!AF15</f>
        <v>0.39871312365493594</v>
      </c>
      <c r="EY14" s="266">
        <f>+'WICHE Public Grads-RE PROJ'!GO15/'WICHE Public Grads-RE PROJ'!AG15</f>
        <v>0.39342870947982239</v>
      </c>
      <c r="EZ14" s="268">
        <f>+'WICHE Public Grads-RE PROJ'!GP15/'WICHE Public Grads-RE PROJ'!AH15</f>
        <v>0.39062452901370354</v>
      </c>
      <c r="FA14" s="266">
        <f>+'WICHE Public Grads-RE PROJ'!GQ15/'WICHE Public Grads-RE PROJ'!AI15</f>
        <v>0.39467668785993748</v>
      </c>
      <c r="FB14" s="266">
        <f>+'WICHE Public Grads-RE PROJ'!GR15/'WICHE Public Grads-RE PROJ'!AJ15</f>
        <v>0.38636780152693739</v>
      </c>
      <c r="FC14" s="266">
        <f>+'WICHE Public Grads-RE PROJ'!GS15/'WICHE Public Grads-RE PROJ'!AK15</f>
        <v>0.39015925921925265</v>
      </c>
      <c r="FD14" s="266">
        <f>+'WICHE Public Grads-RE PROJ'!GT15/'WICHE Public Grads-RE PROJ'!AL15</f>
        <v>0.3855413771790312</v>
      </c>
      <c r="FE14" s="266">
        <f>+'WICHE Public Grads-RE PROJ'!GU15/'WICHE Public Grads-RE PROJ'!AM15</f>
        <v>0.38775505936279697</v>
      </c>
      <c r="FF14" s="266">
        <f>+'WICHE Public Grads-RE PROJ'!GV15/'WICHE Public Grads-RE PROJ'!AN15</f>
        <v>0.38262963264452682</v>
      </c>
      <c r="FG14" s="266">
        <f>+'WICHE Public Grads-RE PROJ'!GW15/'WICHE Public Grads-RE PROJ'!AO15</f>
        <v>0.38053128804672481</v>
      </c>
      <c r="FH14" s="266">
        <f>+'WICHE Public Grads-RE PROJ'!GX15/'WICHE Public Grads-RE PROJ'!AP15</f>
        <v>0.37994715865782236</v>
      </c>
      <c r="FI14" s="282">
        <f>+'WICHE Public Grads-RE PROJ'!GY15/'WICHE Public Grads-RE PROJ'!AQ15</f>
        <v>0.37542223099941541</v>
      </c>
      <c r="FJ14" s="262">
        <f>+'WICHE Public Grads-RE PROJ'!GZ15/'WICHE Public Grads-RE PROJ'!B15</f>
        <v>1.2032127019567712E-2</v>
      </c>
      <c r="FK14" s="262">
        <f>+'WICHE Public Grads-RE PROJ'!HA15/'WICHE Public Grads-RE PROJ'!C15</f>
        <v>1.1964847693129861E-2</v>
      </c>
      <c r="FL14" s="262">
        <f>+'WICHE Public Grads-RE PROJ'!HB15/'WICHE Public Grads-RE PROJ'!D15</f>
        <v>1.2980299810464649E-2</v>
      </c>
      <c r="FM14" s="262">
        <f>+'WICHE Public Grads-RE PROJ'!HC15/'WICHE Public Grads-RE PROJ'!E15</f>
        <v>1.0988413207855083E-2</v>
      </c>
      <c r="FN14" s="262">
        <f>+'WICHE Public Grads-RE PROJ'!HD15/'WICHE Public Grads-RE PROJ'!F15</f>
        <v>1.2422026242202623E-2</v>
      </c>
      <c r="FO14" s="262">
        <f>+'WICHE Public Grads-RE PROJ'!HE15/'WICHE Public Grads-RE PROJ'!G15</f>
        <v>1.1892040005480203E-2</v>
      </c>
      <c r="FP14" s="267">
        <f>+'WICHE Public Grads-RE PROJ'!HF15/'WICHE Public Grads-RE PROJ'!H15</f>
        <v>1.1648698396003155E-2</v>
      </c>
      <c r="FQ14" s="267">
        <f>+'WICHE Public Grads-RE PROJ'!HG15/'WICHE Public Grads-RE PROJ'!I15</f>
        <v>1.3729432305169039E-2</v>
      </c>
      <c r="FR14" s="267">
        <f>+'WICHE Public Grads-RE PROJ'!HH15/'WICHE Public Grads-RE PROJ'!J15</f>
        <v>1.3088732760863909E-2</v>
      </c>
      <c r="FS14" s="267">
        <f>+'WICHE Public Grads-RE PROJ'!HI15/'WICHE Public Grads-RE PROJ'!K15</f>
        <v>1.3284961110821111E-2</v>
      </c>
      <c r="FT14" s="262">
        <f>+'WICHE Public Grads-RE PROJ'!HJ15/'WICHE Public Grads-RE PROJ'!L15</f>
        <v>1.2768764015301411E-2</v>
      </c>
      <c r="FU14" s="267">
        <f>+'WICHE Public Grads-RE PROJ'!HK15/'WICHE Public Grads-RE PROJ'!M15</f>
        <v>1.4198351502260037E-2</v>
      </c>
      <c r="FV14" s="267">
        <f>+'WICHE Public Grads-RE PROJ'!HL15/'WICHE Public Grads-RE PROJ'!N15</f>
        <v>1.5964774845349684E-2</v>
      </c>
      <c r="FW14" s="267">
        <f>+'WICHE Public Grads-RE PROJ'!HM15/'WICHE Public Grads-RE PROJ'!O15</f>
        <v>1.5884917659474019E-2</v>
      </c>
      <c r="FX14" s="267">
        <f>+'WICHE Public Grads-RE PROJ'!HN15/'WICHE Public Grads-RE PROJ'!P15</f>
        <v>1.6018031555221638E-2</v>
      </c>
      <c r="FY14" s="267">
        <f>+'WICHE Public Grads-RE PROJ'!HO15/'WICHE Public Grads-RE PROJ'!Q15</f>
        <v>1.6222209254828732E-2</v>
      </c>
      <c r="FZ14" s="267">
        <f>+'WICHE Public Grads-RE PROJ'!HP15/'WICHE Public Grads-RE PROJ'!R15</f>
        <v>1.9534315862910961E-2</v>
      </c>
      <c r="GA14" s="267">
        <f>+'WICHE Public Grads-RE PROJ'!HQ15/'WICHE Public Grads-RE PROJ'!S15</f>
        <v>2.0156083319297063E-2</v>
      </c>
      <c r="GB14" s="267">
        <f>+'WICHE Public Grads-RE PROJ'!HR15/'WICHE Public Grads-RE PROJ'!T15</f>
        <v>2.5510622590435569E-2</v>
      </c>
      <c r="GC14" s="267">
        <f>+'WICHE Public Grads-RE PROJ'!HS15/'WICHE Public Grads-RE PROJ'!U15</f>
        <v>2.9488896328534762E-2</v>
      </c>
      <c r="GD14" s="267">
        <f>+'WICHE Public Grads-RE PROJ'!HT15/'WICHE Public Grads-RE PROJ'!V15</f>
        <v>3.1629175187457399E-2</v>
      </c>
      <c r="GE14" s="267">
        <f>+'WICHE Public Grads-RE PROJ'!HU15/'WICHE Public Grads-RE PROJ'!W15</f>
        <v>3.3566172549856034E-2</v>
      </c>
      <c r="GF14" s="268">
        <f>+'WICHE Public Grads-RE PROJ'!HV15/'WICHE Public Grads-RE PROJ'!Y15</f>
        <v>3.4365107853796747E-2</v>
      </c>
      <c r="GG14" s="268">
        <f>+'WICHE Public Grads-RE PROJ'!HW15/'WICHE Public Grads-RE PROJ'!Z15</f>
        <v>3.7486788603655723E-2</v>
      </c>
      <c r="GH14" s="268">
        <f>+'WICHE Public Grads-RE PROJ'!HX15/'WICHE Public Grads-RE PROJ'!AA15</f>
        <v>4.1530484349952733E-2</v>
      </c>
      <c r="GI14" s="268">
        <f>+'WICHE Public Grads-RE PROJ'!HY15/'WICHE Public Grads-RE PROJ'!AB15</f>
        <v>4.983955215126129E-2</v>
      </c>
      <c r="GJ14" s="266">
        <f>+'WICHE Public Grads-RE PROJ'!HZ15/'WICHE Public Grads-RE PROJ'!AC15</f>
        <v>5.1772086088219399E-2</v>
      </c>
      <c r="GK14" s="266">
        <f>+'WICHE Public Grads-RE PROJ'!IA15/'WICHE Public Grads-RE PROJ'!AD15</f>
        <v>5.61105589230163E-2</v>
      </c>
      <c r="GL14" s="266">
        <f>+'WICHE Public Grads-RE PROJ'!IB15/'WICHE Public Grads-RE PROJ'!AE15</f>
        <v>6.1618425536457834E-2</v>
      </c>
      <c r="GM14" s="266">
        <f>+'WICHE Public Grads-RE PROJ'!IC15/'WICHE Public Grads-RE PROJ'!AF15</f>
        <v>6.8623415432197271E-2</v>
      </c>
      <c r="GN14" s="266">
        <f>+'WICHE Public Grads-RE PROJ'!ID15/'WICHE Public Grads-RE PROJ'!AG15</f>
        <v>7.8423131080244152E-2</v>
      </c>
      <c r="GO14" s="268">
        <f>+'WICHE Public Grads-RE PROJ'!IE15/'WICHE Public Grads-RE PROJ'!AH15</f>
        <v>8.7683784703160475E-2</v>
      </c>
      <c r="GP14" s="266">
        <f>+'WICHE Public Grads-RE PROJ'!IF15/'WICHE Public Grads-RE PROJ'!AI15</f>
        <v>9.7013354559861112E-2</v>
      </c>
      <c r="GQ14" s="266">
        <f>+'WICHE Public Grads-RE PROJ'!IG15/'WICHE Public Grads-RE PROJ'!AJ15</f>
        <v>0.10866183902459817</v>
      </c>
      <c r="GR14" s="266">
        <f>+'WICHE Public Grads-RE PROJ'!IH15/'WICHE Public Grads-RE PROJ'!AK15</f>
        <v>0.12963029041023433</v>
      </c>
      <c r="GS14" s="266">
        <f>+'WICHE Public Grads-RE PROJ'!II15/'WICHE Public Grads-RE PROJ'!AL15</f>
        <v>0.14000636478005346</v>
      </c>
      <c r="GT14" s="266">
        <f>+'WICHE Public Grads-RE PROJ'!IJ15/'WICHE Public Grads-RE PROJ'!AM15</f>
        <v>0.1470503166175102</v>
      </c>
      <c r="GU14" s="266">
        <f>+'WICHE Public Grads-RE PROJ'!IK15/'WICHE Public Grads-RE PROJ'!AN15</f>
        <v>0.14670480727564483</v>
      </c>
      <c r="GV14" s="266">
        <f>+'WICHE Public Grads-RE PROJ'!IL15/'WICHE Public Grads-RE PROJ'!AO15</f>
        <v>0.14860245683841705</v>
      </c>
      <c r="GW14" s="266">
        <f>+'WICHE Public Grads-RE PROJ'!IM15/'WICHE Public Grads-RE PROJ'!AP15</f>
        <v>0.15538209080730894</v>
      </c>
      <c r="GX14" s="282">
        <f>+'WICHE Public Grads-RE PROJ'!IN15/'WICHE Public Grads-RE PROJ'!AQ15</f>
        <v>0.16641126206045162</v>
      </c>
      <c r="GY14" s="262">
        <f>+'WICHE Public Grads-RE PROJ'!IO15/'WICHE Public Grads-RE PROJ'!B15</f>
        <v>0.5953422023754148</v>
      </c>
      <c r="GZ14" s="262">
        <f>+'WICHE Public Grads-RE PROJ'!IP15/'WICHE Public Grads-RE PROJ'!C15</f>
        <v>0.60747580309957838</v>
      </c>
      <c r="HA14" s="262">
        <f>+'WICHE Public Grads-RE PROJ'!IQ15/'WICHE Public Grads-RE PROJ'!D15</f>
        <v>0.59769685830796626</v>
      </c>
      <c r="HB14" s="262">
        <f>+'WICHE Public Grads-RE PROJ'!IR15/'WICHE Public Grads-RE PROJ'!E15</f>
        <v>0.59261274003155084</v>
      </c>
      <c r="HC14" s="262">
        <f>+'WICHE Public Grads-RE PROJ'!IS15/'WICHE Public Grads-RE PROJ'!F15</f>
        <v>0.59001935900193592</v>
      </c>
      <c r="HD14" s="262">
        <f>+'WICHE Public Grads-RE PROJ'!IT15/'WICHE Public Grads-RE PROJ'!G15</f>
        <v>0.57783257980545277</v>
      </c>
      <c r="HE14" s="267">
        <f>+'WICHE Public Grads-RE PROJ'!IU15/'WICHE Public Grads-RE PROJ'!H15</f>
        <v>0.57841178017354722</v>
      </c>
      <c r="HF14" s="267">
        <f>+'WICHE Public Grads-RE PROJ'!IV15/'WICHE Public Grads-RE PROJ'!I15</f>
        <v>0.58145071689328609</v>
      </c>
      <c r="HG14" s="267">
        <f>+'WICHE Public Grads-RE PROJ'!IW15/'WICHE Public Grads-RE PROJ'!J15</f>
        <v>0.57837626854020296</v>
      </c>
      <c r="HH14" s="267">
        <f>+'WICHE Public Grads-RE PROJ'!IX15/'WICHE Public Grads-RE PROJ'!K15</f>
        <v>0.57088792608446004</v>
      </c>
      <c r="HI14" s="262">
        <f>+'WICHE Public Grads-RE PROJ'!IY15/'WICHE Public Grads-RE PROJ'!L15</f>
        <v>0.56066481994459838</v>
      </c>
      <c r="HJ14" s="267">
        <f>+'WICHE Public Grads-RE PROJ'!IZ15/'WICHE Public Grads-RE PROJ'!M15</f>
        <v>0.56881148630683331</v>
      </c>
      <c r="HK14" s="267">
        <f>+'WICHE Public Grads-RE PROJ'!JA15/'WICHE Public Grads-RE PROJ'!N15</f>
        <v>0.56025284313460655</v>
      </c>
      <c r="HL14" s="267">
        <f>+'WICHE Public Grads-RE PROJ'!JB15/'WICHE Public Grads-RE PROJ'!O15</f>
        <v>0.56216501430198007</v>
      </c>
      <c r="HM14" s="267">
        <f>+'WICHE Public Grads-RE PROJ'!JC15/'WICHE Public Grads-RE PROJ'!P15</f>
        <v>0.58551465063861763</v>
      </c>
      <c r="HN14" s="267">
        <f>+'WICHE Public Grads-RE PROJ'!JD15/'WICHE Public Grads-RE PROJ'!Q15</f>
        <v>0.57673455097158199</v>
      </c>
      <c r="HO14" s="267">
        <f>+'WICHE Public Grads-RE PROJ'!JE15/'WICHE Public Grads-RE PROJ'!R15</f>
        <v>0.57021598209354374</v>
      </c>
      <c r="HP14" s="267">
        <f>+'WICHE Public Grads-RE PROJ'!JF15/'WICHE Public Grads-RE PROJ'!S15</f>
        <v>0.54991297512773007</v>
      </c>
      <c r="HQ14" s="267">
        <f>+'WICHE Public Grads-RE PROJ'!JG15/'WICHE Public Grads-RE PROJ'!T15</f>
        <v>0.5330708446121456</v>
      </c>
      <c r="HR14" s="267">
        <f>+'WICHE Public Grads-RE PROJ'!JH15/'WICHE Public Grads-RE PROJ'!U15</f>
        <v>0.53608873838835558</v>
      </c>
      <c r="HS14" s="267">
        <f>+'WICHE Public Grads-RE PROJ'!JI15/'WICHE Public Grads-RE PROJ'!V15</f>
        <v>0.52283957732193409</v>
      </c>
      <c r="HT14" s="267">
        <f>+'WICHE Public Grads-RE PROJ'!JJ15/'WICHE Public Grads-RE PROJ'!W15</f>
        <v>0.5276813507698116</v>
      </c>
      <c r="HU14" s="268">
        <f>+'WICHE Public Grads-RE PROJ'!JK15/'WICHE Public Grads-RE PROJ'!Y15</f>
        <v>0.51877584742949068</v>
      </c>
      <c r="HV14" s="268">
        <f>+'WICHE Public Grads-RE PROJ'!JL15/'WICHE Public Grads-RE PROJ'!Z15</f>
        <v>0.52150267686658958</v>
      </c>
      <c r="HW14" s="268">
        <f>+'WICHE Public Grads-RE PROJ'!JM15/'WICHE Public Grads-RE PROJ'!AA15</f>
        <v>0.51842589009151818</v>
      </c>
      <c r="HX14" s="268">
        <f>+'WICHE Public Grads-RE PROJ'!JN15/'WICHE Public Grads-RE PROJ'!AB15</f>
        <v>0.51921092185368367</v>
      </c>
      <c r="HY14" s="266">
        <f>+'WICHE Public Grads-RE PROJ'!JO15/'WICHE Public Grads-RE PROJ'!AC15</f>
        <v>0.51152944727257665</v>
      </c>
      <c r="HZ14" s="266">
        <f>+'WICHE Public Grads-RE PROJ'!JP15/'WICHE Public Grads-RE PROJ'!AD15</f>
        <v>0.51029137537618008</v>
      </c>
      <c r="IA14" s="266">
        <f>+'WICHE Public Grads-RE PROJ'!JQ15/'WICHE Public Grads-RE PROJ'!AE15</f>
        <v>0.50287211331478987</v>
      </c>
      <c r="IB14" s="266">
        <f>+'WICHE Public Grads-RE PROJ'!JR15/'WICHE Public Grads-RE PROJ'!AF15</f>
        <v>0.50871513501615007</v>
      </c>
      <c r="IC14" s="266">
        <f>+'WICHE Public Grads-RE PROJ'!JS15/'WICHE Public Grads-RE PROJ'!AG15</f>
        <v>0.50828011554929153</v>
      </c>
      <c r="ID14" s="268">
        <f>+'WICHE Public Grads-RE PROJ'!JT15/'WICHE Public Grads-RE PROJ'!AH15</f>
        <v>0.50653917814312721</v>
      </c>
      <c r="IE14" s="266">
        <f>+'WICHE Public Grads-RE PROJ'!JU15/'WICHE Public Grads-RE PROJ'!AI15</f>
        <v>0.4959667855894726</v>
      </c>
      <c r="IF14" s="266">
        <f>+'WICHE Public Grads-RE PROJ'!JV15/'WICHE Public Grads-RE PROJ'!AJ15</f>
        <v>0.49924156004535442</v>
      </c>
      <c r="IG14" s="266">
        <f>+'WICHE Public Grads-RE PROJ'!JW15/'WICHE Public Grads-RE PROJ'!AK15</f>
        <v>0.48974319761088364</v>
      </c>
      <c r="IH14" s="266">
        <f>+'WICHE Public Grads-RE PROJ'!JX15/'WICHE Public Grads-RE PROJ'!AL15</f>
        <v>0.48893625905159921</v>
      </c>
      <c r="II14" s="266">
        <f>+'WICHE Public Grads-RE PROJ'!JY15/'WICHE Public Grads-RE PROJ'!AM15</f>
        <v>0.48246869001848386</v>
      </c>
      <c r="IJ14" s="266">
        <f>+'WICHE Public Grads-RE PROJ'!JZ15/'WICHE Public Grads-RE PROJ'!AN15</f>
        <v>0.4888042919931565</v>
      </c>
      <c r="IK14" s="266">
        <f>+'WICHE Public Grads-RE PROJ'!KA15/'WICHE Public Grads-RE PROJ'!AO15</f>
        <v>0.48768052538352968</v>
      </c>
      <c r="IL14" s="266">
        <f>+'WICHE Public Grads-RE PROJ'!KB15/'WICHE Public Grads-RE PROJ'!AP15</f>
        <v>0.48715046804505435</v>
      </c>
      <c r="IM14" s="282">
        <f>+'WICHE Public Grads-RE PROJ'!KC15/'WICHE Public Grads-RE PROJ'!AQ15</f>
        <v>0.48676104878975862</v>
      </c>
      <c r="IN14" s="278">
        <f t="shared" si="5"/>
        <v>1</v>
      </c>
      <c r="IO14" s="278">
        <f t="shared" si="6"/>
        <v>1</v>
      </c>
      <c r="IP14" s="278">
        <f t="shared" si="7"/>
        <v>1</v>
      </c>
      <c r="IQ14" s="278">
        <f t="shared" si="8"/>
        <v>1</v>
      </c>
      <c r="IR14" s="278">
        <f t="shared" si="9"/>
        <v>1</v>
      </c>
      <c r="IS14" s="278">
        <f t="shared" si="10"/>
        <v>1</v>
      </c>
      <c r="IT14" s="278">
        <f t="shared" si="11"/>
        <v>1</v>
      </c>
      <c r="IU14" s="278">
        <f t="shared" si="12"/>
        <v>1</v>
      </c>
      <c r="IV14" s="278">
        <f t="shared" si="13"/>
        <v>1</v>
      </c>
      <c r="IW14" s="278">
        <f t="shared" si="14"/>
        <v>1</v>
      </c>
      <c r="IX14" s="278">
        <f t="shared" si="15"/>
        <v>1</v>
      </c>
      <c r="IY14" s="278">
        <f t="shared" si="16"/>
        <v>1</v>
      </c>
      <c r="IZ14" s="278">
        <f t="shared" si="17"/>
        <v>1</v>
      </c>
      <c r="JA14" s="278">
        <f t="shared" si="18"/>
        <v>1</v>
      </c>
      <c r="JB14" s="278">
        <f t="shared" si="19"/>
        <v>1</v>
      </c>
      <c r="JC14" s="278">
        <f t="shared" si="20"/>
        <v>1</v>
      </c>
      <c r="JD14" s="278">
        <f t="shared" si="21"/>
        <v>1</v>
      </c>
      <c r="JE14" s="278">
        <f t="shared" si="22"/>
        <v>1</v>
      </c>
      <c r="JF14" s="278">
        <f t="shared" si="23"/>
        <v>1</v>
      </c>
      <c r="JG14" s="278">
        <f t="shared" si="24"/>
        <v>1</v>
      </c>
      <c r="JH14" s="278">
        <f t="shared" si="25"/>
        <v>1</v>
      </c>
      <c r="JI14" s="278">
        <f t="shared" si="26"/>
        <v>1</v>
      </c>
      <c r="JJ14" s="278">
        <f t="shared" si="27"/>
        <v>0.99836162647814608</v>
      </c>
      <c r="JK14" s="278">
        <f t="shared" si="28"/>
        <v>0.99846992608992258</v>
      </c>
      <c r="JL14" s="278">
        <f t="shared" si="29"/>
        <v>0.99883347334586547</v>
      </c>
      <c r="JM14" s="278">
        <f t="shared" si="30"/>
        <v>1.0011759217014404</v>
      </c>
      <c r="JN14" s="278">
        <f t="shared" si="31"/>
        <v>1.0002322364954828</v>
      </c>
      <c r="JO14" s="278">
        <f t="shared" si="32"/>
        <v>1.0014350481109933</v>
      </c>
      <c r="JP14" s="278">
        <f t="shared" si="33"/>
        <v>1.0022218310416198</v>
      </c>
      <c r="JQ14" s="278">
        <f t="shared" si="34"/>
        <v>1.006404014925758</v>
      </c>
      <c r="JR14" s="278">
        <f t="shared" si="35"/>
        <v>1.012047810712968</v>
      </c>
      <c r="JS14" s="278">
        <f t="shared" si="36"/>
        <v>1.0150719227179332</v>
      </c>
      <c r="JT14" s="278">
        <f t="shared" si="37"/>
        <v>1.0172033066832902</v>
      </c>
      <c r="JU14" s="278">
        <f t="shared" si="38"/>
        <v>1.0240745480889355</v>
      </c>
      <c r="JV14" s="278">
        <f t="shared" si="39"/>
        <v>1.0418210800163883</v>
      </c>
      <c r="JW14" s="278">
        <f t="shared" si="40"/>
        <v>1.0494943653627296</v>
      </c>
      <c r="JX14" s="278">
        <f t="shared" si="41"/>
        <v>1.0541493655016532</v>
      </c>
      <c r="JY14" s="278">
        <f t="shared" si="42"/>
        <v>1.0527034117739607</v>
      </c>
      <c r="JZ14" s="278">
        <f t="shared" si="42"/>
        <v>1.0537934943284966</v>
      </c>
      <c r="KA14" s="278">
        <f t="shared" si="42"/>
        <v>1.0577120522977972</v>
      </c>
      <c r="KB14" s="278">
        <f t="shared" si="42"/>
        <v>1.0647409455553913</v>
      </c>
    </row>
    <row r="15" spans="1:288" s="17" customFormat="1">
      <c r="A15" s="173" t="s">
        <v>40</v>
      </c>
      <c r="B15" s="262">
        <f>+'WICHE Public Grads-RE PROJ'!AR16/'WICHE Public Grads-RE PROJ'!B16</f>
        <v>5.095669687814703E-2</v>
      </c>
      <c r="C15" s="262">
        <f>+'WICHE Public Grads-RE PROJ'!AS16/'WICHE Public Grads-RE PROJ'!C16</f>
        <v>5.424689421349594E-2</v>
      </c>
      <c r="D15" s="262">
        <f>+'WICHE Public Grads-RE PROJ'!AT16/'WICHE Public Grads-RE PROJ'!D16</f>
        <v>5.3413829270164491E-2</v>
      </c>
      <c r="E15" s="262">
        <f>+'WICHE Public Grads-RE PROJ'!AU16/'WICHE Public Grads-RE PROJ'!E16</f>
        <v>5.1900355183994974E-2</v>
      </c>
      <c r="F15" s="262">
        <f>+'WICHE Public Grads-RE PROJ'!AV16/'WICHE Public Grads-RE PROJ'!F16</f>
        <v>5.0759842048582027E-2</v>
      </c>
      <c r="G15" s="262">
        <f>+'WICHE Public Grads-RE PROJ'!AW16/'WICHE Public Grads-RE PROJ'!G16</f>
        <v>5.3784767593802504E-2</v>
      </c>
      <c r="H15" s="267">
        <f>+'WICHE Public Grads-RE PROJ'!AX16/'WICHE Public Grads-RE PROJ'!H16</f>
        <v>5.4359780047132759E-2</v>
      </c>
      <c r="I15" s="267">
        <f>+'WICHE Public Grads-RE PROJ'!AY16/'WICHE Public Grads-RE PROJ'!I16</f>
        <v>5.2776214999783612E-2</v>
      </c>
      <c r="J15" s="267">
        <f>+'WICHE Public Grads-RE PROJ'!AZ16/'WICHE Public Grads-RE PROJ'!J16</f>
        <v>5.6134924449831765E-2</v>
      </c>
      <c r="K15" s="267">
        <f>+'WICHE Public Grads-RE PROJ'!BA16/'WICHE Public Grads-RE PROJ'!K16</f>
        <v>5.3492340823209132E-2</v>
      </c>
      <c r="L15" s="262">
        <f>+'WICHE Public Grads-RE PROJ'!BB16/'WICHE Public Grads-RE PROJ'!L16</f>
        <v>5.6661622216544485E-2</v>
      </c>
      <c r="M15" s="267">
        <f>+'WICHE Public Grads-RE PROJ'!BC16/'WICHE Public Grads-RE PROJ'!M16</f>
        <v>5.8190652475705693E-2</v>
      </c>
      <c r="N15" s="267">
        <f>+'WICHE Public Grads-RE PROJ'!BD16/'WICHE Public Grads-RE PROJ'!N16</f>
        <v>5.7764327595990164E-2</v>
      </c>
      <c r="O15" s="267">
        <f>+'WICHE Public Grads-RE PROJ'!BE16/'WICHE Public Grads-RE PROJ'!O16</f>
        <v>6.0476278382868745E-2</v>
      </c>
      <c r="P15" s="267">
        <f>+'WICHE Public Grads-RE PROJ'!BF16/'WICHE Public Grads-RE PROJ'!P16</f>
        <v>6.3310285220397583E-2</v>
      </c>
      <c r="Q15" s="267">
        <f>+'WICHE Public Grads-RE PROJ'!BG16/'WICHE Public Grads-RE PROJ'!Q16</f>
        <v>6.0628170384267946E-2</v>
      </c>
      <c r="R15" s="267">
        <f>+'WICHE Public Grads-RE PROJ'!BH16/'WICHE Public Grads-RE PROJ'!R16</f>
        <v>6.0587111929830489E-2</v>
      </c>
      <c r="S15" s="267">
        <f>+'WICHE Public Grads-RE PROJ'!BI16/'WICHE Public Grads-RE PROJ'!S16</f>
        <v>6.1951152579582877E-2</v>
      </c>
      <c r="T15" s="267">
        <f>+'WICHE Public Grads-RE PROJ'!BJ16/'WICHE Public Grads-RE PROJ'!T16</f>
        <v>6.584515386438268E-2</v>
      </c>
      <c r="U15" s="267">
        <f>+'WICHE Public Grads-RE PROJ'!BK16/'WICHE Public Grads-RE PROJ'!U16</f>
        <v>6.3659625036348699E-2</v>
      </c>
      <c r="V15" s="267">
        <f>+'WICHE Public Grads-RE PROJ'!BL16/'WICHE Public Grads-RE PROJ'!V16</f>
        <v>6.6077416873330921E-2</v>
      </c>
      <c r="W15" s="267">
        <f>+'WICHE Public Grads-RE PROJ'!BM16/'WICHE Public Grads-RE PROJ'!W16</f>
        <v>6.9943570961309737E-2</v>
      </c>
      <c r="X15" s="268">
        <f>+'WICHE Public Grads-RE PROJ'!BN16/'WICHE Public Grads-RE PROJ'!Y16</f>
        <v>7.1425794121633066E-2</v>
      </c>
      <c r="Y15" s="268">
        <f>+'WICHE Public Grads-RE PROJ'!BO16/'WICHE Public Grads-RE PROJ'!Z16</f>
        <v>7.1648708686612231E-2</v>
      </c>
      <c r="Z15" s="268">
        <f>+'WICHE Public Grads-RE PROJ'!BP16/'WICHE Public Grads-RE PROJ'!AA16</f>
        <v>7.2004020809048039E-2</v>
      </c>
      <c r="AA15" s="268">
        <f>+'WICHE Public Grads-RE PROJ'!BQ16/'WICHE Public Grads-RE PROJ'!AB16</f>
        <v>7.3544041701816484E-2</v>
      </c>
      <c r="AB15" s="266">
        <f>+'WICHE Public Grads-RE PROJ'!BR16/'WICHE Public Grads-RE PROJ'!AC16</f>
        <v>7.7383086590201239E-2</v>
      </c>
      <c r="AC15" s="266">
        <f>+'WICHE Public Grads-RE PROJ'!BS16/'WICHE Public Grads-RE PROJ'!AD16</f>
        <v>7.7905574615947687E-2</v>
      </c>
      <c r="AD15" s="266">
        <f>+'WICHE Public Grads-RE PROJ'!BT16/'WICHE Public Grads-RE PROJ'!AE16</f>
        <v>7.93521410669073E-2</v>
      </c>
      <c r="AE15" s="266">
        <f>+'WICHE Public Grads-RE PROJ'!BU16/'WICHE Public Grads-RE PROJ'!AF16</f>
        <v>8.1706253356972194E-2</v>
      </c>
      <c r="AF15" s="266">
        <f>+'WICHE Public Grads-RE PROJ'!BV16/'WICHE Public Grads-RE PROJ'!AG16</f>
        <v>8.1596064109616159E-2</v>
      </c>
      <c r="AG15" s="268">
        <f>+'WICHE Public Grads-RE PROJ'!BW16/'WICHE Public Grads-RE PROJ'!AH16</f>
        <v>8.3793540797728855E-2</v>
      </c>
      <c r="AH15" s="266">
        <f>+'WICHE Public Grads-RE PROJ'!BX16/'WICHE Public Grads-RE PROJ'!AI16</f>
        <v>8.1859116775585244E-2</v>
      </c>
      <c r="AI15" s="266">
        <f>+'WICHE Public Grads-RE PROJ'!BY16/'WICHE Public Grads-RE PROJ'!AJ16</f>
        <v>7.9559176988842378E-2</v>
      </c>
      <c r="AJ15" s="266">
        <f>+'WICHE Public Grads-RE PROJ'!BZ16/'WICHE Public Grads-RE PROJ'!AK16</f>
        <v>8.5331490668095811E-2</v>
      </c>
      <c r="AK15" s="266">
        <f>+'WICHE Public Grads-RE PROJ'!CA16/'WICHE Public Grads-RE PROJ'!AL16</f>
        <v>9.0754832126411666E-2</v>
      </c>
      <c r="AL15" s="266">
        <f>+'WICHE Public Grads-RE PROJ'!CB16/'WICHE Public Grads-RE PROJ'!AM16</f>
        <v>9.4604057278700859E-2</v>
      </c>
      <c r="AM15" s="266">
        <f>+'WICHE Public Grads-RE PROJ'!CC16/'WICHE Public Grads-RE PROJ'!AN16</f>
        <v>9.5621675198729036E-2</v>
      </c>
      <c r="AN15" s="266">
        <f>+'WICHE Public Grads-RE PROJ'!CD16/'WICHE Public Grads-RE PROJ'!AO16</f>
        <v>9.6152755574031176E-2</v>
      </c>
      <c r="AO15" s="266">
        <f>+'WICHE Public Grads-RE PROJ'!CE16/'WICHE Public Grads-RE PROJ'!AP16</f>
        <v>9.4989868990296475E-2</v>
      </c>
      <c r="AP15" s="282">
        <f>+'WICHE Public Grads-RE PROJ'!CF16/'WICHE Public Grads-RE PROJ'!AQ16</f>
        <v>9.7365306395667872E-2</v>
      </c>
      <c r="AQ15" s="262">
        <f>+'WICHE Public Grads-RE PROJ'!CG16/'WICHE Public Grads-RE PROJ'!B16</f>
        <v>1.8126888217522659E-3</v>
      </c>
      <c r="AR15" s="262">
        <f>+'WICHE Public Grads-RE PROJ'!CH16/'WICHE Public Grads-RE PROJ'!C16</f>
        <v>2.3024567973078968E-3</v>
      </c>
      <c r="AS15" s="262">
        <f>+'WICHE Public Grads-RE PROJ'!CI16/'WICHE Public Grads-RE PROJ'!D16</f>
        <v>2.276738891304904E-3</v>
      </c>
      <c r="AT15" s="262">
        <f>+'WICHE Public Grads-RE PROJ'!CJ16/'WICHE Public Grads-RE PROJ'!E16</f>
        <v>1.9329741223089376E-3</v>
      </c>
      <c r="AU15" s="262">
        <f>+'WICHE Public Grads-RE PROJ'!CK16/'WICHE Public Grads-RE PROJ'!F16</f>
        <v>1.7949024769654182E-3</v>
      </c>
      <c r="AV15" s="262">
        <f>+'WICHE Public Grads-RE PROJ'!CL16/'WICHE Public Grads-RE PROJ'!G16</f>
        <v>2.3100616016427105E-3</v>
      </c>
      <c r="AW15" s="267">
        <f>+'WICHE Public Grads-RE PROJ'!CM16/'WICHE Public Grads-RE PROJ'!H16</f>
        <v>2.5137470542026708E-3</v>
      </c>
      <c r="AX15" s="267">
        <f>+'WICHE Public Grads-RE PROJ'!CN16/'WICHE Public Grads-RE PROJ'!I16</f>
        <v>2.6182542086813521E-3</v>
      </c>
      <c r="AY15" s="267">
        <f>+'WICHE Public Grads-RE PROJ'!CO16/'WICHE Public Grads-RE PROJ'!J16</f>
        <v>2.5078894020773685E-3</v>
      </c>
      <c r="AZ15" s="267">
        <f>+'WICHE Public Grads-RE PROJ'!CP16/'WICHE Public Grads-RE PROJ'!K16</f>
        <v>2.9458372272561052E-3</v>
      </c>
      <c r="BA15" s="262">
        <f>+'WICHE Public Grads-RE PROJ'!CQ16/'WICHE Public Grads-RE PROJ'!L16</f>
        <v>3.1052848804072248E-3</v>
      </c>
      <c r="BB15" s="267">
        <f>+'WICHE Public Grads-RE PROJ'!CR16/'WICHE Public Grads-RE PROJ'!M16</f>
        <v>3.0464291223199136E-3</v>
      </c>
      <c r="BC15" s="267">
        <f>+'WICHE Public Grads-RE PROJ'!CS16/'WICHE Public Grads-RE PROJ'!N16</f>
        <v>2.5534329487421977E-3</v>
      </c>
      <c r="BD15" s="267">
        <f>+'WICHE Public Grads-RE PROJ'!CT16/'WICHE Public Grads-RE PROJ'!O16</f>
        <v>3.7290012922281705E-3</v>
      </c>
      <c r="BE15" s="267">
        <f>+'WICHE Public Grads-RE PROJ'!CU16/'WICHE Public Grads-RE PROJ'!P16</f>
        <v>3.205128205128205E-3</v>
      </c>
      <c r="BF15" s="267">
        <f>+'WICHE Public Grads-RE PROJ'!CV16/'WICHE Public Grads-RE PROJ'!Q16</f>
        <v>3.1095823778750607E-3</v>
      </c>
      <c r="BG15" s="267">
        <f>+'WICHE Public Grads-RE PROJ'!CW16/'WICHE Public Grads-RE PROJ'!R16</f>
        <v>3.2617329435027293E-3</v>
      </c>
      <c r="BH15" s="267">
        <f>+'WICHE Public Grads-RE PROJ'!CX16/'WICHE Public Grads-RE PROJ'!S16</f>
        <v>3.1901756311745336E-3</v>
      </c>
      <c r="BI15" s="267">
        <f>+'WICHE Public Grads-RE PROJ'!CY16/'WICHE Public Grads-RE PROJ'!T16</f>
        <v>3.2160872067436273E-3</v>
      </c>
      <c r="BJ15" s="267">
        <f>+'WICHE Public Grads-RE PROJ'!CZ16/'WICHE Public Grads-RE PROJ'!U16</f>
        <v>3.37960638535907E-3</v>
      </c>
      <c r="BK15" s="267">
        <f>+'WICHE Public Grads-RE PROJ'!DA16/'WICHE Public Grads-RE PROJ'!V16</f>
        <v>3.2852510874943671E-3</v>
      </c>
      <c r="BL15" s="267">
        <f>+'WICHE Public Grads-RE PROJ'!DB16/'WICHE Public Grads-RE PROJ'!W16</f>
        <v>4.2901432493494046E-3</v>
      </c>
      <c r="BM15" s="268">
        <f>+'WICHE Public Grads-RE PROJ'!DC16/'WICHE Public Grads-RE PROJ'!Y16</f>
        <v>3.5030255220040054E-3</v>
      </c>
      <c r="BN15" s="268">
        <f>+'WICHE Public Grads-RE PROJ'!DD16/'WICHE Public Grads-RE PROJ'!Z16</f>
        <v>2.3047065986976714E-3</v>
      </c>
      <c r="BO15" s="268">
        <f>+'WICHE Public Grads-RE PROJ'!DE16/'WICHE Public Grads-RE PROJ'!AA16</f>
        <v>2.7249265739831114E-3</v>
      </c>
      <c r="BP15" s="268">
        <f>+'WICHE Public Grads-RE PROJ'!DF16/'WICHE Public Grads-RE PROJ'!AB16</f>
        <v>2.4696557836949053E-3</v>
      </c>
      <c r="BQ15" s="266">
        <f>+'WICHE Public Grads-RE PROJ'!DG16/'WICHE Public Grads-RE PROJ'!AC16</f>
        <v>2.575146495093948E-3</v>
      </c>
      <c r="BR15" s="266">
        <f>+'WICHE Public Grads-RE PROJ'!DH16/'WICHE Public Grads-RE PROJ'!AD16</f>
        <v>2.3102500925118292E-3</v>
      </c>
      <c r="BS15" s="266">
        <f>+'WICHE Public Grads-RE PROJ'!DI16/'WICHE Public Grads-RE PROJ'!AE16</f>
        <v>2.2222958343416301E-3</v>
      </c>
      <c r="BT15" s="266">
        <f>+'WICHE Public Grads-RE PROJ'!DJ16/'WICHE Public Grads-RE PROJ'!AF16</f>
        <v>1.9833986200950707E-3</v>
      </c>
      <c r="BU15" s="266">
        <f>+'WICHE Public Grads-RE PROJ'!DK16/'WICHE Public Grads-RE PROJ'!AG16</f>
        <v>1.8266601014689237E-3</v>
      </c>
      <c r="BV15" s="268">
        <f>+'WICHE Public Grads-RE PROJ'!DL16/'WICHE Public Grads-RE PROJ'!AH16</f>
        <v>1.9675453654050806E-3</v>
      </c>
      <c r="BW15" s="266">
        <f>+'WICHE Public Grads-RE PROJ'!DM16/'WICHE Public Grads-RE PROJ'!AI16</f>
        <v>2.1710916975994582E-3</v>
      </c>
      <c r="BX15" s="266">
        <f>+'WICHE Public Grads-RE PROJ'!DN16/'WICHE Public Grads-RE PROJ'!AJ16</f>
        <v>1.710696385142029E-3</v>
      </c>
      <c r="BY15" s="266">
        <f>+'WICHE Public Grads-RE PROJ'!DO16/'WICHE Public Grads-RE PROJ'!AK16</f>
        <v>1.9460825909702927E-3</v>
      </c>
      <c r="BZ15" s="266">
        <f>+'WICHE Public Grads-RE PROJ'!DP16/'WICHE Public Grads-RE PROJ'!AL16</f>
        <v>2.1516097857903239E-3</v>
      </c>
      <c r="CA15" s="266">
        <f>+'WICHE Public Grads-RE PROJ'!DQ16/'WICHE Public Grads-RE PROJ'!AM16</f>
        <v>2.0257619569445683E-3</v>
      </c>
      <c r="CB15" s="266">
        <f>+'WICHE Public Grads-RE PROJ'!DR16/'WICHE Public Grads-RE PROJ'!AN16</f>
        <v>1.9329708163280195E-3</v>
      </c>
      <c r="CC15" s="266">
        <f>+'WICHE Public Grads-RE PROJ'!DS16/'WICHE Public Grads-RE PROJ'!AO16</f>
        <v>1.72363884491515E-3</v>
      </c>
      <c r="CD15" s="266">
        <f>+'WICHE Public Grads-RE PROJ'!DT16/'WICHE Public Grads-RE PROJ'!AP16</f>
        <v>2.3540379536879448E-3</v>
      </c>
      <c r="CE15" s="282">
        <f>+'WICHE Public Grads-RE PROJ'!DU16/'WICHE Public Grads-RE PROJ'!AQ16</f>
        <v>1.6168730688327754E-3</v>
      </c>
      <c r="CF15" s="262">
        <f>+'WICHE Public Grads-RE PROJ'!DV16/'WICHE Public Grads-RE PROJ'!B16</f>
        <v>4.9144008056394767E-2</v>
      </c>
      <c r="CG15" s="262">
        <f>+'WICHE Public Grads-RE PROJ'!DW16/'WICHE Public Grads-RE PROJ'!C16</f>
        <v>5.1944437416188045E-2</v>
      </c>
      <c r="CH15" s="262">
        <f>+'WICHE Public Grads-RE PROJ'!DX16/'WICHE Public Grads-RE PROJ'!D16</f>
        <v>5.1137090378859586E-2</v>
      </c>
      <c r="CI15" s="262">
        <f>+'WICHE Public Grads-RE PROJ'!DY16/'WICHE Public Grads-RE PROJ'!E16</f>
        <v>4.9967381061686036E-2</v>
      </c>
      <c r="CJ15" s="262">
        <f>+'WICHE Public Grads-RE PROJ'!DZ16/'WICHE Public Grads-RE PROJ'!F16</f>
        <v>4.8964939571616607E-2</v>
      </c>
      <c r="CK15" s="262">
        <f>+'WICHE Public Grads-RE PROJ'!EA16/'WICHE Public Grads-RE PROJ'!G16</f>
        <v>5.1474705992159794E-2</v>
      </c>
      <c r="CL15" s="267">
        <f>+'WICHE Public Grads-RE PROJ'!EB16/'WICHE Public Grads-RE PROJ'!H16</f>
        <v>5.1846032992930086E-2</v>
      </c>
      <c r="CM15" s="267">
        <f>+'WICHE Public Grads-RE PROJ'!EC16/'WICHE Public Grads-RE PROJ'!I16</f>
        <v>5.0157960791102262E-2</v>
      </c>
      <c r="CN15" s="267">
        <f>+'WICHE Public Grads-RE PROJ'!ED16/'WICHE Public Grads-RE PROJ'!J16</f>
        <v>5.3627035047754394E-2</v>
      </c>
      <c r="CO15" s="267">
        <f>+'WICHE Public Grads-RE PROJ'!EE16/'WICHE Public Grads-RE PROJ'!K16</f>
        <v>5.054650359595303E-2</v>
      </c>
      <c r="CP15" s="262">
        <f>+'WICHE Public Grads-RE PROJ'!EF16/'WICHE Public Grads-RE PROJ'!L16</f>
        <v>5.3556337336137259E-2</v>
      </c>
      <c r="CQ15" s="267">
        <f>+'WICHE Public Grads-RE PROJ'!EG16/'WICHE Public Grads-RE PROJ'!M16</f>
        <v>5.5144223353385778E-2</v>
      </c>
      <c r="CR15" s="267">
        <f>+'WICHE Public Grads-RE PROJ'!EH16/'WICHE Public Grads-RE PROJ'!N16</f>
        <v>5.5210894647247967E-2</v>
      </c>
      <c r="CS15" s="267">
        <f>+'WICHE Public Grads-RE PROJ'!EI16/'WICHE Public Grads-RE PROJ'!O16</f>
        <v>5.6747277090640577E-2</v>
      </c>
      <c r="CT15" s="267">
        <f>+'WICHE Public Grads-RE PROJ'!EJ16/'WICHE Public Grads-RE PROJ'!P16</f>
        <v>6.0105157015269375E-2</v>
      </c>
      <c r="CU15" s="267">
        <f>+'WICHE Public Grads-RE PROJ'!EK16/'WICHE Public Grads-RE PROJ'!Q16</f>
        <v>5.7518588006392882E-2</v>
      </c>
      <c r="CV15" s="267">
        <f>+'WICHE Public Grads-RE PROJ'!EL16/'WICHE Public Grads-RE PROJ'!R16</f>
        <v>5.7325378986327759E-2</v>
      </c>
      <c r="CW15" s="267">
        <f>+'WICHE Public Grads-RE PROJ'!EM16/'WICHE Public Grads-RE PROJ'!S16</f>
        <v>5.8760976948408344E-2</v>
      </c>
      <c r="CX15" s="267">
        <f>+'WICHE Public Grads-RE PROJ'!EN16/'WICHE Public Grads-RE PROJ'!T16</f>
        <v>6.2629066657639051E-2</v>
      </c>
      <c r="CY15" s="267">
        <f>+'WICHE Public Grads-RE PROJ'!EO16/'WICHE Public Grads-RE PROJ'!U16</f>
        <v>6.0280018650989628E-2</v>
      </c>
      <c r="CZ15" s="267">
        <f>+'WICHE Public Grads-RE PROJ'!EP16/'WICHE Public Grads-RE PROJ'!V16</f>
        <v>6.2792165785836546E-2</v>
      </c>
      <c r="DA15" s="267">
        <f>+'WICHE Public Grads-RE PROJ'!EQ16/'WICHE Public Grads-RE PROJ'!W16</f>
        <v>6.5653427711960324E-2</v>
      </c>
      <c r="DB15" s="268">
        <f>+'WICHE Public Grads-RE PROJ'!ER16/'WICHE Public Grads-RE PROJ'!Y16</f>
        <v>6.7922768599629063E-2</v>
      </c>
      <c r="DC15" s="268">
        <f>+'WICHE Public Grads-RE PROJ'!ES16/'WICHE Public Grads-RE PROJ'!Z16</f>
        <v>6.9344002087914566E-2</v>
      </c>
      <c r="DD15" s="268">
        <f>+'WICHE Public Grads-RE PROJ'!ET16/'WICHE Public Grads-RE PROJ'!AA16</f>
        <v>6.9279094235064925E-2</v>
      </c>
      <c r="DE15" s="268">
        <f>+'WICHE Public Grads-RE PROJ'!EU16/'WICHE Public Grads-RE PROJ'!AB16</f>
        <v>7.1074385918121583E-2</v>
      </c>
      <c r="DF15" s="266">
        <f>+'WICHE Public Grads-RE PROJ'!EV16/'WICHE Public Grads-RE PROJ'!AC16</f>
        <v>7.48079400951073E-2</v>
      </c>
      <c r="DG15" s="266">
        <f>+'WICHE Public Grads-RE PROJ'!EW16/'WICHE Public Grads-RE PROJ'!AD16</f>
        <v>7.5595324523435842E-2</v>
      </c>
      <c r="DH15" s="266">
        <f>+'WICHE Public Grads-RE PROJ'!EX16/'WICHE Public Grads-RE PROJ'!AE16</f>
        <v>7.7129845232565664E-2</v>
      </c>
      <c r="DI15" s="266">
        <f>+'WICHE Public Grads-RE PROJ'!EY16/'WICHE Public Grads-RE PROJ'!AF16</f>
        <v>7.9722854736877125E-2</v>
      </c>
      <c r="DJ15" s="266">
        <f>+'WICHE Public Grads-RE PROJ'!EZ16/'WICHE Public Grads-RE PROJ'!AG16</f>
        <v>7.9769404008147235E-2</v>
      </c>
      <c r="DK15" s="268">
        <f>+'WICHE Public Grads-RE PROJ'!FA16/'WICHE Public Grads-RE PROJ'!AH16</f>
        <v>8.1825995432323773E-2</v>
      </c>
      <c r="DL15" s="266">
        <f>+'WICHE Public Grads-RE PROJ'!FB16/'WICHE Public Grads-RE PROJ'!AI16</f>
        <v>7.968802507798578E-2</v>
      </c>
      <c r="DM15" s="266">
        <f>+'WICHE Public Grads-RE PROJ'!FC16/'WICHE Public Grads-RE PROJ'!AJ16</f>
        <v>7.7848480603700351E-2</v>
      </c>
      <c r="DN15" s="266">
        <f>+'WICHE Public Grads-RE PROJ'!FD16/'WICHE Public Grads-RE PROJ'!AK16</f>
        <v>8.3385408077125509E-2</v>
      </c>
      <c r="DO15" s="266">
        <f>+'WICHE Public Grads-RE PROJ'!FE16/'WICHE Public Grads-RE PROJ'!AL16</f>
        <v>8.8603222340621346E-2</v>
      </c>
      <c r="DP15" s="266">
        <f>+'WICHE Public Grads-RE PROJ'!FF16/'WICHE Public Grads-RE PROJ'!AM16</f>
        <v>9.2578295321756293E-2</v>
      </c>
      <c r="DQ15" s="266">
        <f>+'WICHE Public Grads-RE PROJ'!FG16/'WICHE Public Grads-RE PROJ'!AN16</f>
        <v>9.3688704382401025E-2</v>
      </c>
      <c r="DR15" s="266">
        <f>+'WICHE Public Grads-RE PROJ'!FH16/'WICHE Public Grads-RE PROJ'!AO16</f>
        <v>9.4429116729116039E-2</v>
      </c>
      <c r="DS15" s="266">
        <f>+'WICHE Public Grads-RE PROJ'!FI16/'WICHE Public Grads-RE PROJ'!AP16</f>
        <v>9.2635831036608524E-2</v>
      </c>
      <c r="DT15" s="282">
        <f>+'WICHE Public Grads-RE PROJ'!FJ16/'WICHE Public Grads-RE PROJ'!AQ16</f>
        <v>9.5748433326835108E-2</v>
      </c>
      <c r="DU15" s="262">
        <f>+'WICHE Public Grads-RE PROJ'!FK16/'WICHE Public Grads-RE PROJ'!B16</f>
        <v>0.26858006042296073</v>
      </c>
      <c r="DV15" s="262">
        <f>+'WICHE Public Grads-RE PROJ'!FL16/'WICHE Public Grads-RE PROJ'!C16</f>
        <v>0.27824304835159275</v>
      </c>
      <c r="DW15" s="262">
        <f>+'WICHE Public Grads-RE PROJ'!FM16/'WICHE Public Grads-RE PROJ'!D16</f>
        <v>0.29109002072088203</v>
      </c>
      <c r="DX15" s="262">
        <f>+'WICHE Public Grads-RE PROJ'!FN16/'WICHE Public Grads-RE PROJ'!E16</f>
        <v>0.2984995288375577</v>
      </c>
      <c r="DY15" s="262">
        <f>+'WICHE Public Grads-RE PROJ'!FO16/'WICHE Public Grads-RE PROJ'!F16</f>
        <v>0.30551633361254038</v>
      </c>
      <c r="DZ15" s="262">
        <f>+'WICHE Public Grads-RE PROJ'!FP16/'WICHE Public Grads-RE PROJ'!G16</f>
        <v>0.31104162777674071</v>
      </c>
      <c r="EA15" s="267">
        <f>+'WICHE Public Grads-RE PROJ'!FQ16/'WICHE Public Grads-RE PROJ'!H16</f>
        <v>0.31491415104926496</v>
      </c>
      <c r="EB15" s="267">
        <f>+'WICHE Public Grads-RE PROJ'!FR16/'WICHE Public Grads-RE PROJ'!I16</f>
        <v>0.31847492101960445</v>
      </c>
      <c r="EC15" s="267">
        <f>+'WICHE Public Grads-RE PROJ'!FS16/'WICHE Public Grads-RE PROJ'!J16</f>
        <v>0.3187527430040335</v>
      </c>
      <c r="ED15" s="267">
        <f>+'WICHE Public Grads-RE PROJ'!FT16/'WICHE Public Grads-RE PROJ'!K16</f>
        <v>0.32820689935394742</v>
      </c>
      <c r="EE15" s="262">
        <f>+'WICHE Public Grads-RE PROJ'!FU16/'WICHE Public Grads-RE PROJ'!L16</f>
        <v>0.32910123621784165</v>
      </c>
      <c r="EF15" s="267">
        <f>+'WICHE Public Grads-RE PROJ'!FV16/'WICHE Public Grads-RE PROJ'!M16</f>
        <v>0.3197979330556841</v>
      </c>
      <c r="EG15" s="267">
        <f>+'WICHE Public Grads-RE PROJ'!FW16/'WICHE Public Grads-RE PROJ'!N16</f>
        <v>0.32163797995082277</v>
      </c>
      <c r="EH15" s="267">
        <f>+'WICHE Public Grads-RE PROJ'!FX16/'WICHE Public Grads-RE PROJ'!O16</f>
        <v>0.33230570426435296</v>
      </c>
      <c r="EI15" s="267">
        <f>+'WICHE Public Grads-RE PROJ'!FY16/'WICHE Public Grads-RE PROJ'!P16</f>
        <v>0.33416162489196199</v>
      </c>
      <c r="EJ15" s="267">
        <f>+'WICHE Public Grads-RE PROJ'!FZ16/'WICHE Public Grads-RE PROJ'!Q16</f>
        <v>0.3436001667708985</v>
      </c>
      <c r="EK15" s="267">
        <f>+'WICHE Public Grads-RE PROJ'!GA16/'WICHE Public Grads-RE PROJ'!R16</f>
        <v>0.34817731659089757</v>
      </c>
      <c r="EL15" s="267">
        <f>+'WICHE Public Grads-RE PROJ'!GB16/'WICHE Public Grads-RE PROJ'!S16</f>
        <v>0.35299464873765091</v>
      </c>
      <c r="EM15" s="267">
        <f>+'WICHE Public Grads-RE PROJ'!GC16/'WICHE Public Grads-RE PROJ'!T16</f>
        <v>0.35937235519144184</v>
      </c>
      <c r="EN15" s="267">
        <f>+'WICHE Public Grads-RE PROJ'!GD16/'WICHE Public Grads-RE PROJ'!U16</f>
        <v>0.36843622251604097</v>
      </c>
      <c r="EO15" s="267">
        <f>+'WICHE Public Grads-RE PROJ'!GE16/'WICHE Public Grads-RE PROJ'!V16</f>
        <v>0.36613307135317763</v>
      </c>
      <c r="EP15" s="267">
        <f>+'WICHE Public Grads-RE PROJ'!GF16/'WICHE Public Grads-RE PROJ'!W16</f>
        <v>0.35696800550490954</v>
      </c>
      <c r="EQ15" s="268">
        <f>+'WICHE Public Grads-RE PROJ'!GG16/'WICHE Public Grads-RE PROJ'!Y16</f>
        <v>0.35019595880526166</v>
      </c>
      <c r="ER15" s="268">
        <f>+'WICHE Public Grads-RE PROJ'!GH16/'WICHE Public Grads-RE PROJ'!Z16</f>
        <v>0.35796351756534428</v>
      </c>
      <c r="ES15" s="268">
        <f>+'WICHE Public Grads-RE PROJ'!GI16/'WICHE Public Grads-RE PROJ'!AA16</f>
        <v>0.35376417657330678</v>
      </c>
      <c r="ET15" s="268">
        <f>+'WICHE Public Grads-RE PROJ'!GJ16/'WICHE Public Grads-RE PROJ'!AB16</f>
        <v>0.3470002249934106</v>
      </c>
      <c r="EU15" s="266">
        <f>+'WICHE Public Grads-RE PROJ'!GK16/'WICHE Public Grads-RE PROJ'!AC16</f>
        <v>0.34757596485411352</v>
      </c>
      <c r="EV15" s="266">
        <f>+'WICHE Public Grads-RE PROJ'!GL16/'WICHE Public Grads-RE PROJ'!AD16</f>
        <v>0.34704435629316693</v>
      </c>
      <c r="EW15" s="266">
        <f>+'WICHE Public Grads-RE PROJ'!GM16/'WICHE Public Grads-RE PROJ'!AE16</f>
        <v>0.33767686759131305</v>
      </c>
      <c r="EX15" s="266">
        <f>+'WICHE Public Grads-RE PROJ'!GN16/'WICHE Public Grads-RE PROJ'!AF16</f>
        <v>0.33135627415674113</v>
      </c>
      <c r="EY15" s="266">
        <f>+'WICHE Public Grads-RE PROJ'!GO16/'WICHE Public Grads-RE PROJ'!AG16</f>
        <v>0.33132345820377196</v>
      </c>
      <c r="EZ15" s="268">
        <f>+'WICHE Public Grads-RE PROJ'!GP16/'WICHE Public Grads-RE PROJ'!AH16</f>
        <v>0.33000008718107032</v>
      </c>
      <c r="FA15" s="266">
        <f>+'WICHE Public Grads-RE PROJ'!GQ16/'WICHE Public Grads-RE PROJ'!AI16</f>
        <v>0.33034904184872782</v>
      </c>
      <c r="FB15" s="266">
        <f>+'WICHE Public Grads-RE PROJ'!GR16/'WICHE Public Grads-RE PROJ'!AJ16</f>
        <v>0.33090625545767099</v>
      </c>
      <c r="FC15" s="266">
        <f>+'WICHE Public Grads-RE PROJ'!GS16/'WICHE Public Grads-RE PROJ'!AK16</f>
        <v>0.33744991653457085</v>
      </c>
      <c r="FD15" s="266">
        <f>+'WICHE Public Grads-RE PROJ'!GT16/'WICHE Public Grads-RE PROJ'!AL16</f>
        <v>0.33605275272059881</v>
      </c>
      <c r="FE15" s="266">
        <f>+'WICHE Public Grads-RE PROJ'!GU16/'WICHE Public Grads-RE PROJ'!AM16</f>
        <v>0.33341333993391326</v>
      </c>
      <c r="FF15" s="266">
        <f>+'WICHE Public Grads-RE PROJ'!GV16/'WICHE Public Grads-RE PROJ'!AN16</f>
        <v>0.32722878326379545</v>
      </c>
      <c r="FG15" s="266">
        <f>+'WICHE Public Grads-RE PROJ'!GW16/'WICHE Public Grads-RE PROJ'!AO16</f>
        <v>0.3281553728895677</v>
      </c>
      <c r="FH15" s="266">
        <f>+'WICHE Public Grads-RE PROJ'!GX16/'WICHE Public Grads-RE PROJ'!AP16</f>
        <v>0.3257797939130575</v>
      </c>
      <c r="FI15" s="282">
        <f>+'WICHE Public Grads-RE PROJ'!GY16/'WICHE Public Grads-RE PROJ'!AQ16</f>
        <v>0.32558445519643947</v>
      </c>
      <c r="FJ15" s="262">
        <f>+'WICHE Public Grads-RE PROJ'!GZ16/'WICHE Public Grads-RE PROJ'!B16</f>
        <v>2.2683786505538771E-2</v>
      </c>
      <c r="FK15" s="262">
        <f>+'WICHE Public Grads-RE PROJ'!HA16/'WICHE Public Grads-RE PROJ'!C16</f>
        <v>2.5352326493434201E-2</v>
      </c>
      <c r="FL15" s="262">
        <f>+'WICHE Public Grads-RE PROJ'!HB16/'WICHE Public Grads-RE PROJ'!D16</f>
        <v>2.7883656084520734E-2</v>
      </c>
      <c r="FM15" s="262">
        <f>+'WICHE Public Grads-RE PROJ'!HC16/'WICHE Public Grads-RE PROJ'!E16</f>
        <v>2.9550341894797882E-2</v>
      </c>
      <c r="FN15" s="262">
        <f>+'WICHE Public Grads-RE PROJ'!HD16/'WICHE Public Grads-RE PROJ'!F16</f>
        <v>3.0609070240516931E-2</v>
      </c>
      <c r="FO15" s="262">
        <f>+'WICHE Public Grads-RE PROJ'!HE16/'WICHE Public Grads-RE PROJ'!G16</f>
        <v>3.0334142243793168E-2</v>
      </c>
      <c r="FP15" s="267">
        <f>+'WICHE Public Grads-RE PROJ'!HF16/'WICHE Public Grads-RE PROJ'!H16</f>
        <v>3.2297160812478957E-2</v>
      </c>
      <c r="FQ15" s="267">
        <f>+'WICHE Public Grads-RE PROJ'!HG16/'WICHE Public Grads-RE PROJ'!I16</f>
        <v>3.2738996840784178E-2</v>
      </c>
      <c r="FR15" s="267">
        <f>+'WICHE Public Grads-RE PROJ'!HH16/'WICHE Public Grads-RE PROJ'!J16</f>
        <v>3.1118727664110012E-2</v>
      </c>
      <c r="FS15" s="267">
        <f>+'WICHE Public Grads-RE PROJ'!HI16/'WICHE Public Grads-RE PROJ'!K16</f>
        <v>3.4699930925196049E-2</v>
      </c>
      <c r="FT15" s="262">
        <f>+'WICHE Public Grads-RE PROJ'!HJ16/'WICHE Public Grads-RE PROJ'!L16</f>
        <v>3.7145496354238319E-2</v>
      </c>
      <c r="FU15" s="267">
        <f>+'WICHE Public Grads-RE PROJ'!HK16/'WICHE Public Grads-RE PROJ'!M16</f>
        <v>4.000848372666975E-2</v>
      </c>
      <c r="FV15" s="267">
        <f>+'WICHE Public Grads-RE PROJ'!HL16/'WICHE Public Grads-RE PROJ'!N16</f>
        <v>4.2935502175146585E-2</v>
      </c>
      <c r="FW15" s="267">
        <f>+'WICHE Public Grads-RE PROJ'!HM16/'WICHE Public Grads-RE PROJ'!O16</f>
        <v>4.6317149713863762E-2</v>
      </c>
      <c r="FX15" s="267">
        <f>+'WICHE Public Grads-RE PROJ'!HN16/'WICHE Public Grads-RE PROJ'!P16</f>
        <v>5.0237683664649958E-2</v>
      </c>
      <c r="FY15" s="267">
        <f>+'WICHE Public Grads-RE PROJ'!HO16/'WICHE Public Grads-RE PROJ'!Q16</f>
        <v>5.4374261691334864E-2</v>
      </c>
      <c r="FZ15" s="267">
        <f>+'WICHE Public Grads-RE PROJ'!HP16/'WICHE Public Grads-RE PROJ'!R16</f>
        <v>6.008010680907877E-2</v>
      </c>
      <c r="GA15" s="267">
        <f>+'WICHE Public Grads-RE PROJ'!HQ16/'WICHE Public Grads-RE PROJ'!S16</f>
        <v>6.5895993413830956E-2</v>
      </c>
      <c r="GB15" s="267">
        <f>+'WICHE Public Grads-RE PROJ'!HR16/'WICHE Public Grads-RE PROJ'!T16</f>
        <v>6.9179728494532647E-2</v>
      </c>
      <c r="GC15" s="267">
        <f>+'WICHE Public Grads-RE PROJ'!HS16/'WICHE Public Grads-RE PROJ'!U16</f>
        <v>7.9700400034045452E-2</v>
      </c>
      <c r="GD15" s="267">
        <f>+'WICHE Public Grads-RE PROJ'!HT16/'WICHE Public Grads-RE PROJ'!V16</f>
        <v>8.5783271836901265E-2</v>
      </c>
      <c r="GE15" s="267">
        <f>+'WICHE Public Grads-RE PROJ'!HU16/'WICHE Public Grads-RE PROJ'!W16</f>
        <v>9.2756723716381412E-2</v>
      </c>
      <c r="GF15" s="268">
        <f>+'WICHE Public Grads-RE PROJ'!HV16/'WICHE Public Grads-RE PROJ'!Y16</f>
        <v>0.10051897341514794</v>
      </c>
      <c r="GG15" s="268">
        <f>+'WICHE Public Grads-RE PROJ'!HW16/'WICHE Public Grads-RE PROJ'!Z16</f>
        <v>0.1021593210811275</v>
      </c>
      <c r="GH15" s="268">
        <f>+'WICHE Public Grads-RE PROJ'!HX16/'WICHE Public Grads-RE PROJ'!AA16</f>
        <v>0.11167777499668585</v>
      </c>
      <c r="GI15" s="268">
        <f>+'WICHE Public Grads-RE PROJ'!HY16/'WICHE Public Grads-RE PROJ'!AB16</f>
        <v>0.12400195399247592</v>
      </c>
      <c r="GJ15" s="266">
        <f>+'WICHE Public Grads-RE PROJ'!HZ16/'WICHE Public Grads-RE PROJ'!AC16</f>
        <v>0.12789290565253394</v>
      </c>
      <c r="GK15" s="266">
        <f>+'WICHE Public Grads-RE PROJ'!IA16/'WICHE Public Grads-RE PROJ'!AD16</f>
        <v>0.13541682827787646</v>
      </c>
      <c r="GL15" s="266">
        <f>+'WICHE Public Grads-RE PROJ'!IB16/'WICHE Public Grads-RE PROJ'!AE16</f>
        <v>0.14918258885516067</v>
      </c>
      <c r="GM15" s="266">
        <f>+'WICHE Public Grads-RE PROJ'!IC16/'WICHE Public Grads-RE PROJ'!AF16</f>
        <v>0.16020459076105595</v>
      </c>
      <c r="GN15" s="266">
        <f>+'WICHE Public Grads-RE PROJ'!ID16/'WICHE Public Grads-RE PROJ'!AG16</f>
        <v>0.16674551805603832</v>
      </c>
      <c r="GO15" s="268">
        <f>+'WICHE Public Grads-RE PROJ'!IE16/'WICHE Public Grads-RE PROJ'!AH16</f>
        <v>0.18076000018646243</v>
      </c>
      <c r="GP15" s="266">
        <f>+'WICHE Public Grads-RE PROJ'!IF16/'WICHE Public Grads-RE PROJ'!AI16</f>
        <v>0.19592772791946658</v>
      </c>
      <c r="GQ15" s="266">
        <f>+'WICHE Public Grads-RE PROJ'!IG16/'WICHE Public Grads-RE PROJ'!AJ16</f>
        <v>0.2109694522580009</v>
      </c>
      <c r="GR15" s="266">
        <f>+'WICHE Public Grads-RE PROJ'!IH16/'WICHE Public Grads-RE PROJ'!AK16</f>
        <v>0.21617915061430645</v>
      </c>
      <c r="GS15" s="266">
        <f>+'WICHE Public Grads-RE PROJ'!II16/'WICHE Public Grads-RE PROJ'!AL16</f>
        <v>0.22221007847467625</v>
      </c>
      <c r="GT15" s="266">
        <f>+'WICHE Public Grads-RE PROJ'!IJ16/'WICHE Public Grads-RE PROJ'!AM16</f>
        <v>0.21685649493073297</v>
      </c>
      <c r="GU15" s="266">
        <f>+'WICHE Public Grads-RE PROJ'!IK16/'WICHE Public Grads-RE PROJ'!AN16</f>
        <v>0.21990860082101682</v>
      </c>
      <c r="GV15" s="266">
        <f>+'WICHE Public Grads-RE PROJ'!IL16/'WICHE Public Grads-RE PROJ'!AO16</f>
        <v>0.21930717924097118</v>
      </c>
      <c r="GW15" s="266">
        <f>+'WICHE Public Grads-RE PROJ'!IM16/'WICHE Public Grads-RE PROJ'!AP16</f>
        <v>0.22882717687059484</v>
      </c>
      <c r="GX15" s="282">
        <f>+'WICHE Public Grads-RE PROJ'!IN16/'WICHE Public Grads-RE PROJ'!AQ16</f>
        <v>0.23215834391085161</v>
      </c>
      <c r="GY15" s="262">
        <f>+'WICHE Public Grads-RE PROJ'!IO16/'WICHE Public Grads-RE PROJ'!B16</f>
        <v>0.65777945619335343</v>
      </c>
      <c r="GZ15" s="262">
        <f>+'WICHE Public Grads-RE PROJ'!IP16/'WICHE Public Grads-RE PROJ'!C16</f>
        <v>0.6421577309414771</v>
      </c>
      <c r="HA15" s="262">
        <f>+'WICHE Public Grads-RE PROJ'!IQ16/'WICHE Public Grads-RE PROJ'!D16</f>
        <v>0.62761249392443275</v>
      </c>
      <c r="HB15" s="262">
        <f>+'WICHE Public Grads-RE PROJ'!IR16/'WICHE Public Grads-RE PROJ'!E16</f>
        <v>0.62004977408364947</v>
      </c>
      <c r="HC15" s="262">
        <f>+'WICHE Public Grads-RE PROJ'!IS16/'WICHE Public Grads-RE PROJ'!F16</f>
        <v>0.61311475409836069</v>
      </c>
      <c r="HD15" s="262">
        <f>+'WICHE Public Grads-RE PROJ'!IT16/'WICHE Public Grads-RE PROJ'!G16</f>
        <v>0.60483946238566366</v>
      </c>
      <c r="HE15" s="267">
        <f>+'WICHE Public Grads-RE PROJ'!IU16/'WICHE Public Grads-RE PROJ'!H16</f>
        <v>0.59842890809112337</v>
      </c>
      <c r="HF15" s="267">
        <f>+'WICHE Public Grads-RE PROJ'!IV16/'WICHE Public Grads-RE PROJ'!I16</f>
        <v>0.59600986713982773</v>
      </c>
      <c r="HG15" s="267">
        <f>+'WICHE Public Grads-RE PROJ'!IW16/'WICHE Public Grads-RE PROJ'!J16</f>
        <v>0.59399360488202468</v>
      </c>
      <c r="HH15" s="267">
        <f>+'WICHE Public Grads-RE PROJ'!IX16/'WICHE Public Grads-RE PROJ'!K16</f>
        <v>0.58360082889764742</v>
      </c>
      <c r="HI15" s="262">
        <f>+'WICHE Public Grads-RE PROJ'!IY16/'WICHE Public Grads-RE PROJ'!L16</f>
        <v>0.57709164521137557</v>
      </c>
      <c r="HJ15" s="267">
        <f>+'WICHE Public Grads-RE PROJ'!IZ16/'WICHE Public Grads-RE PROJ'!M16</f>
        <v>0.58194508715101034</v>
      </c>
      <c r="HK15" s="267">
        <f>+'WICHE Public Grads-RE PROJ'!JA16/'WICHE Public Grads-RE PROJ'!N16</f>
        <v>0.57766219027804044</v>
      </c>
      <c r="HL15" s="267">
        <f>+'WICHE Public Grads-RE PROJ'!JB16/'WICHE Public Grads-RE PROJ'!O16</f>
        <v>0.56090086763891456</v>
      </c>
      <c r="HM15" s="267">
        <f>+'WICHE Public Grads-RE PROJ'!JC16/'WICHE Public Grads-RE PROJ'!P16</f>
        <v>0.55229040622299053</v>
      </c>
      <c r="HN15" s="267">
        <f>+'WICHE Public Grads-RE PROJ'!JD16/'WICHE Public Grads-RE PROJ'!Q16</f>
        <v>0.54139740115349877</v>
      </c>
      <c r="HO15" s="267">
        <f>+'WICHE Public Grads-RE PROJ'!JE16/'WICHE Public Grads-RE PROJ'!R16</f>
        <v>0.53115546467019314</v>
      </c>
      <c r="HP15" s="267">
        <f>+'WICHE Public Grads-RE PROJ'!JF16/'WICHE Public Grads-RE PROJ'!S16</f>
        <v>0.51915820526893519</v>
      </c>
      <c r="HQ15" s="267">
        <f>+'WICHE Public Grads-RE PROJ'!JG16/'WICHE Public Grads-RE PROJ'!T16</f>
        <v>0.50560276244964286</v>
      </c>
      <c r="HR15" s="267">
        <f>+'WICHE Public Grads-RE PROJ'!JH16/'WICHE Public Grads-RE PROJ'!U16</f>
        <v>0.4882037524135649</v>
      </c>
      <c r="HS15" s="267">
        <f>+'WICHE Public Grads-RE PROJ'!JI16/'WICHE Public Grads-RE PROJ'!V16</f>
        <v>0.48200623993659014</v>
      </c>
      <c r="HT15" s="267">
        <f>+'WICHE Public Grads-RE PROJ'!JJ16/'WICHE Public Grads-RE PROJ'!W16</f>
        <v>0.48033169981739932</v>
      </c>
      <c r="HU15" s="268">
        <f>+'WICHE Public Grads-RE PROJ'!JK16/'WICHE Public Grads-RE PROJ'!Y16</f>
        <v>0.47777034550724196</v>
      </c>
      <c r="HV15" s="268">
        <f>+'WICHE Public Grads-RE PROJ'!JL16/'WICHE Public Grads-RE PROJ'!Z16</f>
        <v>0.46809940098053043</v>
      </c>
      <c r="HW15" s="268">
        <f>+'WICHE Public Grads-RE PROJ'!JM16/'WICHE Public Grads-RE PROJ'!AA16</f>
        <v>0.46191609075223822</v>
      </c>
      <c r="HX15" s="268">
        <f>+'WICHE Public Grads-RE PROJ'!JN16/'WICHE Public Grads-RE PROJ'!AB16</f>
        <v>0.45444011854035443</v>
      </c>
      <c r="HY15" s="266">
        <f>+'WICHE Public Grads-RE PROJ'!JO16/'WICHE Public Grads-RE PROJ'!AC16</f>
        <v>0.44846550070318547</v>
      </c>
      <c r="HZ15" s="266">
        <f>+'WICHE Public Grads-RE PROJ'!JP16/'WICHE Public Grads-RE PROJ'!AD16</f>
        <v>0.44222130597261672</v>
      </c>
      <c r="IA15" s="266">
        <f>+'WICHE Public Grads-RE PROJ'!JQ16/'WICHE Public Grads-RE PROJ'!AE16</f>
        <v>0.43943651614289447</v>
      </c>
      <c r="IB15" s="266">
        <f>+'WICHE Public Grads-RE PROJ'!JR16/'WICHE Public Grads-RE PROJ'!AF16</f>
        <v>0.43566967876393586</v>
      </c>
      <c r="IC15" s="266">
        <f>+'WICHE Public Grads-RE PROJ'!JS16/'WICHE Public Grads-RE PROJ'!AG16</f>
        <v>0.43126630825144585</v>
      </c>
      <c r="ID15" s="268">
        <f>+'WICHE Public Grads-RE PROJ'!JT16/'WICHE Public Grads-RE PROJ'!AH16</f>
        <v>0.42004067727557104</v>
      </c>
      <c r="IE15" s="266">
        <f>+'WICHE Public Grads-RE PROJ'!JU16/'WICHE Public Grads-RE PROJ'!AI16</f>
        <v>0.40953730179450248</v>
      </c>
      <c r="IF15" s="266">
        <f>+'WICHE Public Grads-RE PROJ'!JV16/'WICHE Public Grads-RE PROJ'!AJ16</f>
        <v>0.40011672741438492</v>
      </c>
      <c r="IG15" s="266">
        <f>+'WICHE Public Grads-RE PROJ'!JW16/'WICHE Public Grads-RE PROJ'!AK16</f>
        <v>0.3930219303330898</v>
      </c>
      <c r="IH15" s="266">
        <f>+'WICHE Public Grads-RE PROJ'!JX16/'WICHE Public Grads-RE PROJ'!AL16</f>
        <v>0.38704682021492859</v>
      </c>
      <c r="II15" s="266">
        <f>+'WICHE Public Grads-RE PROJ'!JY16/'WICHE Public Grads-RE PROJ'!AM16</f>
        <v>0.38869988938172251</v>
      </c>
      <c r="IJ15" s="266">
        <f>+'WICHE Public Grads-RE PROJ'!JZ16/'WICHE Public Grads-RE PROJ'!AN16</f>
        <v>0.38885441872072063</v>
      </c>
      <c r="IK15" s="266">
        <f>+'WICHE Public Grads-RE PROJ'!KA16/'WICHE Public Grads-RE PROJ'!AO16</f>
        <v>0.38880742635507898</v>
      </c>
      <c r="IL15" s="266">
        <f>+'WICHE Public Grads-RE PROJ'!KB16/'WICHE Public Grads-RE PROJ'!AP16</f>
        <v>0.38634194949442208</v>
      </c>
      <c r="IM15" s="282">
        <f>+'WICHE Public Grads-RE PROJ'!KC16/'WICHE Public Grads-RE PROJ'!AQ16</f>
        <v>0.38310658622924676</v>
      </c>
      <c r="IN15" s="278">
        <f t="shared" si="5"/>
        <v>1</v>
      </c>
      <c r="IO15" s="278">
        <f t="shared" si="6"/>
        <v>1</v>
      </c>
      <c r="IP15" s="278">
        <f t="shared" si="7"/>
        <v>1</v>
      </c>
      <c r="IQ15" s="278">
        <f t="shared" si="8"/>
        <v>1</v>
      </c>
      <c r="IR15" s="278">
        <f t="shared" si="9"/>
        <v>1</v>
      </c>
      <c r="IS15" s="278">
        <f t="shared" si="10"/>
        <v>1</v>
      </c>
      <c r="IT15" s="278">
        <f t="shared" si="11"/>
        <v>1</v>
      </c>
      <c r="IU15" s="278">
        <f t="shared" si="12"/>
        <v>1</v>
      </c>
      <c r="IV15" s="278">
        <f t="shared" si="13"/>
        <v>1</v>
      </c>
      <c r="IW15" s="278">
        <f t="shared" si="14"/>
        <v>1</v>
      </c>
      <c r="IX15" s="278">
        <f t="shared" si="15"/>
        <v>1</v>
      </c>
      <c r="IY15" s="278">
        <f t="shared" si="16"/>
        <v>0.99994215640906992</v>
      </c>
      <c r="IZ15" s="278">
        <f t="shared" si="17"/>
        <v>1</v>
      </c>
      <c r="JA15" s="278">
        <f t="shared" si="18"/>
        <v>1</v>
      </c>
      <c r="JB15" s="278">
        <f t="shared" si="19"/>
        <v>1</v>
      </c>
      <c r="JC15" s="278">
        <f t="shared" si="20"/>
        <v>1</v>
      </c>
      <c r="JD15" s="278">
        <f t="shared" si="21"/>
        <v>1</v>
      </c>
      <c r="JE15" s="278">
        <f t="shared" si="22"/>
        <v>1</v>
      </c>
      <c r="JF15" s="278">
        <f t="shared" si="23"/>
        <v>1</v>
      </c>
      <c r="JG15" s="278">
        <f t="shared" si="24"/>
        <v>1</v>
      </c>
      <c r="JH15" s="278">
        <f t="shared" si="25"/>
        <v>1</v>
      </c>
      <c r="JI15" s="278">
        <f t="shared" si="26"/>
        <v>1</v>
      </c>
      <c r="JJ15" s="278">
        <f t="shared" si="27"/>
        <v>0.99991107184928463</v>
      </c>
      <c r="JK15" s="278">
        <f t="shared" si="28"/>
        <v>0.99987094831361434</v>
      </c>
      <c r="JL15" s="278">
        <f t="shared" si="29"/>
        <v>0.99936206313127895</v>
      </c>
      <c r="JM15" s="278">
        <f t="shared" si="30"/>
        <v>0.99898633922805735</v>
      </c>
      <c r="JN15" s="278">
        <f t="shared" si="31"/>
        <v>1.0013174578000341</v>
      </c>
      <c r="JO15" s="278">
        <f t="shared" si="32"/>
        <v>1.0025880651596077</v>
      </c>
      <c r="JP15" s="278">
        <f t="shared" si="33"/>
        <v>1.0056481136562754</v>
      </c>
      <c r="JQ15" s="278">
        <f t="shared" si="34"/>
        <v>1.0089367970387051</v>
      </c>
      <c r="JR15" s="278">
        <f t="shared" si="35"/>
        <v>1.0109313486208724</v>
      </c>
      <c r="JS15" s="278">
        <f t="shared" si="36"/>
        <v>1.0145943054408326</v>
      </c>
      <c r="JT15" s="278">
        <f t="shared" si="37"/>
        <v>1.0176731883382821</v>
      </c>
      <c r="JU15" s="278">
        <f t="shared" si="38"/>
        <v>1.0215516121188992</v>
      </c>
      <c r="JV15" s="278">
        <f t="shared" si="39"/>
        <v>1.031982488150063</v>
      </c>
      <c r="JW15" s="278">
        <f t="shared" si="40"/>
        <v>1.0360644835366153</v>
      </c>
      <c r="JX15" s="278">
        <f t="shared" si="41"/>
        <v>1.0335737815250696</v>
      </c>
      <c r="JY15" s="278">
        <f t="shared" si="42"/>
        <v>1.0316134780042618</v>
      </c>
      <c r="JZ15" s="278">
        <f t="shared" si="42"/>
        <v>1.032422734059649</v>
      </c>
      <c r="KA15" s="278">
        <f t="shared" si="42"/>
        <v>1.0359387892683709</v>
      </c>
      <c r="KB15" s="278">
        <f t="shared" si="42"/>
        <v>1.0382146917322057</v>
      </c>
    </row>
    <row r="16" spans="1:288" s="17" customFormat="1">
      <c r="A16" s="173" t="s">
        <v>41</v>
      </c>
      <c r="B16" s="262">
        <f>+'WICHE Public Grads-RE PROJ'!AR17/'WICHE Public Grads-RE PROJ'!B17</f>
        <v>9.3837290502793297E-3</v>
      </c>
      <c r="C16" s="262">
        <f>+'WICHE Public Grads-RE PROJ'!AS17/'WICHE Public Grads-RE PROJ'!C17</f>
        <v>7.9671144637030126E-3</v>
      </c>
      <c r="D16" s="262">
        <f>+'WICHE Public Grads-RE PROJ'!AT17/'WICHE Public Grads-RE PROJ'!D17</f>
        <v>9.3246075537875873E-3</v>
      </c>
      <c r="E16" s="262">
        <f>+'WICHE Public Grads-RE PROJ'!AU17/'WICHE Public Grads-RE PROJ'!E17</f>
        <v>1.0739606494105802E-2</v>
      </c>
      <c r="F16" s="262">
        <f>+'WICHE Public Grads-RE PROJ'!AV17/'WICHE Public Grads-RE PROJ'!F17</f>
        <v>5.8179923584577974E-3</v>
      </c>
      <c r="G16" s="262">
        <f>+'WICHE Public Grads-RE PROJ'!AW17/'WICHE Public Grads-RE PROJ'!G17</f>
        <v>7.0982639185837677E-3</v>
      </c>
      <c r="H16" s="267">
        <f>+'WICHE Public Grads-RE PROJ'!AX17/'WICHE Public Grads-RE PROJ'!H17</f>
        <v>6.8973961309280879E-3</v>
      </c>
      <c r="I16" s="267">
        <f>+'WICHE Public Grads-RE PROJ'!AY17/'WICHE Public Grads-RE PROJ'!I17</f>
        <v>8.3891230680221505E-3</v>
      </c>
      <c r="J16" s="267">
        <f>+'WICHE Public Grads-RE PROJ'!AZ17/'WICHE Public Grads-RE PROJ'!J17</f>
        <v>7.1805876526906572E-3</v>
      </c>
      <c r="K16" s="267">
        <f>+'WICHE Public Grads-RE PROJ'!BA17/'WICHE Public Grads-RE PROJ'!K17</f>
        <v>8.6744146875526364E-3</v>
      </c>
      <c r="L16" s="262">
        <f>+'WICHE Public Grads-RE PROJ'!BB17/'WICHE Public Grads-RE PROJ'!L17</f>
        <v>1.0572872788542544E-2</v>
      </c>
      <c r="M16" s="267">
        <f>+'WICHE Public Grads-RE PROJ'!BC17/'WICHE Public Grads-RE PROJ'!M17</f>
        <v>1.0373792524149517E-2</v>
      </c>
      <c r="N16" s="267">
        <f>+'WICHE Public Grads-RE PROJ'!BD17/'WICHE Public Grads-RE PROJ'!N17</f>
        <v>9.7745944807246677E-3</v>
      </c>
      <c r="O16" s="267">
        <f>+'WICHE Public Grads-RE PROJ'!BE17/'WICHE Public Grads-RE PROJ'!O17</f>
        <v>1.1563150958636229E-2</v>
      </c>
      <c r="P16" s="267">
        <f>+'WICHE Public Grads-RE PROJ'!BF17/'WICHE Public Grads-RE PROJ'!P17</f>
        <v>9.3508889634350886E-3</v>
      </c>
      <c r="Q16" s="267">
        <f>+'WICHE Public Grads-RE PROJ'!BG17/'WICHE Public Grads-RE PROJ'!Q17</f>
        <v>1.1659637806995783E-2</v>
      </c>
      <c r="R16" s="267">
        <f>+'WICHE Public Grads-RE PROJ'!BH17/'WICHE Public Grads-RE PROJ'!R17</f>
        <v>1.2905827787860456E-2</v>
      </c>
      <c r="S16" s="267">
        <f>+'WICHE Public Grads-RE PROJ'!BI17/'WICHE Public Grads-RE PROJ'!S17</f>
        <v>1.1344623546215057E-2</v>
      </c>
      <c r="T16" s="267">
        <f>+'WICHE Public Grads-RE PROJ'!BJ17/'WICHE Public Grads-RE PROJ'!T17</f>
        <v>1.1659969342056932E-2</v>
      </c>
      <c r="U16" s="267">
        <f>+'WICHE Public Grads-RE PROJ'!BK17/'WICHE Public Grads-RE PROJ'!U17</f>
        <v>1.2774056586508547E-2</v>
      </c>
      <c r="V16" s="267">
        <f>+'WICHE Public Grads-RE PROJ'!BL17/'WICHE Public Grads-RE PROJ'!V17</f>
        <v>1.1225615953982774E-2</v>
      </c>
      <c r="W16" s="267">
        <f>+'WICHE Public Grads-RE PROJ'!BM17/'WICHE Public Grads-RE PROJ'!W17</f>
        <v>1.3170541753631877E-2</v>
      </c>
      <c r="X16" s="268">
        <f>+'WICHE Public Grads-RE PROJ'!BN17/'WICHE Public Grads-RE PROJ'!Y17</f>
        <v>1.366475200795551E-2</v>
      </c>
      <c r="Y16" s="268">
        <f>+'WICHE Public Grads-RE PROJ'!BO17/'WICHE Public Grads-RE PROJ'!Z17</f>
        <v>1.4718392960082316E-2</v>
      </c>
      <c r="Z16" s="268">
        <f>+'WICHE Public Grads-RE PROJ'!BP17/'WICHE Public Grads-RE PROJ'!AA17</f>
        <v>1.3419391792591466E-2</v>
      </c>
      <c r="AA16" s="268">
        <f>+'WICHE Public Grads-RE PROJ'!BQ17/'WICHE Public Grads-RE PROJ'!AB17</f>
        <v>1.4343516074508877E-2</v>
      </c>
      <c r="AB16" s="266">
        <f>+'WICHE Public Grads-RE PROJ'!BR17/'WICHE Public Grads-RE PROJ'!AC17</f>
        <v>1.6016503518611093E-2</v>
      </c>
      <c r="AC16" s="266">
        <f>+'WICHE Public Grads-RE PROJ'!BS17/'WICHE Public Grads-RE PROJ'!AD17</f>
        <v>1.6118965672728653E-2</v>
      </c>
      <c r="AD16" s="266">
        <f>+'WICHE Public Grads-RE PROJ'!BT17/'WICHE Public Grads-RE PROJ'!AE17</f>
        <v>1.6950582729903695E-2</v>
      </c>
      <c r="AE16" s="266">
        <f>+'WICHE Public Grads-RE PROJ'!BU17/'WICHE Public Grads-RE PROJ'!AF17</f>
        <v>1.6210246631535443E-2</v>
      </c>
      <c r="AF16" s="266">
        <f>+'WICHE Public Grads-RE PROJ'!BV17/'WICHE Public Grads-RE PROJ'!AG17</f>
        <v>1.7447898437589676E-2</v>
      </c>
      <c r="AG16" s="268">
        <f>+'WICHE Public Grads-RE PROJ'!BW17/'WICHE Public Grads-RE PROJ'!AH17</f>
        <v>1.7905237329463145E-2</v>
      </c>
      <c r="AH16" s="266">
        <f>+'WICHE Public Grads-RE PROJ'!BX17/'WICHE Public Grads-RE PROJ'!AI17</f>
        <v>1.7423863477935547E-2</v>
      </c>
      <c r="AI16" s="266">
        <f>+'WICHE Public Grads-RE PROJ'!BY17/'WICHE Public Grads-RE PROJ'!AJ17</f>
        <v>1.702242538970395E-2</v>
      </c>
      <c r="AJ16" s="266">
        <f>+'WICHE Public Grads-RE PROJ'!BZ17/'WICHE Public Grads-RE PROJ'!AK17</f>
        <v>1.8679164151792788E-2</v>
      </c>
      <c r="AK16" s="266">
        <f>+'WICHE Public Grads-RE PROJ'!CA17/'WICHE Public Grads-RE PROJ'!AL17</f>
        <v>2.0610514927684231E-2</v>
      </c>
      <c r="AL16" s="266">
        <f>+'WICHE Public Grads-RE PROJ'!CB17/'WICHE Public Grads-RE PROJ'!AM17</f>
        <v>1.9809377702793615E-2</v>
      </c>
      <c r="AM16" s="266">
        <f>+'WICHE Public Grads-RE PROJ'!CC17/'WICHE Public Grads-RE PROJ'!AN17</f>
        <v>1.8970080259519389E-2</v>
      </c>
      <c r="AN16" s="266">
        <f>+'WICHE Public Grads-RE PROJ'!CD17/'WICHE Public Grads-RE PROJ'!AO17</f>
        <v>2.0664819141175728E-2</v>
      </c>
      <c r="AO16" s="266">
        <f>+'WICHE Public Grads-RE PROJ'!CE17/'WICHE Public Grads-RE PROJ'!AP17</f>
        <v>2.1504622842421817E-2</v>
      </c>
      <c r="AP16" s="282">
        <f>+'WICHE Public Grads-RE PROJ'!CF17/'WICHE Public Grads-RE PROJ'!AQ17</f>
        <v>2.2434773086397911E-2</v>
      </c>
      <c r="AQ16" s="262">
        <f>+'WICHE Public Grads-RE PROJ'!CG17/'WICHE Public Grads-RE PROJ'!B17</f>
        <v>2.8369413407821229E-3</v>
      </c>
      <c r="AR16" s="262">
        <f>+'WICHE Public Grads-RE PROJ'!CH17/'WICHE Public Grads-RE PROJ'!C17</f>
        <v>2.2036699580455141E-3</v>
      </c>
      <c r="AS16" s="262">
        <f>+'WICHE Public Grads-RE PROJ'!CI17/'WICHE Public Grads-RE PROJ'!D17</f>
        <v>2.4808588904572481E-3</v>
      </c>
      <c r="AT16" s="262">
        <f>+'WICHE Public Grads-RE PROJ'!CJ17/'WICHE Public Grads-RE PROJ'!E17</f>
        <v>3.1044175022024584E-3</v>
      </c>
      <c r="AU16" s="262">
        <f>+'WICHE Public Grads-RE PROJ'!CK17/'WICHE Public Grads-RE PROJ'!F17</f>
        <v>8.2493921500521015E-4</v>
      </c>
      <c r="AV16" s="262">
        <f>+'WICHE Public Grads-RE PROJ'!CL17/'WICHE Public Grads-RE PROJ'!G17</f>
        <v>9.834943983579919E-4</v>
      </c>
      <c r="AW16" s="267">
        <f>+'WICHE Public Grads-RE PROJ'!CM17/'WICHE Public Grads-RE PROJ'!H17</f>
        <v>1.1427638560117541E-3</v>
      </c>
      <c r="AX16" s="267">
        <f>+'WICHE Public Grads-RE PROJ'!CN17/'WICHE Public Grads-RE PROJ'!I17</f>
        <v>1.0331432349780973E-3</v>
      </c>
      <c r="AY16" s="267">
        <f>+'WICHE Public Grads-RE PROJ'!CO17/'WICHE Public Grads-RE PROJ'!J17</f>
        <v>9.0789039286893363E-4</v>
      </c>
      <c r="AZ16" s="267">
        <f>+'WICHE Public Grads-RE PROJ'!CP17/'WICHE Public Grads-RE PROJ'!K17</f>
        <v>6.7374094660603004E-4</v>
      </c>
      <c r="BA16" s="262">
        <f>+'WICHE Public Grads-RE PROJ'!CQ17/'WICHE Public Grads-RE PROJ'!L17</f>
        <v>1.3479359730412806E-3</v>
      </c>
      <c r="BB16" s="267">
        <f>+'WICHE Public Grads-RE PROJ'!CR17/'WICHE Public Grads-RE PROJ'!M17</f>
        <v>1.3019739605207895E-3</v>
      </c>
      <c r="BC16" s="267">
        <f>+'WICHE Public Grads-RE PROJ'!CS17/'WICHE Public Grads-RE PROJ'!N17</f>
        <v>8.4263745523488519E-4</v>
      </c>
      <c r="BD16" s="267">
        <f>+'WICHE Public Grads-RE PROJ'!CT17/'WICHE Public Grads-RE PROJ'!O17</f>
        <v>1.3603707010160268E-3</v>
      </c>
      <c r="BE16" s="267">
        <f>+'WICHE Public Grads-RE PROJ'!CU17/'WICHE Public Grads-RE PROJ'!P17</f>
        <v>1.2160348876216036E-3</v>
      </c>
      <c r="BF16" s="267">
        <f>+'WICHE Public Grads-RE PROJ'!CV17/'WICHE Public Grads-RE PROJ'!Q17</f>
        <v>1.6125031009675019E-3</v>
      </c>
      <c r="BG16" s="267">
        <f>+'WICHE Public Grads-RE PROJ'!CW17/'WICHE Public Grads-RE PROJ'!R17</f>
        <v>1.613228473482557E-3</v>
      </c>
      <c r="BH16" s="267">
        <f>+'WICHE Public Grads-RE PROJ'!CX17/'WICHE Public Grads-RE PROJ'!S17</f>
        <v>1.5098959396041625E-3</v>
      </c>
      <c r="BI16" s="267">
        <f>+'WICHE Public Grads-RE PROJ'!CY17/'WICHE Public Grads-RE PROJ'!T17</f>
        <v>1.5703548949740759E-3</v>
      </c>
      <c r="BJ16" s="267">
        <f>+'WICHE Public Grads-RE PROJ'!CZ17/'WICHE Public Grads-RE PROJ'!U17</f>
        <v>1.4274733721313276E-3</v>
      </c>
      <c r="BK16" s="267">
        <f>+'WICHE Public Grads-RE PROJ'!DA17/'WICHE Public Grads-RE PROJ'!V17</f>
        <v>1.1114644212177785E-3</v>
      </c>
      <c r="BL16" s="267">
        <f>+'WICHE Public Grads-RE PROJ'!DB17/'WICHE Public Grads-RE PROJ'!W17</f>
        <v>1.6647143788217039E-3</v>
      </c>
      <c r="BM16" s="268">
        <f>+'WICHE Public Grads-RE PROJ'!DC17/'WICHE Public Grads-RE PROJ'!Y17</f>
        <v>1.619936628910546E-3</v>
      </c>
      <c r="BN16" s="268">
        <f>+'WICHE Public Grads-RE PROJ'!DD17/'WICHE Public Grads-RE PROJ'!Z17</f>
        <v>1.9579788070302842E-3</v>
      </c>
      <c r="BO16" s="268">
        <f>+'WICHE Public Grads-RE PROJ'!DE17/'WICHE Public Grads-RE PROJ'!AA17</f>
        <v>1.8112424337459548E-3</v>
      </c>
      <c r="BP16" s="268">
        <f>+'WICHE Public Grads-RE PROJ'!DF17/'WICHE Public Grads-RE PROJ'!AB17</f>
        <v>1.4466718079676922E-3</v>
      </c>
      <c r="BQ16" s="266">
        <f>+'WICHE Public Grads-RE PROJ'!DG17/'WICHE Public Grads-RE PROJ'!AC17</f>
        <v>2.0220436671421994E-3</v>
      </c>
      <c r="BR16" s="266">
        <f>+'WICHE Public Grads-RE PROJ'!DH17/'WICHE Public Grads-RE PROJ'!AD17</f>
        <v>1.6618574485586226E-3</v>
      </c>
      <c r="BS16" s="266">
        <f>+'WICHE Public Grads-RE PROJ'!DI17/'WICHE Public Grads-RE PROJ'!AE17</f>
        <v>1.9141246609074593E-3</v>
      </c>
      <c r="BT16" s="266">
        <f>+'WICHE Public Grads-RE PROJ'!DJ17/'WICHE Public Grads-RE PROJ'!AF17</f>
        <v>2.236461705307244E-3</v>
      </c>
      <c r="BU16" s="266">
        <f>+'WICHE Public Grads-RE PROJ'!DK17/'WICHE Public Grads-RE PROJ'!AG17</f>
        <v>1.9945286506689829E-3</v>
      </c>
      <c r="BV16" s="268">
        <f>+'WICHE Public Grads-RE PROJ'!DL17/'WICHE Public Grads-RE PROJ'!AH17</f>
        <v>1.8164458807862578E-3</v>
      </c>
      <c r="BW16" s="266">
        <f>+'WICHE Public Grads-RE PROJ'!DM17/'WICHE Public Grads-RE PROJ'!AI17</f>
        <v>2.259575210586172E-3</v>
      </c>
      <c r="BX16" s="266">
        <f>+'WICHE Public Grads-RE PROJ'!DN17/'WICHE Public Grads-RE PROJ'!AJ17</f>
        <v>2.0499023962908978E-3</v>
      </c>
      <c r="BY16" s="266">
        <f>+'WICHE Public Grads-RE PROJ'!DO17/'WICHE Public Grads-RE PROJ'!AK17</f>
        <v>1.9755743762274757E-3</v>
      </c>
      <c r="BZ16" s="266">
        <f>+'WICHE Public Grads-RE PROJ'!DP17/'WICHE Public Grads-RE PROJ'!AL17</f>
        <v>2.3663095936904341E-3</v>
      </c>
      <c r="CA16" s="266">
        <f>+'WICHE Public Grads-RE PROJ'!DQ17/'WICHE Public Grads-RE PROJ'!AM17</f>
        <v>2.0239449323702367E-3</v>
      </c>
      <c r="CB16" s="266">
        <f>+'WICHE Public Grads-RE PROJ'!DR17/'WICHE Public Grads-RE PROJ'!AN17</f>
        <v>2.1715025082350674E-3</v>
      </c>
      <c r="CC16" s="266">
        <f>+'WICHE Public Grads-RE PROJ'!DS17/'WICHE Public Grads-RE PROJ'!AO17</f>
        <v>1.9455684097940955E-3</v>
      </c>
      <c r="CD16" s="266">
        <f>+'WICHE Public Grads-RE PROJ'!DT17/'WICHE Public Grads-RE PROJ'!AP17</f>
        <v>1.8370261221619371E-3</v>
      </c>
      <c r="CE16" s="282">
        <f>+'WICHE Public Grads-RE PROJ'!DU17/'WICHE Public Grads-RE PROJ'!AQ17</f>
        <v>1.6173100528491669E-3</v>
      </c>
      <c r="CF16" s="262">
        <f>+'WICHE Public Grads-RE PROJ'!DV17/'WICHE Public Grads-RE PROJ'!B17</f>
        <v>6.5467877094972067E-3</v>
      </c>
      <c r="CG16" s="262">
        <f>+'WICHE Public Grads-RE PROJ'!DW17/'WICHE Public Grads-RE PROJ'!C17</f>
        <v>5.7634445056574989E-3</v>
      </c>
      <c r="CH16" s="262">
        <f>+'WICHE Public Grads-RE PROJ'!DX17/'WICHE Public Grads-RE PROJ'!D17</f>
        <v>6.8437486633303388E-3</v>
      </c>
      <c r="CI16" s="262">
        <f>+'WICHE Public Grads-RE PROJ'!DY17/'WICHE Public Grads-RE PROJ'!E17</f>
        <v>7.6351889919033435E-3</v>
      </c>
      <c r="CJ16" s="262">
        <f>+'WICHE Public Grads-RE PROJ'!DZ17/'WICHE Public Grads-RE PROJ'!F17</f>
        <v>4.9930531434525874E-3</v>
      </c>
      <c r="CK16" s="262">
        <f>+'WICHE Public Grads-RE PROJ'!EA17/'WICHE Public Grads-RE PROJ'!G17</f>
        <v>6.1147695202257765E-3</v>
      </c>
      <c r="CL16" s="267">
        <f>+'WICHE Public Grads-RE PROJ'!EB17/'WICHE Public Grads-RE PROJ'!H17</f>
        <v>5.7546322749163336E-3</v>
      </c>
      <c r="CM16" s="267">
        <f>+'WICHE Public Grads-RE PROJ'!EC17/'WICHE Public Grads-RE PROJ'!I17</f>
        <v>7.3559798330440533E-3</v>
      </c>
      <c r="CN16" s="267">
        <f>+'WICHE Public Grads-RE PROJ'!ED17/'WICHE Public Grads-RE PROJ'!J17</f>
        <v>6.272697259821723E-3</v>
      </c>
      <c r="CO16" s="267">
        <f>+'WICHE Public Grads-RE PROJ'!EE17/'WICHE Public Grads-RE PROJ'!K17</f>
        <v>8.000673740946606E-3</v>
      </c>
      <c r="CP16" s="262">
        <f>+'WICHE Public Grads-RE PROJ'!EF17/'WICHE Public Grads-RE PROJ'!L17</f>
        <v>9.2249368155012633E-3</v>
      </c>
      <c r="CQ16" s="267">
        <f>+'WICHE Public Grads-RE PROJ'!EG17/'WICHE Public Grads-RE PROJ'!M17</f>
        <v>9.0718185636287276E-3</v>
      </c>
      <c r="CR16" s="267">
        <f>+'WICHE Public Grads-RE PROJ'!EH17/'WICHE Public Grads-RE PROJ'!N17</f>
        <v>8.9319570254897829E-3</v>
      </c>
      <c r="CS16" s="267">
        <f>+'WICHE Public Grads-RE PROJ'!EI17/'WICHE Public Grads-RE PROJ'!O17</f>
        <v>1.0202780257620201E-2</v>
      </c>
      <c r="CT16" s="267">
        <f>+'WICHE Public Grads-RE PROJ'!EJ17/'WICHE Public Grads-RE PROJ'!P17</f>
        <v>8.1348540758134861E-3</v>
      </c>
      <c r="CU16" s="267">
        <f>+'WICHE Public Grads-RE PROJ'!EK17/'WICHE Public Grads-RE PROJ'!Q17</f>
        <v>1.004713470602828E-2</v>
      </c>
      <c r="CV16" s="267">
        <f>+'WICHE Public Grads-RE PROJ'!EL17/'WICHE Public Grads-RE PROJ'!R17</f>
        <v>1.1292599314377899E-2</v>
      </c>
      <c r="CW16" s="267">
        <f>+'WICHE Public Grads-RE PROJ'!EM17/'WICHE Public Grads-RE PROJ'!S17</f>
        <v>9.8347276066108949E-3</v>
      </c>
      <c r="CX16" s="267">
        <f>+'WICHE Public Grads-RE PROJ'!EN17/'WICHE Public Grads-RE PROJ'!T17</f>
        <v>1.0089614447082855E-2</v>
      </c>
      <c r="CY16" s="267">
        <f>+'WICHE Public Grads-RE PROJ'!EO17/'WICHE Public Grads-RE PROJ'!U17</f>
        <v>1.1346583214377219E-2</v>
      </c>
      <c r="CZ16" s="267">
        <f>+'WICHE Public Grads-RE PROJ'!EP17/'WICHE Public Grads-RE PROJ'!V17</f>
        <v>1.0114151532764997E-2</v>
      </c>
      <c r="DA16" s="267">
        <f>+'WICHE Public Grads-RE PROJ'!EQ17/'WICHE Public Grads-RE PROJ'!W17</f>
        <v>1.1505827374810172E-2</v>
      </c>
      <c r="DB16" s="268">
        <f>+'WICHE Public Grads-RE PROJ'!ER17/'WICHE Public Grads-RE PROJ'!Y17</f>
        <v>1.2044815379044962E-2</v>
      </c>
      <c r="DC16" s="268">
        <f>+'WICHE Public Grads-RE PROJ'!ES17/'WICHE Public Grads-RE PROJ'!Z17</f>
        <v>1.2760414153052034E-2</v>
      </c>
      <c r="DD16" s="268">
        <f>+'WICHE Public Grads-RE PROJ'!ET17/'WICHE Public Grads-RE PROJ'!AA17</f>
        <v>1.1608149358845512E-2</v>
      </c>
      <c r="DE16" s="268">
        <f>+'WICHE Public Grads-RE PROJ'!EU17/'WICHE Public Grads-RE PROJ'!AB17</f>
        <v>1.2896844266541183E-2</v>
      </c>
      <c r="DF16" s="266">
        <f>+'WICHE Public Grads-RE PROJ'!EV17/'WICHE Public Grads-RE PROJ'!AC17</f>
        <v>1.3994459851468894E-2</v>
      </c>
      <c r="DG16" s="266">
        <f>+'WICHE Public Grads-RE PROJ'!EW17/'WICHE Public Grads-RE PROJ'!AD17</f>
        <v>1.445710822417003E-2</v>
      </c>
      <c r="DH16" s="266">
        <f>+'WICHE Public Grads-RE PROJ'!EX17/'WICHE Public Grads-RE PROJ'!AE17</f>
        <v>1.5036458068996237E-2</v>
      </c>
      <c r="DI16" s="266">
        <f>+'WICHE Public Grads-RE PROJ'!EY17/'WICHE Public Grads-RE PROJ'!AF17</f>
        <v>1.3973784926228198E-2</v>
      </c>
      <c r="DJ16" s="266">
        <f>+'WICHE Public Grads-RE PROJ'!EZ17/'WICHE Public Grads-RE PROJ'!AG17</f>
        <v>1.5453369786920692E-2</v>
      </c>
      <c r="DK16" s="268">
        <f>+'WICHE Public Grads-RE PROJ'!FA17/'WICHE Public Grads-RE PROJ'!AH17</f>
        <v>1.6088791448676885E-2</v>
      </c>
      <c r="DL16" s="266">
        <f>+'WICHE Public Grads-RE PROJ'!FB17/'WICHE Public Grads-RE PROJ'!AI17</f>
        <v>1.5164288267349375E-2</v>
      </c>
      <c r="DM16" s="266">
        <f>+'WICHE Public Grads-RE PROJ'!FC17/'WICHE Public Grads-RE PROJ'!AJ17</f>
        <v>1.4972522993413053E-2</v>
      </c>
      <c r="DN16" s="266">
        <f>+'WICHE Public Grads-RE PROJ'!FD17/'WICHE Public Grads-RE PROJ'!AK17</f>
        <v>1.6703589775565311E-2</v>
      </c>
      <c r="DO16" s="266">
        <f>+'WICHE Public Grads-RE PROJ'!FE17/'WICHE Public Grads-RE PROJ'!AL17</f>
        <v>1.8244205333993797E-2</v>
      </c>
      <c r="DP16" s="266">
        <f>+'WICHE Public Grads-RE PROJ'!FF17/'WICHE Public Grads-RE PROJ'!AM17</f>
        <v>1.7785432770423375E-2</v>
      </c>
      <c r="DQ16" s="266">
        <f>+'WICHE Public Grads-RE PROJ'!FG17/'WICHE Public Grads-RE PROJ'!AN17</f>
        <v>1.6798577751284322E-2</v>
      </c>
      <c r="DR16" s="266">
        <f>+'WICHE Public Grads-RE PROJ'!FH17/'WICHE Public Grads-RE PROJ'!AO17</f>
        <v>1.8719250731381632E-2</v>
      </c>
      <c r="DS16" s="266">
        <f>+'WICHE Public Grads-RE PROJ'!FI17/'WICHE Public Grads-RE PROJ'!AP17</f>
        <v>1.9667596720259879E-2</v>
      </c>
      <c r="DT16" s="282">
        <f>+'WICHE Public Grads-RE PROJ'!FJ17/'WICHE Public Grads-RE PROJ'!AQ17</f>
        <v>2.0817463033548745E-2</v>
      </c>
      <c r="DU16" s="262">
        <f>+'WICHE Public Grads-RE PROJ'!FK17/'WICHE Public Grads-RE PROJ'!B17</f>
        <v>0.45805691340782123</v>
      </c>
      <c r="DV16" s="262">
        <f>+'WICHE Public Grads-RE PROJ'!FL17/'WICHE Public Grads-RE PROJ'!C17</f>
        <v>0.45836335127346695</v>
      </c>
      <c r="DW16" s="262">
        <f>+'WICHE Public Grads-RE PROJ'!FM17/'WICHE Public Grads-RE PROJ'!D17</f>
        <v>0.46007100389238204</v>
      </c>
      <c r="DX16" s="262">
        <f>+'WICHE Public Grads-RE PROJ'!FN17/'WICHE Public Grads-RE PROJ'!E17</f>
        <v>0.46285186894323949</v>
      </c>
      <c r="DY16" s="262">
        <f>+'WICHE Public Grads-RE PROJ'!FO17/'WICHE Public Grads-RE PROJ'!F17</f>
        <v>0.47781347690170201</v>
      </c>
      <c r="DZ16" s="262">
        <f>+'WICHE Public Grads-RE PROJ'!FP17/'WICHE Public Grads-RE PROJ'!G17</f>
        <v>0.47143590182160267</v>
      </c>
      <c r="EA16" s="267">
        <f>+'WICHE Public Grads-RE PROJ'!FQ17/'WICHE Public Grads-RE PROJ'!H17</f>
        <v>0.47281854542486329</v>
      </c>
      <c r="EB16" s="267">
        <f>+'WICHE Public Grads-RE PROJ'!FR17/'WICHE Public Grads-RE PROJ'!I17</f>
        <v>0.47417141912554756</v>
      </c>
      <c r="EC16" s="267">
        <f>+'WICHE Public Grads-RE PROJ'!FS17/'WICHE Public Grads-RE PROJ'!J17</f>
        <v>0.4672334103664576</v>
      </c>
      <c r="ED16" s="267">
        <f>+'WICHE Public Grads-RE PROJ'!FT17/'WICHE Public Grads-RE PROJ'!K17</f>
        <v>0.46985009263938016</v>
      </c>
      <c r="EE16" s="262">
        <f>+'WICHE Public Grads-RE PROJ'!FU17/'WICHE Public Grads-RE PROJ'!L17</f>
        <v>0.47156697556866051</v>
      </c>
      <c r="EF16" s="267">
        <f>+'WICHE Public Grads-RE PROJ'!FV17/'WICHE Public Grads-RE PROJ'!M17</f>
        <v>0.46295674086518268</v>
      </c>
      <c r="EG16" s="267">
        <f>+'WICHE Public Grads-RE PROJ'!FW17/'WICHE Public Grads-RE PROJ'!N17</f>
        <v>0.46345060037918684</v>
      </c>
      <c r="EH16" s="267">
        <f>+'WICHE Public Grads-RE PROJ'!FX17/'WICHE Public Grads-RE PROJ'!O17</f>
        <v>0.46499171024104069</v>
      </c>
      <c r="EI16" s="267">
        <f>+'WICHE Public Grads-RE PROJ'!FY17/'WICHE Public Grads-RE PROJ'!P17</f>
        <v>0.46800570278430059</v>
      </c>
      <c r="EJ16" s="267">
        <f>+'WICHE Public Grads-RE PROJ'!FZ17/'WICHE Public Grads-RE PROJ'!Q17</f>
        <v>0.47287687091705943</v>
      </c>
      <c r="EK16" s="267">
        <f>+'WICHE Public Grads-RE PROJ'!GA17/'WICHE Public Grads-RE PROJ'!R17</f>
        <v>0.47025610002016538</v>
      </c>
      <c r="EL16" s="267">
        <f>+'WICHE Public Grads-RE PROJ'!GB17/'WICHE Public Grads-RE PROJ'!S17</f>
        <v>0.48304427667822891</v>
      </c>
      <c r="EM16" s="267">
        <f>+'WICHE Public Grads-RE PROJ'!GC17/'WICHE Public Grads-RE PROJ'!T17</f>
        <v>0.47758446201972954</v>
      </c>
      <c r="EN16" s="267">
        <f>+'WICHE Public Grads-RE PROJ'!GD17/'WICHE Public Grads-RE PROJ'!U17</f>
        <v>0.49635811280699826</v>
      </c>
      <c r="EO16" s="267">
        <f>+'WICHE Public Grads-RE PROJ'!GE17/'WICHE Public Grads-RE PROJ'!V17</f>
        <v>0.4923658468088965</v>
      </c>
      <c r="EP16" s="267">
        <f>+'WICHE Public Grads-RE PROJ'!GF17/'WICHE Public Grads-RE PROJ'!W17</f>
        <v>0.482279971695868</v>
      </c>
      <c r="EQ16" s="268">
        <f>+'WICHE Public Grads-RE PROJ'!GG17/'WICHE Public Grads-RE PROJ'!Y17</f>
        <v>0.47524671674299035</v>
      </c>
      <c r="ER16" s="268">
        <f>+'WICHE Public Grads-RE PROJ'!GH17/'WICHE Public Grads-RE PROJ'!Z17</f>
        <v>0.47787923437741248</v>
      </c>
      <c r="ES16" s="268">
        <f>+'WICHE Public Grads-RE PROJ'!GI17/'WICHE Public Grads-RE PROJ'!AA17</f>
        <v>0.47464605602047411</v>
      </c>
      <c r="ET16" s="268">
        <f>+'WICHE Public Grads-RE PROJ'!GJ17/'WICHE Public Grads-RE PROJ'!AB17</f>
        <v>0.46663827978281747</v>
      </c>
      <c r="EU16" s="266">
        <f>+'WICHE Public Grads-RE PROJ'!GK17/'WICHE Public Grads-RE PROJ'!AC17</f>
        <v>0.47336352981485885</v>
      </c>
      <c r="EV16" s="266">
        <f>+'WICHE Public Grads-RE PROJ'!GL17/'WICHE Public Grads-RE PROJ'!AD17</f>
        <v>0.46977853643436424</v>
      </c>
      <c r="EW16" s="266">
        <f>+'WICHE Public Grads-RE PROJ'!GM17/'WICHE Public Grads-RE PROJ'!AE17</f>
        <v>0.468353862392488</v>
      </c>
      <c r="EX16" s="266">
        <f>+'WICHE Public Grads-RE PROJ'!GN17/'WICHE Public Grads-RE PROJ'!AF17</f>
        <v>0.4598755421882017</v>
      </c>
      <c r="EY16" s="266">
        <f>+'WICHE Public Grads-RE PROJ'!GO17/'WICHE Public Grads-RE PROJ'!AG17</f>
        <v>0.45629520541480079</v>
      </c>
      <c r="EZ16" s="268">
        <f>+'WICHE Public Grads-RE PROJ'!GP17/'WICHE Public Grads-RE PROJ'!AH17</f>
        <v>0.46203474352721818</v>
      </c>
      <c r="FA16" s="266">
        <f>+'WICHE Public Grads-RE PROJ'!GQ17/'WICHE Public Grads-RE PROJ'!AI17</f>
        <v>0.47285976330522794</v>
      </c>
      <c r="FB16" s="266">
        <f>+'WICHE Public Grads-RE PROJ'!GR17/'WICHE Public Grads-RE PROJ'!AJ17</f>
        <v>0.48193149697817822</v>
      </c>
      <c r="FC16" s="266">
        <f>+'WICHE Public Grads-RE PROJ'!GS17/'WICHE Public Grads-RE PROJ'!AK17</f>
        <v>0.46687296026086894</v>
      </c>
      <c r="FD16" s="266">
        <f>+'WICHE Public Grads-RE PROJ'!GT17/'WICHE Public Grads-RE PROJ'!AL17</f>
        <v>0.46976538933376155</v>
      </c>
      <c r="FE16" s="266">
        <f>+'WICHE Public Grads-RE PROJ'!GU17/'WICHE Public Grads-RE PROJ'!AM17</f>
        <v>0.46138188234995725</v>
      </c>
      <c r="FF16" s="266">
        <f>+'WICHE Public Grads-RE PROJ'!GV17/'WICHE Public Grads-RE PROJ'!AN17</f>
        <v>0.45784636161741304</v>
      </c>
      <c r="FG16" s="266">
        <f>+'WICHE Public Grads-RE PROJ'!GW17/'WICHE Public Grads-RE PROJ'!AO17</f>
        <v>0.45188859550019872</v>
      </c>
      <c r="FH16" s="266">
        <f>+'WICHE Public Grads-RE PROJ'!GX17/'WICHE Public Grads-RE PROJ'!AP17</f>
        <v>0.4559267405051437</v>
      </c>
      <c r="FI16" s="282">
        <f>+'WICHE Public Grads-RE PROJ'!GY17/'WICHE Public Grads-RE PROJ'!AQ17</f>
        <v>0.45306645669118573</v>
      </c>
      <c r="FJ16" s="262">
        <f>+'WICHE Public Grads-RE PROJ'!GZ17/'WICHE Public Grads-RE PROJ'!B17</f>
        <v>2.1822625698324021E-3</v>
      </c>
      <c r="FK16" s="262">
        <f>+'WICHE Public Grads-RE PROJ'!HA17/'WICHE Public Grads-RE PROJ'!C17</f>
        <v>1.9917786159257531E-3</v>
      </c>
      <c r="FL16" s="262">
        <f>+'WICHE Public Grads-RE PROJ'!HB17/'WICHE Public Grads-RE PROJ'!D17</f>
        <v>1.7109371658325847E-3</v>
      </c>
      <c r="FM16" s="262">
        <f>+'WICHE Public Grads-RE PROJ'!HC17/'WICHE Public Grads-RE PROJ'!E17</f>
        <v>1.4683055753660277E-3</v>
      </c>
      <c r="FN16" s="262">
        <f>+'WICHE Public Grads-RE PROJ'!HD17/'WICHE Public Grads-RE PROJ'!F17</f>
        <v>1.7367141368530739E-3</v>
      </c>
      <c r="FO16" s="262">
        <f>+'WICHE Public Grads-RE PROJ'!HE17/'WICHE Public Grads-RE PROJ'!G17</f>
        <v>1.7104250406225947E-3</v>
      </c>
      <c r="FP16" s="267">
        <f>+'WICHE Public Grads-RE PROJ'!HF17/'WICHE Public Grads-RE PROJ'!H17</f>
        <v>2.0814627377356951E-3</v>
      </c>
      <c r="FQ16" s="267">
        <f>+'WICHE Public Grads-RE PROJ'!HG17/'WICHE Public Grads-RE PROJ'!I17</f>
        <v>2.3555665757500621E-3</v>
      </c>
      <c r="FR16" s="267">
        <f>+'WICHE Public Grads-RE PROJ'!HH17/'WICHE Public Grads-RE PROJ'!J17</f>
        <v>2.2697259821723341E-3</v>
      </c>
      <c r="FS16" s="267">
        <f>+'WICHE Public Grads-RE PROJ'!HI17/'WICHE Public Grads-RE PROJ'!K17</f>
        <v>3.6634663971702882E-3</v>
      </c>
      <c r="FT16" s="262">
        <f>+'WICHE Public Grads-RE PROJ'!HJ17/'WICHE Public Grads-RE PROJ'!L17</f>
        <v>5.054759898904802E-3</v>
      </c>
      <c r="FU16" s="267">
        <f>+'WICHE Public Grads-RE PROJ'!HK17/'WICHE Public Grads-RE PROJ'!M17</f>
        <v>5.501889962200756E-3</v>
      </c>
      <c r="FV16" s="267">
        <f>+'WICHE Public Grads-RE PROJ'!HL17/'WICHE Public Grads-RE PROJ'!N17</f>
        <v>5.1400884769327998E-3</v>
      </c>
      <c r="FW16" s="267">
        <f>+'WICHE Public Grads-RE PROJ'!HM17/'WICHE Public Grads-RE PROJ'!O17</f>
        <v>6.929388258300387E-3</v>
      </c>
      <c r="FX16" s="267">
        <f>+'WICHE Public Grads-RE PROJ'!HN17/'WICHE Public Grads-RE PROJ'!P17</f>
        <v>7.7993961757799393E-3</v>
      </c>
      <c r="FY16" s="267">
        <f>+'WICHE Public Grads-RE PROJ'!HO17/'WICHE Public Grads-RE PROJ'!Q17</f>
        <v>9.3855949722980239E-3</v>
      </c>
      <c r="FZ16" s="267">
        <f>+'WICHE Public Grads-RE PROJ'!HP17/'WICHE Public Grads-RE PROJ'!R17</f>
        <v>1.0929622907844324E-2</v>
      </c>
      <c r="GA16" s="267">
        <f>+'WICHE Public Grads-RE PROJ'!HQ17/'WICHE Public Grads-RE PROJ'!S17</f>
        <v>1.2772903489083861E-2</v>
      </c>
      <c r="GB16" s="267">
        <f>+'WICHE Public Grads-RE PROJ'!HR17/'WICHE Public Grads-RE PROJ'!T17</f>
        <v>1.2756103304811995E-2</v>
      </c>
      <c r="GC16" s="267">
        <f>+'WICHE Public Grads-RE PROJ'!HS17/'WICHE Public Grads-RE PROJ'!U17</f>
        <v>1.4604150653343582E-2</v>
      </c>
      <c r="GD16" s="267">
        <f>+'WICHE Public Grads-RE PROJ'!HT17/'WICHE Public Grads-RE PROJ'!V17</f>
        <v>1.7929505313861917E-2</v>
      </c>
      <c r="GE16" s="267">
        <f>+'WICHE Public Grads-RE PROJ'!HU17/'WICHE Public Grads-RE PROJ'!W17</f>
        <v>1.6904384574749076E-2</v>
      </c>
      <c r="GF16" s="268">
        <f>+'WICHE Public Grads-RE PROJ'!HV17/'WICHE Public Grads-RE PROJ'!Y17</f>
        <v>2.2271743339980436E-2</v>
      </c>
      <c r="GG16" s="268">
        <f>+'WICHE Public Grads-RE PROJ'!HW17/'WICHE Public Grads-RE PROJ'!Z17</f>
        <v>2.1520290826366334E-2</v>
      </c>
      <c r="GH16" s="268">
        <f>+'WICHE Public Grads-RE PROJ'!HX17/'WICHE Public Grads-RE PROJ'!AA17</f>
        <v>2.2039764701191591E-2</v>
      </c>
      <c r="GI16" s="268">
        <f>+'WICHE Public Grads-RE PROJ'!HY17/'WICHE Public Grads-RE PROJ'!AB17</f>
        <v>2.4842132273689897E-2</v>
      </c>
      <c r="GJ16" s="266">
        <f>+'WICHE Public Grads-RE PROJ'!HZ17/'WICHE Public Grads-RE PROJ'!AC17</f>
        <v>2.4295389713377979E-2</v>
      </c>
      <c r="GK16" s="266">
        <f>+'WICHE Public Grads-RE PROJ'!IA17/'WICHE Public Grads-RE PROJ'!AD17</f>
        <v>2.8614147108661697E-2</v>
      </c>
      <c r="GL16" s="266">
        <f>+'WICHE Public Grads-RE PROJ'!IB17/'WICHE Public Grads-RE PROJ'!AE17</f>
        <v>2.8161372247084662E-2</v>
      </c>
      <c r="GM16" s="266">
        <f>+'WICHE Public Grads-RE PROJ'!IC17/'WICHE Public Grads-RE PROJ'!AF17</f>
        <v>3.2904382580170824E-2</v>
      </c>
      <c r="GN16" s="266">
        <f>+'WICHE Public Grads-RE PROJ'!ID17/'WICHE Public Grads-RE PROJ'!AG17</f>
        <v>3.3532725570676783E-2</v>
      </c>
      <c r="GO16" s="268">
        <f>+'WICHE Public Grads-RE PROJ'!IE17/'WICHE Public Grads-RE PROJ'!AH17</f>
        <v>3.4925607084012995E-2</v>
      </c>
      <c r="GP16" s="266">
        <f>+'WICHE Public Grads-RE PROJ'!IF17/'WICHE Public Grads-RE PROJ'!AI17</f>
        <v>3.6325068459105235E-2</v>
      </c>
      <c r="GQ16" s="266">
        <f>+'WICHE Public Grads-RE PROJ'!IG17/'WICHE Public Grads-RE PROJ'!AJ17</f>
        <v>3.7789164811393793E-2</v>
      </c>
      <c r="GR16" s="266">
        <f>+'WICHE Public Grads-RE PROJ'!IH17/'WICHE Public Grads-RE PROJ'!AK17</f>
        <v>5.2293435591316939E-2</v>
      </c>
      <c r="GS16" s="266">
        <f>+'WICHE Public Grads-RE PROJ'!II17/'WICHE Public Grads-RE PROJ'!AL17</f>
        <v>4.3716638710926764E-2</v>
      </c>
      <c r="GT16" s="266">
        <f>+'WICHE Public Grads-RE PROJ'!IJ17/'WICHE Public Grads-RE PROJ'!AM17</f>
        <v>4.2855005777258516E-2</v>
      </c>
      <c r="GU16" s="266">
        <f>+'WICHE Public Grads-RE PROJ'!IK17/'WICHE Public Grads-RE PROJ'!AN17</f>
        <v>3.9233216257263767E-2</v>
      </c>
      <c r="GV16" s="266">
        <f>+'WICHE Public Grads-RE PROJ'!IL17/'WICHE Public Grads-RE PROJ'!AO17</f>
        <v>3.8981884330405593E-2</v>
      </c>
      <c r="GW16" s="266">
        <f>+'WICHE Public Grads-RE PROJ'!IM17/'WICHE Public Grads-RE PROJ'!AP17</f>
        <v>4.7400207073277793E-2</v>
      </c>
      <c r="GX16" s="282">
        <f>+'WICHE Public Grads-RE PROJ'!IN17/'WICHE Public Grads-RE PROJ'!AQ17</f>
        <v>4.8451989821711672E-2</v>
      </c>
      <c r="GY16" s="262">
        <f>+'WICHE Public Grads-RE PROJ'!IO17/'WICHE Public Grads-RE PROJ'!B17</f>
        <v>0.53037709497206709</v>
      </c>
      <c r="GZ16" s="262">
        <f>+'WICHE Public Grads-RE PROJ'!IP17/'WICHE Public Grads-RE PROJ'!C17</f>
        <v>0.53167775564690423</v>
      </c>
      <c r="HA16" s="262">
        <f>+'WICHE Public Grads-RE PROJ'!IQ17/'WICHE Public Grads-RE PROJ'!D17</f>
        <v>0.52889345138799781</v>
      </c>
      <c r="HB16" s="262">
        <f>+'WICHE Public Grads-RE PROJ'!IR17/'WICHE Public Grads-RE PROJ'!E17</f>
        <v>0.52494021898728871</v>
      </c>
      <c r="HC16" s="262">
        <f>+'WICHE Public Grads-RE PROJ'!IS17/'WICHE Public Grads-RE PROJ'!F17</f>
        <v>0.51463181660298718</v>
      </c>
      <c r="HD16" s="262">
        <f>+'WICHE Public Grads-RE PROJ'!IT17/'WICHE Public Grads-RE PROJ'!G17</f>
        <v>0.51975540921919094</v>
      </c>
      <c r="HE16" s="267">
        <f>+'WICHE Public Grads-RE PROJ'!IU17/'WICHE Public Grads-RE PROJ'!H17</f>
        <v>0.51820259570647298</v>
      </c>
      <c r="HF16" s="267">
        <f>+'WICHE Public Grads-RE PROJ'!IV17/'WICHE Public Grads-RE PROJ'!I17</f>
        <v>0.51508389123068021</v>
      </c>
      <c r="HG16" s="267">
        <f>+'WICHE Public Grads-RE PROJ'!IW17/'WICHE Public Grads-RE PROJ'!J17</f>
        <v>0.52331627599867947</v>
      </c>
      <c r="HH16" s="267">
        <f>+'WICHE Public Grads-RE PROJ'!IX17/'WICHE Public Grads-RE PROJ'!K17</f>
        <v>0.51781202627589695</v>
      </c>
      <c r="HI16" s="262">
        <f>+'WICHE Public Grads-RE PROJ'!IY17/'WICHE Public Grads-RE PROJ'!L17</f>
        <v>0.51280539174389217</v>
      </c>
      <c r="HJ16" s="267">
        <f>+'WICHE Public Grads-RE PROJ'!IZ17/'WICHE Public Grads-RE PROJ'!M17</f>
        <v>0.52116757664846702</v>
      </c>
      <c r="HK16" s="267">
        <f>+'WICHE Public Grads-RE PROJ'!JA17/'WICHE Public Grads-RE PROJ'!N17</f>
        <v>0.52083421108068251</v>
      </c>
      <c r="HL16" s="267">
        <f>+'WICHE Public Grads-RE PROJ'!JB17/'WICHE Public Grads-RE PROJ'!O17</f>
        <v>0.5165157505420227</v>
      </c>
      <c r="HM16" s="267">
        <f>+'WICHE Public Grads-RE PROJ'!JC17/'WICHE Public Grads-RE PROJ'!P17</f>
        <v>0.51484401207648445</v>
      </c>
      <c r="HN16" s="267">
        <f>+'WICHE Public Grads-RE PROJ'!JD17/'WICHE Public Grads-RE PROJ'!Q17</f>
        <v>0.50607789630364675</v>
      </c>
      <c r="HO16" s="267">
        <f>+'WICHE Public Grads-RE PROJ'!JE17/'WICHE Public Grads-RE PROJ'!R17</f>
        <v>0.50590844928412981</v>
      </c>
      <c r="HP16" s="267">
        <f>+'WICHE Public Grads-RE PROJ'!JF17/'WICHE Public Grads-RE PROJ'!S17</f>
        <v>0.49291981228320753</v>
      </c>
      <c r="HQ16" s="267">
        <f>+'WICHE Public Grads-RE PROJ'!JG17/'WICHE Public Grads-RE PROJ'!T17</f>
        <v>0.4979994653334015</v>
      </c>
      <c r="HR16" s="267">
        <f>+'WICHE Public Grads-RE PROJ'!JH17/'WICHE Public Grads-RE PROJ'!U17</f>
        <v>0.47615387430913947</v>
      </c>
      <c r="HS16" s="267">
        <f>+'WICHE Public Grads-RE PROJ'!JI17/'WICHE Public Grads-RE PROJ'!V17</f>
        <v>0.47824965658875312</v>
      </c>
      <c r="HT16" s="267">
        <f>+'WICHE Public Grads-RE PROJ'!JJ17/'WICHE Public Grads-RE PROJ'!W17</f>
        <v>0.48764510197575112</v>
      </c>
      <c r="HU16" s="268">
        <f>+'WICHE Public Grads-RE PROJ'!JK17/'WICHE Public Grads-RE PROJ'!Y17</f>
        <v>0.4899393512254912</v>
      </c>
      <c r="HV16" s="268">
        <f>+'WICHE Public Grads-RE PROJ'!JL17/'WICHE Public Grads-RE PROJ'!Z17</f>
        <v>0.48647114632491156</v>
      </c>
      <c r="HW16" s="268">
        <f>+'WICHE Public Grads-RE PROJ'!JM17/'WICHE Public Grads-RE PROJ'!AA17</f>
        <v>0.49102694927448115</v>
      </c>
      <c r="HX16" s="268">
        <f>+'WICHE Public Grads-RE PROJ'!JN17/'WICHE Public Grads-RE PROJ'!AB17</f>
        <v>0.49683339444340213</v>
      </c>
      <c r="HY16" s="266">
        <f>+'WICHE Public Grads-RE PROJ'!JO17/'WICHE Public Grads-RE PROJ'!AC17</f>
        <v>0.48801823684098894</v>
      </c>
      <c r="HZ16" s="266">
        <f>+'WICHE Public Grads-RE PROJ'!JP17/'WICHE Public Grads-RE PROJ'!AD17</f>
        <v>0.48777779575796137</v>
      </c>
      <c r="IA16" s="266">
        <f>+'WICHE Public Grads-RE PROJ'!JQ17/'WICHE Public Grads-RE PROJ'!AE17</f>
        <v>0.48900429949728019</v>
      </c>
      <c r="IB16" s="266">
        <f>+'WICHE Public Grads-RE PROJ'!JR17/'WICHE Public Grads-RE PROJ'!AF17</f>
        <v>0.49419155937347425</v>
      </c>
      <c r="IC16" s="266">
        <f>+'WICHE Public Grads-RE PROJ'!JS17/'WICHE Public Grads-RE PROJ'!AG17</f>
        <v>0.49677937907537634</v>
      </c>
      <c r="ID16" s="268">
        <f>+'WICHE Public Grads-RE PROJ'!JT17/'WICHE Public Grads-RE PROJ'!AH17</f>
        <v>0.48868107561119412</v>
      </c>
      <c r="IE16" s="266">
        <f>+'WICHE Public Grads-RE PROJ'!JU17/'WICHE Public Grads-RE PROJ'!AI17</f>
        <v>0.47542628620223354</v>
      </c>
      <c r="IF16" s="266">
        <f>+'WICHE Public Grads-RE PROJ'!JV17/'WICHE Public Grads-RE PROJ'!AJ17</f>
        <v>0.4640982401388356</v>
      </c>
      <c r="IG16" s="266">
        <f>+'WICHE Public Grads-RE PROJ'!JW17/'WICHE Public Grads-RE PROJ'!AK17</f>
        <v>0.47299817278154349</v>
      </c>
      <c r="IH16" s="266">
        <f>+'WICHE Public Grads-RE PROJ'!JX17/'WICHE Public Grads-RE PROJ'!AL17</f>
        <v>0.47264265407989975</v>
      </c>
      <c r="II16" s="266">
        <f>+'WICHE Public Grads-RE PROJ'!JY17/'WICHE Public Grads-RE PROJ'!AM17</f>
        <v>0.48135595807200027</v>
      </c>
      <c r="IJ16" s="266">
        <f>+'WICHE Public Grads-RE PROJ'!JZ17/'WICHE Public Grads-RE PROJ'!AN17</f>
        <v>0.48658139349291168</v>
      </c>
      <c r="IK16" s="266">
        <f>+'WICHE Public Grads-RE PROJ'!KA17/'WICHE Public Grads-RE PROJ'!AO17</f>
        <v>0.49226793956968051</v>
      </c>
      <c r="IL16" s="266">
        <f>+'WICHE Public Grads-RE PROJ'!KB17/'WICHE Public Grads-RE PROJ'!AP17</f>
        <v>0.48209042392240437</v>
      </c>
      <c r="IM16" s="282">
        <f>+'WICHE Public Grads-RE PROJ'!KC17/'WICHE Public Grads-RE PROJ'!AQ17</f>
        <v>0.48382861404736882</v>
      </c>
      <c r="IN16" s="278">
        <f t="shared" si="5"/>
        <v>1</v>
      </c>
      <c r="IO16" s="278">
        <f t="shared" si="6"/>
        <v>1</v>
      </c>
      <c r="IP16" s="278">
        <f t="shared" si="7"/>
        <v>1</v>
      </c>
      <c r="IQ16" s="278">
        <f t="shared" si="8"/>
        <v>1</v>
      </c>
      <c r="IR16" s="278">
        <f t="shared" si="9"/>
        <v>1</v>
      </c>
      <c r="IS16" s="278">
        <f t="shared" si="10"/>
        <v>1</v>
      </c>
      <c r="IT16" s="278">
        <f t="shared" si="11"/>
        <v>1</v>
      </c>
      <c r="IU16" s="278">
        <f t="shared" si="12"/>
        <v>1</v>
      </c>
      <c r="IV16" s="278">
        <f t="shared" si="13"/>
        <v>1</v>
      </c>
      <c r="IW16" s="278">
        <f t="shared" si="14"/>
        <v>1</v>
      </c>
      <c r="IX16" s="278">
        <f t="shared" si="15"/>
        <v>1</v>
      </c>
      <c r="IY16" s="278">
        <f t="shared" si="16"/>
        <v>1</v>
      </c>
      <c r="IZ16" s="278">
        <f t="shared" si="17"/>
        <v>0.99919949441752687</v>
      </c>
      <c r="JA16" s="278">
        <f t="shared" si="18"/>
        <v>1</v>
      </c>
      <c r="JB16" s="278">
        <f t="shared" si="19"/>
        <v>1</v>
      </c>
      <c r="JC16" s="278">
        <f t="shared" si="20"/>
        <v>1</v>
      </c>
      <c r="JD16" s="278">
        <f t="shared" si="21"/>
        <v>1</v>
      </c>
      <c r="JE16" s="278">
        <f t="shared" si="22"/>
        <v>1.0000816159967354</v>
      </c>
      <c r="JF16" s="278">
        <f t="shared" si="23"/>
        <v>1</v>
      </c>
      <c r="JG16" s="278">
        <f t="shared" si="24"/>
        <v>0.9998901943559898</v>
      </c>
      <c r="JH16" s="278">
        <f t="shared" si="25"/>
        <v>0.99977062466549427</v>
      </c>
      <c r="JI16" s="278">
        <f t="shared" si="26"/>
        <v>1</v>
      </c>
      <c r="JJ16" s="278">
        <f t="shared" si="27"/>
        <v>1.0011225633164176</v>
      </c>
      <c r="JK16" s="278">
        <f t="shared" si="28"/>
        <v>1.0005890644887727</v>
      </c>
      <c r="JL16" s="278">
        <f t="shared" si="29"/>
        <v>1.0011321617887383</v>
      </c>
      <c r="JM16" s="278">
        <f t="shared" si="30"/>
        <v>1.0026573225744184</v>
      </c>
      <c r="JN16" s="278">
        <f t="shared" si="31"/>
        <v>1.001693659887837</v>
      </c>
      <c r="JO16" s="278">
        <f t="shared" si="32"/>
        <v>1.0022894449737159</v>
      </c>
      <c r="JP16" s="278">
        <f t="shared" si="33"/>
        <v>1.0024701168667565</v>
      </c>
      <c r="JQ16" s="278">
        <f t="shared" si="34"/>
        <v>1.0031817307733824</v>
      </c>
      <c r="JR16" s="278">
        <f t="shared" si="35"/>
        <v>1.0040552084984435</v>
      </c>
      <c r="JS16" s="278">
        <f t="shared" si="36"/>
        <v>1.0035466635518886</v>
      </c>
      <c r="JT16" s="278">
        <f t="shared" si="37"/>
        <v>1.0020349814445022</v>
      </c>
      <c r="JU16" s="278">
        <f t="shared" si="38"/>
        <v>1.0008413273181116</v>
      </c>
      <c r="JV16" s="278">
        <f t="shared" si="39"/>
        <v>1.0108437327855222</v>
      </c>
      <c r="JW16" s="278">
        <f t="shared" si="40"/>
        <v>1.0067351970522722</v>
      </c>
      <c r="JX16" s="278">
        <f t="shared" si="41"/>
        <v>1.0054022239020095</v>
      </c>
      <c r="JY16" s="278">
        <f t="shared" si="42"/>
        <v>1.002631051627108</v>
      </c>
      <c r="JZ16" s="278">
        <f t="shared" si="42"/>
        <v>1.0038032385414606</v>
      </c>
      <c r="KA16" s="278">
        <f t="shared" si="42"/>
        <v>1.0069219943432477</v>
      </c>
      <c r="KB16" s="278">
        <f t="shared" si="42"/>
        <v>1.0077818336466642</v>
      </c>
    </row>
    <row r="17" spans="1:288" s="17" customFormat="1">
      <c r="A17" s="173" t="s">
        <v>42</v>
      </c>
      <c r="B17" s="262">
        <f>+'WICHE Public Grads-RE PROJ'!AR18/'WICHE Public Grads-RE PROJ'!B18</f>
        <v>2.5099334499730203E-2</v>
      </c>
      <c r="C17" s="262">
        <f>+'WICHE Public Grads-RE PROJ'!AS18/'WICHE Public Grads-RE PROJ'!C18</f>
        <v>2.5901422428051605E-2</v>
      </c>
      <c r="D17" s="262">
        <f>+'WICHE Public Grads-RE PROJ'!AT18/'WICHE Public Grads-RE PROJ'!D18</f>
        <v>2.8421490179777617E-2</v>
      </c>
      <c r="E17" s="262">
        <f>+'WICHE Public Grads-RE PROJ'!AU18/'WICHE Public Grads-RE PROJ'!E18</f>
        <v>2.8585824655693651E-2</v>
      </c>
      <c r="F17" s="262">
        <f>+'WICHE Public Grads-RE PROJ'!AV18/'WICHE Public Grads-RE PROJ'!F18</f>
        <v>2.8396534184586243E-2</v>
      </c>
      <c r="G17" s="262">
        <f>+'WICHE Public Grads-RE PROJ'!AW18/'WICHE Public Grads-RE PROJ'!G18</f>
        <v>2.8677054901012335E-2</v>
      </c>
      <c r="H17" s="267">
        <f>+'WICHE Public Grads-RE PROJ'!AX18/'WICHE Public Grads-RE PROJ'!H18</f>
        <v>2.9902853673345477E-2</v>
      </c>
      <c r="I17" s="267">
        <f>+'WICHE Public Grads-RE PROJ'!AY18/'WICHE Public Grads-RE PROJ'!I18</f>
        <v>3.144088813435196E-2</v>
      </c>
      <c r="J17" s="267">
        <f>+'WICHE Public Grads-RE PROJ'!AZ18/'WICHE Public Grads-RE PROJ'!J18</f>
        <v>3.286128097843579E-2</v>
      </c>
      <c r="K17" s="267">
        <f>+'WICHE Public Grads-RE PROJ'!BA18/'WICHE Public Grads-RE PROJ'!K18</f>
        <v>3.3102641891037794E-2</v>
      </c>
      <c r="L17" s="262">
        <f>+'WICHE Public Grads-RE PROJ'!BB18/'WICHE Public Grads-RE PROJ'!L18</f>
        <v>3.2188613448563413E-2</v>
      </c>
      <c r="M17" s="267">
        <f>+'WICHE Public Grads-RE PROJ'!BC18/'WICHE Public Grads-RE PROJ'!M18</f>
        <v>3.361742424242424E-2</v>
      </c>
      <c r="N17" s="267">
        <f>+'WICHE Public Grads-RE PROJ'!BD18/'WICHE Public Grads-RE PROJ'!N18</f>
        <v>3.4564512103818321E-2</v>
      </c>
      <c r="O17" s="267">
        <f>+'WICHE Public Grads-RE PROJ'!BE18/'WICHE Public Grads-RE PROJ'!O18</f>
        <v>3.424876683108919E-2</v>
      </c>
      <c r="P17" s="267">
        <f>+'WICHE Public Grads-RE PROJ'!BF18/'WICHE Public Grads-RE PROJ'!P18</f>
        <v>3.4258897145091907E-2</v>
      </c>
      <c r="Q17" s="267">
        <f>+'WICHE Public Grads-RE PROJ'!BG18/'WICHE Public Grads-RE PROJ'!Q18</f>
        <v>3.5314542752298402E-2</v>
      </c>
      <c r="R17" s="267">
        <f>+'WICHE Public Grads-RE PROJ'!BH18/'WICHE Public Grads-RE PROJ'!R18</f>
        <v>3.5459205108814389E-2</v>
      </c>
      <c r="S17" s="267">
        <f>+'WICHE Public Grads-RE PROJ'!BI18/'WICHE Public Grads-RE PROJ'!S18</f>
        <v>3.6788449118922407E-2</v>
      </c>
      <c r="T17" s="267">
        <f>+'WICHE Public Grads-RE PROJ'!BJ18/'WICHE Public Grads-RE PROJ'!T18</f>
        <v>3.9299242424242424E-2</v>
      </c>
      <c r="U17" s="267">
        <f>+'WICHE Public Grads-RE PROJ'!BK18/'WICHE Public Grads-RE PROJ'!U18</f>
        <v>3.8461438178336617E-2</v>
      </c>
      <c r="V17" s="267">
        <f>+'WICHE Public Grads-RE PROJ'!BL18/'WICHE Public Grads-RE PROJ'!V18</f>
        <v>4.1583804152970021E-2</v>
      </c>
      <c r="W17" s="267">
        <f>+'WICHE Public Grads-RE PROJ'!BM18/'WICHE Public Grads-RE PROJ'!W18</f>
        <v>4.2426165752640563E-2</v>
      </c>
      <c r="X17" s="268">
        <f>+'WICHE Public Grads-RE PROJ'!BN18/'WICHE Public Grads-RE PROJ'!Y18</f>
        <v>4.3923459659586703E-2</v>
      </c>
      <c r="Y17" s="268">
        <f>+'WICHE Public Grads-RE PROJ'!BO18/'WICHE Public Grads-RE PROJ'!Z18</f>
        <v>4.4684635756602309E-2</v>
      </c>
      <c r="Z17" s="268">
        <f>+'WICHE Public Grads-RE PROJ'!BP18/'WICHE Public Grads-RE PROJ'!AA18</f>
        <v>4.6495217307922471E-2</v>
      </c>
      <c r="AA17" s="268">
        <f>+'WICHE Public Grads-RE PROJ'!BQ18/'WICHE Public Grads-RE PROJ'!AB18</f>
        <v>4.6342674383094459E-2</v>
      </c>
      <c r="AB17" s="266">
        <f>+'WICHE Public Grads-RE PROJ'!BR18/'WICHE Public Grads-RE PROJ'!AC18</f>
        <v>4.8979824786151101E-2</v>
      </c>
      <c r="AC17" s="266">
        <f>+'WICHE Public Grads-RE PROJ'!BS18/'WICHE Public Grads-RE PROJ'!AD18</f>
        <v>4.826368908799477E-2</v>
      </c>
      <c r="AD17" s="266">
        <f>+'WICHE Public Grads-RE PROJ'!BT18/'WICHE Public Grads-RE PROJ'!AE18</f>
        <v>5.0885821114031192E-2</v>
      </c>
      <c r="AE17" s="266">
        <f>+'WICHE Public Grads-RE PROJ'!BU18/'WICHE Public Grads-RE PROJ'!AF18</f>
        <v>5.3709144624038099E-2</v>
      </c>
      <c r="AF17" s="266">
        <f>+'WICHE Public Grads-RE PROJ'!BV18/'WICHE Public Grads-RE PROJ'!AG18</f>
        <v>5.4947470137643048E-2</v>
      </c>
      <c r="AG17" s="268">
        <f>+'WICHE Public Grads-RE PROJ'!BW18/'WICHE Public Grads-RE PROJ'!AH18</f>
        <v>5.6125207801189292E-2</v>
      </c>
      <c r="AH17" s="266">
        <f>+'WICHE Public Grads-RE PROJ'!BX18/'WICHE Public Grads-RE PROJ'!AI18</f>
        <v>5.8932463696589832E-2</v>
      </c>
      <c r="AI17" s="266">
        <f>+'WICHE Public Grads-RE PROJ'!BY18/'WICHE Public Grads-RE PROJ'!AJ18</f>
        <v>6.1668292262439119E-2</v>
      </c>
      <c r="AJ17" s="266">
        <f>+'WICHE Public Grads-RE PROJ'!BZ18/'WICHE Public Grads-RE PROJ'!AK18</f>
        <v>6.198869368468285E-2</v>
      </c>
      <c r="AK17" s="266">
        <f>+'WICHE Public Grads-RE PROJ'!CA18/'WICHE Public Grads-RE PROJ'!AL18</f>
        <v>6.5006777427820017E-2</v>
      </c>
      <c r="AL17" s="266">
        <f>+'WICHE Public Grads-RE PROJ'!CB18/'WICHE Public Grads-RE PROJ'!AM18</f>
        <v>6.7486721717944592E-2</v>
      </c>
      <c r="AM17" s="266">
        <f>+'WICHE Public Grads-RE PROJ'!CC18/'WICHE Public Grads-RE PROJ'!AN18</f>
        <v>6.8701999580314296E-2</v>
      </c>
      <c r="AN17" s="266">
        <f>+'WICHE Public Grads-RE PROJ'!CD18/'WICHE Public Grads-RE PROJ'!AO18</f>
        <v>7.3873686675453618E-2</v>
      </c>
      <c r="AO17" s="266">
        <f>+'WICHE Public Grads-RE PROJ'!CE18/'WICHE Public Grads-RE PROJ'!AP18</f>
        <v>7.3839649517676895E-2</v>
      </c>
      <c r="AP17" s="282">
        <f>+'WICHE Public Grads-RE PROJ'!CF18/'WICHE Public Grads-RE PROJ'!AQ18</f>
        <v>7.8160778667517444E-2</v>
      </c>
      <c r="AQ17" s="262">
        <f>+'WICHE Public Grads-RE PROJ'!CG18/'WICHE Public Grads-RE PROJ'!B18</f>
        <v>1.3473518975750937E-2</v>
      </c>
      <c r="AR17" s="262">
        <f>+'WICHE Public Grads-RE PROJ'!CH18/'WICHE Public Grads-RE PROJ'!C18</f>
        <v>1.2967251075090969E-2</v>
      </c>
      <c r="AS17" s="262">
        <f>+'WICHE Public Grads-RE PROJ'!CI18/'WICHE Public Grads-RE PROJ'!D18</f>
        <v>1.3509300633897953E-2</v>
      </c>
      <c r="AT17" s="262">
        <f>+'WICHE Public Grads-RE PROJ'!CJ18/'WICHE Public Grads-RE PROJ'!E18</f>
        <v>1.3234800134363452E-2</v>
      </c>
      <c r="AU17" s="262">
        <f>+'WICHE Public Grads-RE PROJ'!CK18/'WICHE Public Grads-RE PROJ'!F18</f>
        <v>1.2716174974567651E-2</v>
      </c>
      <c r="AV17" s="262">
        <f>+'WICHE Public Grads-RE PROJ'!CL18/'WICHE Public Grads-RE PROJ'!G18</f>
        <v>1.1729951974570708E-2</v>
      </c>
      <c r="AW17" s="267">
        <f>+'WICHE Public Grads-RE PROJ'!CM18/'WICHE Public Grads-RE PROJ'!H18</f>
        <v>1.1789111515887471E-2</v>
      </c>
      <c r="AX17" s="267">
        <f>+'WICHE Public Grads-RE PROJ'!CN18/'WICHE Public Grads-RE PROJ'!I18</f>
        <v>1.1334698157487392E-2</v>
      </c>
      <c r="AY17" s="267">
        <f>+'WICHE Public Grads-RE PROJ'!CO18/'WICHE Public Grads-RE PROJ'!J18</f>
        <v>1.1731573865465078E-2</v>
      </c>
      <c r="AZ17" s="267">
        <f>+'WICHE Public Grads-RE PROJ'!CP18/'WICHE Public Grads-RE PROJ'!K18</f>
        <v>1.2024396410061939E-2</v>
      </c>
      <c r="BA17" s="262">
        <f>+'WICHE Public Grads-RE PROJ'!CQ18/'WICHE Public Grads-RE PROJ'!L18</f>
        <v>1.0810401031005988E-2</v>
      </c>
      <c r="BB17" s="267">
        <f>+'WICHE Public Grads-RE PROJ'!CR18/'WICHE Public Grads-RE PROJ'!M18</f>
        <v>1.0904499540863177E-2</v>
      </c>
      <c r="BC17" s="267">
        <f>+'WICHE Public Grads-RE PROJ'!CS18/'WICHE Public Grads-RE PROJ'!N18</f>
        <v>1.1563097911987355E-2</v>
      </c>
      <c r="BD17" s="267">
        <f>+'WICHE Public Grads-RE PROJ'!CT18/'WICHE Public Grads-RE PROJ'!O18</f>
        <v>1.1358485535261965E-2</v>
      </c>
      <c r="BE17" s="267">
        <f>+'WICHE Public Grads-RE PROJ'!CU18/'WICHE Public Grads-RE PROJ'!P18</f>
        <v>1.1171946291226698E-2</v>
      </c>
      <c r="BF17" s="267">
        <f>+'WICHE Public Grads-RE PROJ'!CV18/'WICHE Public Grads-RE PROJ'!Q18</f>
        <v>1.1324328234535913E-2</v>
      </c>
      <c r="BG17" s="267">
        <f>+'WICHE Public Grads-RE PROJ'!CW18/'WICHE Public Grads-RE PROJ'!R18</f>
        <v>1.2123831130637282E-2</v>
      </c>
      <c r="BH17" s="267">
        <f>+'WICHE Public Grads-RE PROJ'!CX18/'WICHE Public Grads-RE PROJ'!S18</f>
        <v>1.2708736968355014E-2</v>
      </c>
      <c r="BI17" s="267">
        <f>+'WICHE Public Grads-RE PROJ'!CY18/'WICHE Public Grads-RE PROJ'!T18</f>
        <v>1.4012896825396826E-2</v>
      </c>
      <c r="BJ17" s="267">
        <f>+'WICHE Public Grads-RE PROJ'!CZ18/'WICHE Public Grads-RE PROJ'!U18</f>
        <v>1.3478147808699438E-2</v>
      </c>
      <c r="BK17" s="267">
        <f>+'WICHE Public Grads-RE PROJ'!DA18/'WICHE Public Grads-RE PROJ'!V18</f>
        <v>1.4308744482152828E-2</v>
      </c>
      <c r="BL17" s="267">
        <f>+'WICHE Public Grads-RE PROJ'!DB18/'WICHE Public Grads-RE PROJ'!W18</f>
        <v>1.427621324707333E-2</v>
      </c>
      <c r="BM17" s="268">
        <f>+'WICHE Public Grads-RE PROJ'!DC18/'WICHE Public Grads-RE PROJ'!Y18</f>
        <v>1.4566749464710385E-2</v>
      </c>
      <c r="BN17" s="268">
        <f>+'WICHE Public Grads-RE PROJ'!DD18/'WICHE Public Grads-RE PROJ'!Z18</f>
        <v>1.4477417867813827E-2</v>
      </c>
      <c r="BO17" s="268">
        <f>+'WICHE Public Grads-RE PROJ'!DE18/'WICHE Public Grads-RE PROJ'!AA18</f>
        <v>1.5077051177196829E-2</v>
      </c>
      <c r="BP17" s="268">
        <f>+'WICHE Public Grads-RE PROJ'!DF18/'WICHE Public Grads-RE PROJ'!AB18</f>
        <v>1.4100426462353448E-2</v>
      </c>
      <c r="BQ17" s="266">
        <f>+'WICHE Public Grads-RE PROJ'!DG18/'WICHE Public Grads-RE PROJ'!AC18</f>
        <v>1.4772433181002945E-2</v>
      </c>
      <c r="BR17" s="266">
        <f>+'WICHE Public Grads-RE PROJ'!DH18/'WICHE Public Grads-RE PROJ'!AD18</f>
        <v>1.3629264719457735E-2</v>
      </c>
      <c r="BS17" s="266">
        <f>+'WICHE Public Grads-RE PROJ'!DI18/'WICHE Public Grads-RE PROJ'!AE18</f>
        <v>1.3466302203595053E-2</v>
      </c>
      <c r="BT17" s="266">
        <f>+'WICHE Public Grads-RE PROJ'!DJ18/'WICHE Public Grads-RE PROJ'!AF18</f>
        <v>1.3727854603251179E-2</v>
      </c>
      <c r="BU17" s="266">
        <f>+'WICHE Public Grads-RE PROJ'!DK18/'WICHE Public Grads-RE PROJ'!AG18</f>
        <v>1.2810649620537113E-2</v>
      </c>
      <c r="BV17" s="268">
        <f>+'WICHE Public Grads-RE PROJ'!DL18/'WICHE Public Grads-RE PROJ'!AH18</f>
        <v>1.2661392937500888E-2</v>
      </c>
      <c r="BW17" s="266">
        <f>+'WICHE Public Grads-RE PROJ'!DM18/'WICHE Public Grads-RE PROJ'!AI18</f>
        <v>1.3092655949032488E-2</v>
      </c>
      <c r="BX17" s="266">
        <f>+'WICHE Public Grads-RE PROJ'!DN18/'WICHE Public Grads-RE PROJ'!AJ18</f>
        <v>1.306464372402465E-2</v>
      </c>
      <c r="BY17" s="266">
        <f>+'WICHE Public Grads-RE PROJ'!DO18/'WICHE Public Grads-RE PROJ'!AK18</f>
        <v>1.3127935807930853E-2</v>
      </c>
      <c r="BZ17" s="266">
        <f>+'WICHE Public Grads-RE PROJ'!DP18/'WICHE Public Grads-RE PROJ'!AL18</f>
        <v>1.3778398679911945E-2</v>
      </c>
      <c r="CA17" s="266">
        <f>+'WICHE Public Grads-RE PROJ'!DQ18/'WICHE Public Grads-RE PROJ'!AM18</f>
        <v>1.3831516992940983E-2</v>
      </c>
      <c r="CB17" s="266">
        <f>+'WICHE Public Grads-RE PROJ'!DR18/'WICHE Public Grads-RE PROJ'!AN18</f>
        <v>1.3292788751412179E-2</v>
      </c>
      <c r="CC17" s="266">
        <f>+'WICHE Public Grads-RE PROJ'!DS18/'WICHE Public Grads-RE PROJ'!AO18</f>
        <v>1.3304358714340632E-2</v>
      </c>
      <c r="CD17" s="266">
        <f>+'WICHE Public Grads-RE PROJ'!DT18/'WICHE Public Grads-RE PROJ'!AP18</f>
        <v>1.3408464456080975E-2</v>
      </c>
      <c r="CE17" s="282">
        <f>+'WICHE Public Grads-RE PROJ'!DU18/'WICHE Public Grads-RE PROJ'!AQ18</f>
        <v>1.2891685813729533E-2</v>
      </c>
      <c r="CF17" s="262">
        <f>+'WICHE Public Grads-RE PROJ'!DV18/'WICHE Public Grads-RE PROJ'!B18</f>
        <v>1.1625815523979266E-2</v>
      </c>
      <c r="CG17" s="262">
        <f>+'WICHE Public Grads-RE PROJ'!DW18/'WICHE Public Grads-RE PROJ'!C18</f>
        <v>1.2934171352960636E-2</v>
      </c>
      <c r="CH17" s="262">
        <f>+'WICHE Public Grads-RE PROJ'!DX18/'WICHE Public Grads-RE PROJ'!D18</f>
        <v>1.4912189545879664E-2</v>
      </c>
      <c r="CI17" s="262">
        <f>+'WICHE Public Grads-RE PROJ'!DY18/'WICHE Public Grads-RE PROJ'!E18</f>
        <v>1.5351024521330197E-2</v>
      </c>
      <c r="CJ17" s="262">
        <f>+'WICHE Public Grads-RE PROJ'!DZ18/'WICHE Public Grads-RE PROJ'!F18</f>
        <v>1.5680359210018591E-2</v>
      </c>
      <c r="CK17" s="262">
        <f>+'WICHE Public Grads-RE PROJ'!EA18/'WICHE Public Grads-RE PROJ'!G18</f>
        <v>1.6947102926441627E-2</v>
      </c>
      <c r="CL17" s="267">
        <f>+'WICHE Public Grads-RE PROJ'!EB18/'WICHE Public Grads-RE PROJ'!H18</f>
        <v>1.8113742157458004E-2</v>
      </c>
      <c r="CM17" s="267">
        <f>+'WICHE Public Grads-RE PROJ'!EC18/'WICHE Public Grads-RE PROJ'!I18</f>
        <v>2.0106189976864565E-2</v>
      </c>
      <c r="CN17" s="267">
        <f>+'WICHE Public Grads-RE PROJ'!ED18/'WICHE Public Grads-RE PROJ'!J18</f>
        <v>2.112970711297071E-2</v>
      </c>
      <c r="CO17" s="267">
        <f>+'WICHE Public Grads-RE PROJ'!EE18/'WICHE Public Grads-RE PROJ'!K18</f>
        <v>2.1078245480975855E-2</v>
      </c>
      <c r="CP17" s="262">
        <f>+'WICHE Public Grads-RE PROJ'!EF18/'WICHE Public Grads-RE PROJ'!L18</f>
        <v>2.1378212417557427E-2</v>
      </c>
      <c r="CQ17" s="267">
        <f>+'WICHE Public Grads-RE PROJ'!EG18/'WICHE Public Grads-RE PROJ'!M18</f>
        <v>2.2712924701561065E-2</v>
      </c>
      <c r="CR17" s="267">
        <f>+'WICHE Public Grads-RE PROJ'!EH18/'WICHE Public Grads-RE PROJ'!N18</f>
        <v>2.3001414191830962E-2</v>
      </c>
      <c r="CS17" s="267">
        <f>+'WICHE Public Grads-RE PROJ'!EI18/'WICHE Public Grads-RE PROJ'!O18</f>
        <v>2.2890281295827222E-2</v>
      </c>
      <c r="CT17" s="267">
        <f>+'WICHE Public Grads-RE PROJ'!EJ18/'WICHE Public Grads-RE PROJ'!P18</f>
        <v>2.3086950853865206E-2</v>
      </c>
      <c r="CU17" s="267">
        <f>+'WICHE Public Grads-RE PROJ'!EK18/'WICHE Public Grads-RE PROJ'!Q18</f>
        <v>2.3990214517762492E-2</v>
      </c>
      <c r="CV17" s="267">
        <f>+'WICHE Public Grads-RE PROJ'!EL18/'WICHE Public Grads-RE PROJ'!R18</f>
        <v>2.3335373978177105E-2</v>
      </c>
      <c r="CW17" s="267">
        <f>+'WICHE Public Grads-RE PROJ'!EM18/'WICHE Public Grads-RE PROJ'!S18</f>
        <v>2.4079712150567395E-2</v>
      </c>
      <c r="CX17" s="267">
        <f>+'WICHE Public Grads-RE PROJ'!EN18/'WICHE Public Grads-RE PROJ'!T18</f>
        <v>2.52863455988456E-2</v>
      </c>
      <c r="CY17" s="267">
        <f>+'WICHE Public Grads-RE PROJ'!EO18/'WICHE Public Grads-RE PROJ'!U18</f>
        <v>2.498329036963718E-2</v>
      </c>
      <c r="CZ17" s="267">
        <f>+'WICHE Public Grads-RE PROJ'!EP18/'WICHE Public Grads-RE PROJ'!V18</f>
        <v>2.7275059670817191E-2</v>
      </c>
      <c r="DA17" s="267">
        <f>+'WICHE Public Grads-RE PROJ'!EQ18/'WICHE Public Grads-RE PROJ'!W18</f>
        <v>2.8149952505567236E-2</v>
      </c>
      <c r="DB17" s="268">
        <f>+'WICHE Public Grads-RE PROJ'!ER18/'WICHE Public Grads-RE PROJ'!Y18</f>
        <v>2.9356710194876314E-2</v>
      </c>
      <c r="DC17" s="268">
        <f>+'WICHE Public Grads-RE PROJ'!ES18/'WICHE Public Grads-RE PROJ'!Z18</f>
        <v>3.0207217888788482E-2</v>
      </c>
      <c r="DD17" s="268">
        <f>+'WICHE Public Grads-RE PROJ'!ET18/'WICHE Public Grads-RE PROJ'!AA18</f>
        <v>3.1418166130725636E-2</v>
      </c>
      <c r="DE17" s="268">
        <f>+'WICHE Public Grads-RE PROJ'!EU18/'WICHE Public Grads-RE PROJ'!AB18</f>
        <v>3.2242247920741013E-2</v>
      </c>
      <c r="DF17" s="266">
        <f>+'WICHE Public Grads-RE PROJ'!EV18/'WICHE Public Grads-RE PROJ'!AC18</f>
        <v>3.4207391605148164E-2</v>
      </c>
      <c r="DG17" s="266">
        <f>+'WICHE Public Grads-RE PROJ'!EW18/'WICHE Public Grads-RE PROJ'!AD18</f>
        <v>3.4634424368537038E-2</v>
      </c>
      <c r="DH17" s="266">
        <f>+'WICHE Public Grads-RE PROJ'!EX18/'WICHE Public Grads-RE PROJ'!AE18</f>
        <v>3.7419518910436128E-2</v>
      </c>
      <c r="DI17" s="266">
        <f>+'WICHE Public Grads-RE PROJ'!EY18/'WICHE Public Grads-RE PROJ'!AF18</f>
        <v>3.9981290020786923E-2</v>
      </c>
      <c r="DJ17" s="266">
        <f>+'WICHE Public Grads-RE PROJ'!EZ18/'WICHE Public Grads-RE PROJ'!AG18</f>
        <v>4.2136820517105933E-2</v>
      </c>
      <c r="DK17" s="268">
        <f>+'WICHE Public Grads-RE PROJ'!FA18/'WICHE Public Grads-RE PROJ'!AH18</f>
        <v>4.3463814863688409E-2</v>
      </c>
      <c r="DL17" s="266">
        <f>+'WICHE Public Grads-RE PROJ'!FB18/'WICHE Public Grads-RE PROJ'!AI18</f>
        <v>4.5839807747557339E-2</v>
      </c>
      <c r="DM17" s="266">
        <f>+'WICHE Public Grads-RE PROJ'!FC18/'WICHE Public Grads-RE PROJ'!AJ18</f>
        <v>4.8603648538414465E-2</v>
      </c>
      <c r="DN17" s="266">
        <f>+'WICHE Public Grads-RE PROJ'!FD18/'WICHE Public Grads-RE PROJ'!AK18</f>
        <v>4.8860757876751995E-2</v>
      </c>
      <c r="DO17" s="266">
        <f>+'WICHE Public Grads-RE PROJ'!FE18/'WICHE Public Grads-RE PROJ'!AL18</f>
        <v>5.1228378747908074E-2</v>
      </c>
      <c r="DP17" s="266">
        <f>+'WICHE Public Grads-RE PROJ'!FF18/'WICHE Public Grads-RE PROJ'!AM18</f>
        <v>5.3655204725003604E-2</v>
      </c>
      <c r="DQ17" s="266">
        <f>+'WICHE Public Grads-RE PROJ'!FG18/'WICHE Public Grads-RE PROJ'!AN18</f>
        <v>5.5409210828902121E-2</v>
      </c>
      <c r="DR17" s="266">
        <f>+'WICHE Public Grads-RE PROJ'!FH18/'WICHE Public Grads-RE PROJ'!AO18</f>
        <v>6.0569327961112987E-2</v>
      </c>
      <c r="DS17" s="266">
        <f>+'WICHE Public Grads-RE PROJ'!FI18/'WICHE Public Grads-RE PROJ'!AP18</f>
        <v>6.0431185061595921E-2</v>
      </c>
      <c r="DT17" s="282">
        <f>+'WICHE Public Grads-RE PROJ'!FJ18/'WICHE Public Grads-RE PROJ'!AQ18</f>
        <v>6.5269092853787916E-2</v>
      </c>
      <c r="DU17" s="262">
        <f>+'WICHE Public Grads-RE PROJ'!FK18/'WICHE Public Grads-RE PROJ'!B18</f>
        <v>0.28114524911293881</v>
      </c>
      <c r="DV17" s="262">
        <f>+'WICHE Public Grads-RE PROJ'!FL18/'WICHE Public Grads-RE PROJ'!C18</f>
        <v>0.28051604366523319</v>
      </c>
      <c r="DW17" s="262">
        <f>+'WICHE Public Grads-RE PROJ'!FM18/'WICHE Public Grads-RE PROJ'!D18</f>
        <v>0.27578024870968859</v>
      </c>
      <c r="DX17" s="262">
        <f>+'WICHE Public Grads-RE PROJ'!FN18/'WICHE Public Grads-RE PROJ'!E18</f>
        <v>0.27319449109842125</v>
      </c>
      <c r="DY17" s="262">
        <f>+'WICHE Public Grads-RE PROJ'!FO18/'WICHE Public Grads-RE PROJ'!F18</f>
        <v>0.27082821763075737</v>
      </c>
      <c r="DZ17" s="262">
        <f>+'WICHE Public Grads-RE PROJ'!FP18/'WICHE Public Grads-RE PROJ'!G18</f>
        <v>0.27307120892789277</v>
      </c>
      <c r="EA17" s="267">
        <f>+'WICHE Public Grads-RE PROJ'!FQ18/'WICHE Public Grads-RE PROJ'!H18</f>
        <v>0.26770896579639747</v>
      </c>
      <c r="EB17" s="267">
        <f>+'WICHE Public Grads-RE PROJ'!FR18/'WICHE Public Grads-RE PROJ'!I18</f>
        <v>0.26870391637955426</v>
      </c>
      <c r="EC17" s="267">
        <f>+'WICHE Public Grads-RE PROJ'!FS18/'WICHE Public Grads-RE PROJ'!J18</f>
        <v>0.26700997747022853</v>
      </c>
      <c r="ED17" s="267">
        <f>+'WICHE Public Grads-RE PROJ'!FT18/'WICHE Public Grads-RE PROJ'!K18</f>
        <v>0.26561117431424597</v>
      </c>
      <c r="EE17" s="262">
        <f>+'WICHE Public Grads-RE PROJ'!FU18/'WICHE Public Grads-RE PROJ'!L18</f>
        <v>0.26358881055264954</v>
      </c>
      <c r="EF17" s="267">
        <f>+'WICHE Public Grads-RE PROJ'!FV18/'WICHE Public Grads-RE PROJ'!M18</f>
        <v>0.26687327823691459</v>
      </c>
      <c r="EG17" s="267">
        <f>+'WICHE Public Grads-RE PROJ'!FW18/'WICHE Public Grads-RE PROJ'!N18</f>
        <v>0.27292515874996531</v>
      </c>
      <c r="EH17" s="267">
        <f>+'WICHE Public Grads-RE PROJ'!FX18/'WICHE Public Grads-RE PROJ'!O18</f>
        <v>0.28202906279162776</v>
      </c>
      <c r="EI17" s="267">
        <f>+'WICHE Public Grads-RE PROJ'!FY18/'WICHE Public Grads-RE PROJ'!P18</f>
        <v>0.27168556902620256</v>
      </c>
      <c r="EJ17" s="267">
        <f>+'WICHE Public Grads-RE PROJ'!FZ18/'WICHE Public Grads-RE PROJ'!Q18</f>
        <v>0.26996882850416276</v>
      </c>
      <c r="EK17" s="267">
        <f>+'WICHE Public Grads-RE PROJ'!GA18/'WICHE Public Grads-RE PROJ'!R18</f>
        <v>0.27611125115536511</v>
      </c>
      <c r="EL17" s="267">
        <f>+'WICHE Public Grads-RE PROJ'!GB18/'WICHE Public Grads-RE PROJ'!S18</f>
        <v>0.27796614078789555</v>
      </c>
      <c r="EM17" s="267">
        <f>+'WICHE Public Grads-RE PROJ'!GC18/'WICHE Public Grads-RE PROJ'!T18</f>
        <v>0.28387671356421357</v>
      </c>
      <c r="EN17" s="267">
        <f>+'WICHE Public Grads-RE PROJ'!GD18/'WICHE Public Grads-RE PROJ'!U18</f>
        <v>0.28822725812120603</v>
      </c>
      <c r="EO17" s="267">
        <f>+'WICHE Public Grads-RE PROJ'!GE18/'WICHE Public Grads-RE PROJ'!V18</f>
        <v>0.28966650062175769</v>
      </c>
      <c r="EP17" s="267">
        <f>+'WICHE Public Grads-RE PROJ'!GF18/'WICHE Public Grads-RE PROJ'!W18</f>
        <v>0.28016590072631981</v>
      </c>
      <c r="EQ17" s="268">
        <f>+'WICHE Public Grads-RE PROJ'!GG18/'WICHE Public Grads-RE PROJ'!Y18</f>
        <v>0.27277404804939503</v>
      </c>
      <c r="ER17" s="268">
        <f>+'WICHE Public Grads-RE PROJ'!GH18/'WICHE Public Grads-RE PROJ'!Z18</f>
        <v>0.26778294670947145</v>
      </c>
      <c r="ES17" s="268">
        <f>+'WICHE Public Grads-RE PROJ'!GI18/'WICHE Public Grads-RE PROJ'!AA18</f>
        <v>0.26084913913186647</v>
      </c>
      <c r="ET17" s="268">
        <f>+'WICHE Public Grads-RE PROJ'!GJ18/'WICHE Public Grads-RE PROJ'!AB18</f>
        <v>0.2545905891779639</v>
      </c>
      <c r="EU17" s="266">
        <f>+'WICHE Public Grads-RE PROJ'!GK18/'WICHE Public Grads-RE PROJ'!AC18</f>
        <v>0.25298033067998793</v>
      </c>
      <c r="EV17" s="266">
        <f>+'WICHE Public Grads-RE PROJ'!GL18/'WICHE Public Grads-RE PROJ'!AD18</f>
        <v>0.24899697191095788</v>
      </c>
      <c r="EW17" s="266">
        <f>+'WICHE Public Grads-RE PROJ'!GM18/'WICHE Public Grads-RE PROJ'!AE18</f>
        <v>0.24170481385090267</v>
      </c>
      <c r="EX17" s="266">
        <f>+'WICHE Public Grads-RE PROJ'!GN18/'WICHE Public Grads-RE PROJ'!AF18</f>
        <v>0.23221761652797634</v>
      </c>
      <c r="EY17" s="266">
        <f>+'WICHE Public Grads-RE PROJ'!GO18/'WICHE Public Grads-RE PROJ'!AG18</f>
        <v>0.22607307145319117</v>
      </c>
      <c r="EZ17" s="268">
        <f>+'WICHE Public Grads-RE PROJ'!GP18/'WICHE Public Grads-RE PROJ'!AH18</f>
        <v>0.22708803622808363</v>
      </c>
      <c r="FA17" s="266">
        <f>+'WICHE Public Grads-RE PROJ'!GQ18/'WICHE Public Grads-RE PROJ'!AI18</f>
        <v>0.22775844510737481</v>
      </c>
      <c r="FB17" s="266">
        <f>+'WICHE Public Grads-RE PROJ'!GR18/'WICHE Public Grads-RE PROJ'!AJ18</f>
        <v>0.22497940463326754</v>
      </c>
      <c r="FC17" s="266">
        <f>+'WICHE Public Grads-RE PROJ'!GS18/'WICHE Public Grads-RE PROJ'!AK18</f>
        <v>0.23477493963839446</v>
      </c>
      <c r="FD17" s="266">
        <f>+'WICHE Public Grads-RE PROJ'!GT18/'WICHE Public Grads-RE PROJ'!AL18</f>
        <v>0.23497729341025347</v>
      </c>
      <c r="FE17" s="266">
        <f>+'WICHE Public Grads-RE PROJ'!GU18/'WICHE Public Grads-RE PROJ'!AM18</f>
        <v>0.23268693320149211</v>
      </c>
      <c r="FF17" s="266">
        <f>+'WICHE Public Grads-RE PROJ'!GV18/'WICHE Public Grads-RE PROJ'!AN18</f>
        <v>0.23255140550141906</v>
      </c>
      <c r="FG17" s="266">
        <f>+'WICHE Public Grads-RE PROJ'!GW18/'WICHE Public Grads-RE PROJ'!AO18</f>
        <v>0.23242640920755955</v>
      </c>
      <c r="FH17" s="266">
        <f>+'WICHE Public Grads-RE PROJ'!GX18/'WICHE Public Grads-RE PROJ'!AP18</f>
        <v>0.23855932351249717</v>
      </c>
      <c r="FI17" s="282">
        <f>+'WICHE Public Grads-RE PROJ'!GY18/'WICHE Public Grads-RE PROJ'!AQ18</f>
        <v>0.23515235042492558</v>
      </c>
      <c r="FJ17" s="262">
        <f>+'WICHE Public Grads-RE PROJ'!GZ18/'WICHE Public Grads-RE PROJ'!B18</f>
        <v>6.0172997367431364E-3</v>
      </c>
      <c r="FK17" s="262">
        <f>+'WICHE Public Grads-RE PROJ'!HA18/'WICHE Public Grads-RE PROJ'!C18</f>
        <v>6.467085676480318E-3</v>
      </c>
      <c r="FL17" s="262">
        <f>+'WICHE Public Grads-RE PROJ'!HB18/'WICHE Public Grads-RE PROJ'!D18</f>
        <v>7.984343066957637E-3</v>
      </c>
      <c r="FM17" s="262">
        <f>+'WICHE Public Grads-RE PROJ'!HC18/'WICHE Public Grads-RE PROJ'!E18</f>
        <v>8.3305340947262344E-3</v>
      </c>
      <c r="FN17" s="262">
        <f>+'WICHE Public Grads-RE PROJ'!HD18/'WICHE Public Grads-RE PROJ'!F18</f>
        <v>1.0243098186410355E-2</v>
      </c>
      <c r="FO17" s="262">
        <f>+'WICHE Public Grads-RE PROJ'!HE18/'WICHE Public Grads-RE PROJ'!G18</f>
        <v>1.1436271291849497E-2</v>
      </c>
      <c r="FP17" s="267">
        <f>+'WICHE Public Grads-RE PROJ'!HF18/'WICHE Public Grads-RE PROJ'!H18</f>
        <v>1.3560008095527222E-2</v>
      </c>
      <c r="FQ17" s="267">
        <f>+'WICHE Public Grads-RE PROJ'!HG18/'WICHE Public Grads-RE PROJ'!I18</f>
        <v>1.5462459013664887E-2</v>
      </c>
      <c r="FR17" s="267">
        <f>+'WICHE Public Grads-RE PROJ'!HH18/'WICHE Public Grads-RE PROJ'!J18</f>
        <v>1.7074348245896362E-2</v>
      </c>
      <c r="FS17" s="267">
        <f>+'WICHE Public Grads-RE PROJ'!HI18/'WICHE Public Grads-RE PROJ'!K18</f>
        <v>1.9972190620654785E-2</v>
      </c>
      <c r="FT17" s="262">
        <f>+'WICHE Public Grads-RE PROJ'!HJ18/'WICHE Public Grads-RE PROJ'!L18</f>
        <v>2.3637328481540446E-2</v>
      </c>
      <c r="FU17" s="267">
        <f>+'WICHE Public Grads-RE PROJ'!HK18/'WICHE Public Grads-RE PROJ'!M18</f>
        <v>2.7634297520661159E-2</v>
      </c>
      <c r="FV17" s="267">
        <f>+'WICHE Public Grads-RE PROJ'!HL18/'WICHE Public Grads-RE PROJ'!N18</f>
        <v>3.1763857693480856E-2</v>
      </c>
      <c r="FW17" s="267">
        <f>+'WICHE Public Grads-RE PROJ'!HM18/'WICHE Public Grads-RE PROJ'!O18</f>
        <v>3.818157578989468E-2</v>
      </c>
      <c r="FX17" s="267">
        <f>+'WICHE Public Grads-RE PROJ'!HN18/'WICHE Public Grads-RE PROJ'!P18</f>
        <v>4.0594446617129451E-2</v>
      </c>
      <c r="FY17" s="267">
        <f>+'WICHE Public Grads-RE PROJ'!HO18/'WICHE Public Grads-RE PROJ'!Q18</f>
        <v>4.4245110547013716E-2</v>
      </c>
      <c r="FZ17" s="267">
        <f>+'WICHE Public Grads-RE PROJ'!HP18/'WICHE Public Grads-RE PROJ'!R18</f>
        <v>5.0752037643895472E-2</v>
      </c>
      <c r="GA17" s="267">
        <f>+'WICHE Public Grads-RE PROJ'!HQ18/'WICHE Public Grads-RE PROJ'!S18</f>
        <v>5.8434818710213117E-2</v>
      </c>
      <c r="GB17" s="267">
        <f>+'WICHE Public Grads-RE PROJ'!HR18/'WICHE Public Grads-RE PROJ'!T18</f>
        <v>6.404446248196248E-2</v>
      </c>
      <c r="GC17" s="267">
        <f>+'WICHE Public Grads-RE PROJ'!HS18/'WICHE Public Grads-RE PROJ'!U18</f>
        <v>7.7025764250433851E-2</v>
      </c>
      <c r="GD17" s="267">
        <f>+'WICHE Public Grads-RE PROJ'!HT18/'WICHE Public Grads-RE PROJ'!V18</f>
        <v>8.657437458101451E-2</v>
      </c>
      <c r="GE17" s="267">
        <f>+'WICHE Public Grads-RE PROJ'!HU18/'WICHE Public Grads-RE PROJ'!W18</f>
        <v>9.6227435101071665E-2</v>
      </c>
      <c r="GF17" s="268">
        <f>+'WICHE Public Grads-RE PROJ'!HV18/'WICHE Public Grads-RE PROJ'!Y18</f>
        <v>0.10451403223585203</v>
      </c>
      <c r="GG17" s="268">
        <f>+'WICHE Public Grads-RE PROJ'!HW18/'WICHE Public Grads-RE PROJ'!Z18</f>
        <v>0.11065177620847994</v>
      </c>
      <c r="GH17" s="268">
        <f>+'WICHE Public Grads-RE PROJ'!HX18/'WICHE Public Grads-RE PROJ'!AA18</f>
        <v>0.11717916517562117</v>
      </c>
      <c r="GI17" s="268">
        <f>+'WICHE Public Grads-RE PROJ'!HY18/'WICHE Public Grads-RE PROJ'!AB18</f>
        <v>0.12125886685682086</v>
      </c>
      <c r="GJ17" s="266">
        <f>+'WICHE Public Grads-RE PROJ'!HZ18/'WICHE Public Grads-RE PROJ'!AC18</f>
        <v>0.13268681817118963</v>
      </c>
      <c r="GK17" s="266">
        <f>+'WICHE Public Grads-RE PROJ'!IA18/'WICHE Public Grads-RE PROJ'!AD18</f>
        <v>0.14375194239284766</v>
      </c>
      <c r="GL17" s="266">
        <f>+'WICHE Public Grads-RE PROJ'!IB18/'WICHE Public Grads-RE PROJ'!AE18</f>
        <v>0.15341400307808711</v>
      </c>
      <c r="GM17" s="266">
        <f>+'WICHE Public Grads-RE PROJ'!IC18/'WICHE Public Grads-RE PROJ'!AF18</f>
        <v>0.15897490135200473</v>
      </c>
      <c r="GN17" s="266">
        <f>+'WICHE Public Grads-RE PROJ'!ID18/'WICHE Public Grads-RE PROJ'!AG18</f>
        <v>0.16406337715437158</v>
      </c>
      <c r="GO17" s="268">
        <f>+'WICHE Public Grads-RE PROJ'!IE18/'WICHE Public Grads-RE PROJ'!AH18</f>
        <v>0.17661063568373156</v>
      </c>
      <c r="GP17" s="266">
        <f>+'WICHE Public Grads-RE PROJ'!IF18/'WICHE Public Grads-RE PROJ'!AI18</f>
        <v>0.18587093005731559</v>
      </c>
      <c r="GQ17" s="266">
        <f>+'WICHE Public Grads-RE PROJ'!IG18/'WICHE Public Grads-RE PROJ'!AJ18</f>
        <v>0.1943356411832434</v>
      </c>
      <c r="GR17" s="266">
        <f>+'WICHE Public Grads-RE PROJ'!IH18/'WICHE Public Grads-RE PROJ'!AK18</f>
        <v>0.18875986270167602</v>
      </c>
      <c r="GS17" s="266">
        <f>+'WICHE Public Grads-RE PROJ'!II18/'WICHE Public Grads-RE PROJ'!AL18</f>
        <v>0.18047247309304867</v>
      </c>
      <c r="GT17" s="266">
        <f>+'WICHE Public Grads-RE PROJ'!IJ18/'WICHE Public Grads-RE PROJ'!AM18</f>
        <v>0.17346765885012336</v>
      </c>
      <c r="GU17" s="266">
        <f>+'WICHE Public Grads-RE PROJ'!IK18/'WICHE Public Grads-RE PROJ'!AN18</f>
        <v>0.17184152839777705</v>
      </c>
      <c r="GV17" s="266">
        <f>+'WICHE Public Grads-RE PROJ'!IL18/'WICHE Public Grads-RE PROJ'!AO18</f>
        <v>0.17055796605079021</v>
      </c>
      <c r="GW17" s="266">
        <f>+'WICHE Public Grads-RE PROJ'!IM18/'WICHE Public Grads-RE PROJ'!AP18</f>
        <v>0.16730635648780615</v>
      </c>
      <c r="GX17" s="282">
        <f>+'WICHE Public Grads-RE PROJ'!IN18/'WICHE Public Grads-RE PROJ'!AQ18</f>
        <v>0.16702432777053314</v>
      </c>
      <c r="GY17" s="262">
        <f>+'WICHE Public Grads-RE PROJ'!IO18/'WICHE Public Grads-RE PROJ'!B18</f>
        <v>0.68773811665058782</v>
      </c>
      <c r="GZ17" s="262">
        <f>+'WICHE Public Grads-RE PROJ'!IP18/'WICHE Public Grads-RE PROJ'!C18</f>
        <v>0.68711544823023485</v>
      </c>
      <c r="HA17" s="262">
        <f>+'WICHE Public Grads-RE PROJ'!IQ18/'WICHE Public Grads-RE PROJ'!D18</f>
        <v>0.68781391804357617</v>
      </c>
      <c r="HB17" s="262">
        <f>+'WICHE Public Grads-RE PROJ'!IR18/'WICHE Public Grads-RE PROJ'!E18</f>
        <v>0.68988915015115893</v>
      </c>
      <c r="HC17" s="262">
        <f>+'WICHE Public Grads-RE PROJ'!IS18/'WICHE Public Grads-RE PROJ'!F18</f>
        <v>0.69053214999824608</v>
      </c>
      <c r="HD17" s="262">
        <f>+'WICHE Public Grads-RE PROJ'!IT18/'WICHE Public Grads-RE PROJ'!G18</f>
        <v>0.68681546487924539</v>
      </c>
      <c r="HE17" s="267">
        <f>+'WICHE Public Grads-RE PROJ'!IU18/'WICHE Public Grads-RE PROJ'!H18</f>
        <v>0.68882817243472982</v>
      </c>
      <c r="HF17" s="267">
        <f>+'WICHE Public Grads-RE PROJ'!IV18/'WICHE Public Grads-RE PROJ'!I18</f>
        <v>0.68439273647242893</v>
      </c>
      <c r="HG17" s="267">
        <f>+'WICHE Public Grads-RE PROJ'!IW18/'WICHE Public Grads-RE PROJ'!J18</f>
        <v>0.68305439330543938</v>
      </c>
      <c r="HH17" s="267">
        <f>+'WICHE Public Grads-RE PROJ'!IX18/'WICHE Public Grads-RE PROJ'!K18</f>
        <v>0.68131399317406138</v>
      </c>
      <c r="HI17" s="262">
        <f>+'WICHE Public Grads-RE PROJ'!IY18/'WICHE Public Grads-RE PROJ'!L18</f>
        <v>0.68058524751724658</v>
      </c>
      <c r="HJ17" s="267">
        <f>+'WICHE Public Grads-RE PROJ'!IZ18/'WICHE Public Grads-RE PROJ'!M18</f>
        <v>0.671875</v>
      </c>
      <c r="HK17" s="267">
        <f>+'WICHE Public Grads-RE PROJ'!JA18/'WICHE Public Grads-RE PROJ'!N18</f>
        <v>0.66074647145273546</v>
      </c>
      <c r="HL17" s="267">
        <f>+'WICHE Public Grads-RE PROJ'!JB18/'WICHE Public Grads-RE PROJ'!O18</f>
        <v>0.64554059458738833</v>
      </c>
      <c r="HM17" s="267">
        <f>+'WICHE Public Grads-RE PROJ'!JC18/'WICHE Public Grads-RE PROJ'!P18</f>
        <v>0.62995698083691831</v>
      </c>
      <c r="HN17" s="267">
        <f>+'WICHE Public Grads-RE PROJ'!JD18/'WICHE Public Grads-RE PROJ'!Q18</f>
        <v>0.6342939064329024</v>
      </c>
      <c r="HO17" s="267">
        <f>+'WICHE Public Grads-RE PROJ'!JE18/'WICHE Public Grads-RE PROJ'!R18</f>
        <v>0.61917966077280417</v>
      </c>
      <c r="HP17" s="267">
        <f>+'WICHE Public Grads-RE PROJ'!JF18/'WICHE Public Grads-RE PROJ'!S18</f>
        <v>0.6053026109419688</v>
      </c>
      <c r="HQ17" s="267">
        <f>+'WICHE Public Grads-RE PROJ'!JG18/'WICHE Public Grads-RE PROJ'!T18</f>
        <v>0.59004103535353536</v>
      </c>
      <c r="HR17" s="267">
        <f>+'WICHE Public Grads-RE PROJ'!JH18/'WICHE Public Grads-RE PROJ'!U18</f>
        <v>0.59628553945002349</v>
      </c>
      <c r="HS17" s="267">
        <f>+'WICHE Public Grads-RE PROJ'!JI18/'WICHE Public Grads-RE PROJ'!V18</f>
        <v>0.5821753206442577</v>
      </c>
      <c r="HT17" s="267">
        <f>+'WICHE Public Grads-RE PROJ'!JJ18/'WICHE Public Grads-RE PROJ'!W18</f>
        <v>0.58118049841996799</v>
      </c>
      <c r="HU17" s="268">
        <f>+'WICHE Public Grads-RE PROJ'!JK18/'WICHE Public Grads-RE PROJ'!Y18</f>
        <v>0.57298063916708786</v>
      </c>
      <c r="HV17" s="268">
        <f>+'WICHE Public Grads-RE PROJ'!JL18/'WICHE Public Grads-RE PROJ'!Z18</f>
        <v>0.57239024428728602</v>
      </c>
      <c r="HW17" s="268">
        <f>+'WICHE Public Grads-RE PROJ'!JM18/'WICHE Public Grads-RE PROJ'!AA18</f>
        <v>0.57494805227068357</v>
      </c>
      <c r="HX17" s="268">
        <f>+'WICHE Public Grads-RE PROJ'!JN18/'WICHE Public Grads-RE PROJ'!AB18</f>
        <v>0.57895201362890791</v>
      </c>
      <c r="HY17" s="266">
        <f>+'WICHE Public Grads-RE PROJ'!JO18/'WICHE Public Grads-RE PROJ'!AC18</f>
        <v>0.56647866785961787</v>
      </c>
      <c r="HZ17" s="266">
        <f>+'WICHE Public Grads-RE PROJ'!JP18/'WICHE Public Grads-RE PROJ'!AD18</f>
        <v>0.56088121359419441</v>
      </c>
      <c r="IA17" s="266">
        <f>+'WICHE Public Grads-RE PROJ'!JQ18/'WICHE Public Grads-RE PROJ'!AE18</f>
        <v>0.5585596769719563</v>
      </c>
      <c r="IB17" s="266">
        <f>+'WICHE Public Grads-RE PROJ'!JR18/'WICHE Public Grads-RE PROJ'!AF18</f>
        <v>0.5628393716027954</v>
      </c>
      <c r="IC17" s="266">
        <f>+'WICHE Public Grads-RE PROJ'!JS18/'WICHE Public Grads-RE PROJ'!AG18</f>
        <v>0.56548995560375936</v>
      </c>
      <c r="ID17" s="268">
        <f>+'WICHE Public Grads-RE PROJ'!JT18/'WICHE Public Grads-RE PROJ'!AH18</f>
        <v>0.55210213866194602</v>
      </c>
      <c r="IE17" s="266">
        <f>+'WICHE Public Grads-RE PROJ'!JU18/'WICHE Public Grads-RE PROJ'!AI18</f>
        <v>0.54054482473754517</v>
      </c>
      <c r="IF17" s="266">
        <f>+'WICHE Public Grads-RE PROJ'!JV18/'WICHE Public Grads-RE PROJ'!AJ18</f>
        <v>0.53452355604073054</v>
      </c>
      <c r="IG17" s="266">
        <f>+'WICHE Public Grads-RE PROJ'!JW18/'WICHE Public Grads-RE PROJ'!AK18</f>
        <v>0.53101663586503112</v>
      </c>
      <c r="IH17" s="266">
        <f>+'WICHE Public Grads-RE PROJ'!JX18/'WICHE Public Grads-RE PROJ'!AL18</f>
        <v>0.53534637299129539</v>
      </c>
      <c r="II17" s="266">
        <f>+'WICHE Public Grads-RE PROJ'!JY18/'WICHE Public Grads-RE PROJ'!AM18</f>
        <v>0.54174527862744337</v>
      </c>
      <c r="IJ17" s="266">
        <f>+'WICHE Public Grads-RE PROJ'!JZ18/'WICHE Public Grads-RE PROJ'!AN18</f>
        <v>0.54212174689558879</v>
      </c>
      <c r="IK17" s="266">
        <f>+'WICHE Public Grads-RE PROJ'!KA18/'WICHE Public Grads-RE PROJ'!AO18</f>
        <v>0.540147564625577</v>
      </c>
      <c r="IL17" s="266">
        <f>+'WICHE Public Grads-RE PROJ'!KB18/'WICHE Public Grads-RE PROJ'!AP18</f>
        <v>0.53698321913871028</v>
      </c>
      <c r="IM17" s="282">
        <f>+'WICHE Public Grads-RE PROJ'!KC18/'WICHE Public Grads-RE PROJ'!AQ18</f>
        <v>0.5381928763068744</v>
      </c>
      <c r="IN17" s="278">
        <f t="shared" si="5"/>
        <v>1</v>
      </c>
      <c r="IO17" s="278">
        <f t="shared" si="6"/>
        <v>1</v>
      </c>
      <c r="IP17" s="278">
        <f t="shared" si="7"/>
        <v>1</v>
      </c>
      <c r="IQ17" s="278">
        <f t="shared" si="8"/>
        <v>1</v>
      </c>
      <c r="IR17" s="278">
        <f t="shared" si="9"/>
        <v>1</v>
      </c>
      <c r="IS17" s="278">
        <f t="shared" si="10"/>
        <v>1</v>
      </c>
      <c r="IT17" s="278">
        <f t="shared" si="11"/>
        <v>1</v>
      </c>
      <c r="IU17" s="278">
        <f t="shared" si="12"/>
        <v>1</v>
      </c>
      <c r="IV17" s="278">
        <f t="shared" si="13"/>
        <v>1</v>
      </c>
      <c r="IW17" s="278">
        <f t="shared" si="14"/>
        <v>1</v>
      </c>
      <c r="IX17" s="278">
        <f t="shared" si="15"/>
        <v>1</v>
      </c>
      <c r="IY17" s="278">
        <f t="shared" si="16"/>
        <v>1</v>
      </c>
      <c r="IZ17" s="278">
        <f t="shared" si="17"/>
        <v>1</v>
      </c>
      <c r="JA17" s="278">
        <f t="shared" si="18"/>
        <v>1</v>
      </c>
      <c r="JB17" s="278">
        <f t="shared" si="19"/>
        <v>0.97649589362534228</v>
      </c>
      <c r="JC17" s="278">
        <f t="shared" si="20"/>
        <v>0.98382238823637724</v>
      </c>
      <c r="JD17" s="278">
        <f t="shared" si="21"/>
        <v>0.98150215468087909</v>
      </c>
      <c r="JE17" s="278">
        <f t="shared" si="22"/>
        <v>0.97849201955899989</v>
      </c>
      <c r="JF17" s="278">
        <f t="shared" si="23"/>
        <v>0.97726145382395391</v>
      </c>
      <c r="JG17" s="278">
        <f t="shared" si="24"/>
        <v>1</v>
      </c>
      <c r="JH17" s="278">
        <f t="shared" si="25"/>
        <v>1</v>
      </c>
      <c r="JI17" s="278">
        <f t="shared" si="26"/>
        <v>1</v>
      </c>
      <c r="JJ17" s="278">
        <f t="shared" si="27"/>
        <v>0.9941921791119217</v>
      </c>
      <c r="JK17" s="278">
        <f t="shared" si="28"/>
        <v>0.99550960296183977</v>
      </c>
      <c r="JL17" s="278">
        <f t="shared" si="29"/>
        <v>0.99947157388609376</v>
      </c>
      <c r="JM17" s="278">
        <f t="shared" si="30"/>
        <v>1.0011441440467872</v>
      </c>
      <c r="JN17" s="278">
        <f t="shared" si="31"/>
        <v>1.0011256414969465</v>
      </c>
      <c r="JO17" s="278">
        <f t="shared" si="32"/>
        <v>1.0018938169859948</v>
      </c>
      <c r="JP17" s="278">
        <f t="shared" si="33"/>
        <v>1.0045643150149772</v>
      </c>
      <c r="JQ17" s="278">
        <f t="shared" si="34"/>
        <v>1.0077410341068145</v>
      </c>
      <c r="JR17" s="278">
        <f t="shared" si="35"/>
        <v>1.0105738743489652</v>
      </c>
      <c r="JS17" s="278">
        <f t="shared" si="36"/>
        <v>1.0119260183749506</v>
      </c>
      <c r="JT17" s="278">
        <f t="shared" si="37"/>
        <v>1.0131066635988253</v>
      </c>
      <c r="JU17" s="278">
        <f t="shared" si="38"/>
        <v>1.0155068941196808</v>
      </c>
      <c r="JV17" s="278">
        <f t="shared" si="39"/>
        <v>1.0165401318897844</v>
      </c>
      <c r="JW17" s="278">
        <f t="shared" si="40"/>
        <v>1.0158029169224174</v>
      </c>
      <c r="JX17" s="278">
        <f t="shared" si="41"/>
        <v>1.0153865923970034</v>
      </c>
      <c r="JY17" s="278">
        <f t="shared" si="42"/>
        <v>1.0152166803750993</v>
      </c>
      <c r="JZ17" s="278">
        <f t="shared" si="42"/>
        <v>1.0170056265593803</v>
      </c>
      <c r="KA17" s="278">
        <f t="shared" si="42"/>
        <v>1.0166885486566906</v>
      </c>
      <c r="KB17" s="278">
        <f t="shared" si="42"/>
        <v>1.0185303331698505</v>
      </c>
    </row>
    <row r="18" spans="1:288" s="17" customFormat="1">
      <c r="A18" s="173" t="s">
        <v>43</v>
      </c>
      <c r="B18" s="262">
        <f>+'WICHE Public Grads-RE PROJ'!AR19/'WICHE Public Grads-RE PROJ'!B19</f>
        <v>0.12708907254361801</v>
      </c>
      <c r="C18" s="262">
        <f>+'WICHE Public Grads-RE PROJ'!AS19/'WICHE Public Grads-RE PROJ'!C19</f>
        <v>0.14276892942126601</v>
      </c>
      <c r="D18" s="262">
        <f>+'WICHE Public Grads-RE PROJ'!AT19/'WICHE Public Grads-RE PROJ'!D19</f>
        <v>0.14231927710843373</v>
      </c>
      <c r="E18" s="262">
        <f>+'WICHE Public Grads-RE PROJ'!AU19/'WICHE Public Grads-RE PROJ'!E19</f>
        <v>0.16140101763104958</v>
      </c>
      <c r="F18" s="262">
        <f>+'WICHE Public Grads-RE PROJ'!AV19/'WICHE Public Grads-RE PROJ'!F19</f>
        <v>0.15366001209921354</v>
      </c>
      <c r="G18" s="262">
        <f>+'WICHE Public Grads-RE PROJ'!AW19/'WICHE Public Grads-RE PROJ'!G19</f>
        <v>0.15127027671755724</v>
      </c>
      <c r="H18" s="267">
        <f>+'WICHE Public Grads-RE PROJ'!AX19/'WICHE Public Grads-RE PROJ'!H19</f>
        <v>0.158662993780706</v>
      </c>
      <c r="I18" s="267">
        <f>+'WICHE Public Grads-RE PROJ'!AY19/'WICHE Public Grads-RE PROJ'!I19</f>
        <v>0.15816828974723712</v>
      </c>
      <c r="J18" s="267">
        <f>+'WICHE Public Grads-RE PROJ'!AZ19/'WICHE Public Grads-RE PROJ'!J19</f>
        <v>0.16742814641661796</v>
      </c>
      <c r="K18" s="267">
        <f>+'WICHE Public Grads-RE PROJ'!BA19/'WICHE Public Grads-RE PROJ'!K19</f>
        <v>0.17771904533077046</v>
      </c>
      <c r="L18" s="262">
        <f>+'WICHE Public Grads-RE PROJ'!BB19/'WICHE Public Grads-RE PROJ'!L19</f>
        <v>0.17925757082383589</v>
      </c>
      <c r="M18" s="267">
        <f>+'WICHE Public Grads-RE PROJ'!BC19/'WICHE Public Grads-RE PROJ'!M19</f>
        <v>0.18474409985283696</v>
      </c>
      <c r="N18" s="267">
        <f>+'WICHE Public Grads-RE PROJ'!BD19/'WICHE Public Grads-RE PROJ'!N19</f>
        <v>0.19043995760754368</v>
      </c>
      <c r="O18" s="267">
        <f>+'WICHE Public Grads-RE PROJ'!BE19/'WICHE Public Grads-RE PROJ'!O19</f>
        <v>0.19673171943577994</v>
      </c>
      <c r="P18" s="267">
        <f>+'WICHE Public Grads-RE PROJ'!BF19/'WICHE Public Grads-RE PROJ'!P19</f>
        <v>0.1979888757980108</v>
      </c>
      <c r="Q18" s="267">
        <f>+'WICHE Public Grads-RE PROJ'!BG19/'WICHE Public Grads-RE PROJ'!Q19</f>
        <v>0.20447439353099731</v>
      </c>
      <c r="R18" s="267">
        <f>+'WICHE Public Grads-RE PROJ'!BH19/'WICHE Public Grads-RE PROJ'!R19</f>
        <v>0.2029497741163965</v>
      </c>
      <c r="S18" s="267">
        <f>+'WICHE Public Grads-RE PROJ'!BI19/'WICHE Public Grads-RE PROJ'!S19</f>
        <v>0.21322442838335259</v>
      </c>
      <c r="T18" s="262">
        <f>+'WICHE Public Grads-RE PROJ'!BJ19/'WICHE Public Grads-RE PROJ'!T19</f>
        <v>0.21671038620367244</v>
      </c>
      <c r="U18" s="267">
        <f>+'WICHE Public Grads-RE PROJ'!BK19/'WICHE Public Grads-RE PROJ'!U19</f>
        <v>0.21283029481867891</v>
      </c>
      <c r="V18" s="267">
        <f>+'WICHE Public Grads-RE PROJ'!BL19/'WICHE Public Grads-RE PROJ'!V19</f>
        <v>0.20914025216540758</v>
      </c>
      <c r="W18" s="267">
        <f>+'WICHE Public Grads-RE PROJ'!BM19/'WICHE Public Grads-RE PROJ'!W19</f>
        <v>0.20670991274501177</v>
      </c>
      <c r="X18" s="268">
        <f>+'WICHE Public Grads-RE PROJ'!BN19/'WICHE Public Grads-RE PROJ'!Y19</f>
        <v>0.19841206601483399</v>
      </c>
      <c r="Y18" s="268">
        <f>+'WICHE Public Grads-RE PROJ'!BO19/'WICHE Public Grads-RE PROJ'!Z19</f>
        <v>0.19503323966184627</v>
      </c>
      <c r="Z18" s="268">
        <f>+'WICHE Public Grads-RE PROJ'!BP19/'WICHE Public Grads-RE PROJ'!AA19</f>
        <v>0.19124669992231669</v>
      </c>
      <c r="AA18" s="268">
        <f>+'WICHE Public Grads-RE PROJ'!BQ19/'WICHE Public Grads-RE PROJ'!AB19</f>
        <v>0.18933679157991606</v>
      </c>
      <c r="AB18" s="266">
        <f>+'WICHE Public Grads-RE PROJ'!BR19/'WICHE Public Grads-RE PROJ'!AC19</f>
        <v>0.18381658515961527</v>
      </c>
      <c r="AC18" s="266">
        <f>+'WICHE Public Grads-RE PROJ'!BS19/'WICHE Public Grads-RE PROJ'!AD19</f>
        <v>0.18011581557396231</v>
      </c>
      <c r="AD18" s="266">
        <f>+'WICHE Public Grads-RE PROJ'!BT19/'WICHE Public Grads-RE PROJ'!AE19</f>
        <v>0.17320491342359859</v>
      </c>
      <c r="AE18" s="266">
        <f>+'WICHE Public Grads-RE PROJ'!BU19/'WICHE Public Grads-RE PROJ'!AF19</f>
        <v>0.16592303783365384</v>
      </c>
      <c r="AF18" s="266">
        <f>+'WICHE Public Grads-RE PROJ'!BV19/'WICHE Public Grads-RE PROJ'!AG19</f>
        <v>0.16355407620206583</v>
      </c>
      <c r="AG18" s="268">
        <f>+'WICHE Public Grads-RE PROJ'!BW19/'WICHE Public Grads-RE PROJ'!AH19</f>
        <v>0.15654669092020077</v>
      </c>
      <c r="AH18" s="266">
        <f>+'WICHE Public Grads-RE PROJ'!BX19/'WICHE Public Grads-RE PROJ'!AI19</f>
        <v>0.15266173716417628</v>
      </c>
      <c r="AI18" s="266">
        <f>+'WICHE Public Grads-RE PROJ'!BY19/'WICHE Public Grads-RE PROJ'!AJ19</f>
        <v>0.1429673107468554</v>
      </c>
      <c r="AJ18" s="266">
        <f>+'WICHE Public Grads-RE PROJ'!BZ19/'WICHE Public Grads-RE PROJ'!AK19</f>
        <v>0.1624391008656017</v>
      </c>
      <c r="AK18" s="266">
        <f>+'WICHE Public Grads-RE PROJ'!CA19/'WICHE Public Grads-RE PROJ'!AL19</f>
        <v>0.16177961269714861</v>
      </c>
      <c r="AL18" s="266">
        <f>+'WICHE Public Grads-RE PROJ'!CB19/'WICHE Public Grads-RE PROJ'!AM19</f>
        <v>0.16167489366463181</v>
      </c>
      <c r="AM18" s="266">
        <f>+'WICHE Public Grads-RE PROJ'!CC19/'WICHE Public Grads-RE PROJ'!AN19</f>
        <v>0.16390463108983611</v>
      </c>
      <c r="AN18" s="266">
        <f>+'WICHE Public Grads-RE PROJ'!CD19/'WICHE Public Grads-RE PROJ'!AO19</f>
        <v>0.16229270617567415</v>
      </c>
      <c r="AO18" s="266">
        <f>+'WICHE Public Grads-RE PROJ'!CE19/'WICHE Public Grads-RE PROJ'!AP19</f>
        <v>0.15995061331387117</v>
      </c>
      <c r="AP18" s="282">
        <f>+'WICHE Public Grads-RE PROJ'!CF19/'WICHE Public Grads-RE PROJ'!AQ19</f>
        <v>0.16471861485102243</v>
      </c>
      <c r="AQ18" s="262">
        <f>+'WICHE Public Grads-RE PROJ'!CG19/'WICHE Public Grads-RE PROJ'!B19</f>
        <v>0.11098867462503827</v>
      </c>
      <c r="AR18" s="262">
        <f>+'WICHE Public Grads-RE PROJ'!CH19/'WICHE Public Grads-RE PROJ'!C19</f>
        <v>0.12964557097919793</v>
      </c>
      <c r="AS18" s="262">
        <f>+'WICHE Public Grads-RE PROJ'!CI19/'WICHE Public Grads-RE PROJ'!D19</f>
        <v>0.12478037148594377</v>
      </c>
      <c r="AT18" s="262">
        <f>+'WICHE Public Grads-RE PROJ'!CJ19/'WICHE Public Grads-RE PROJ'!E19</f>
        <v>0.14510117145899892</v>
      </c>
      <c r="AU18" s="262">
        <f>+'WICHE Public Grads-RE PROJ'!CK19/'WICHE Public Grads-RE PROJ'!F19</f>
        <v>0.13542044767090139</v>
      </c>
      <c r="AV18" s="262">
        <f>+'WICHE Public Grads-RE PROJ'!CL19/'WICHE Public Grads-RE PROJ'!G19</f>
        <v>0.13639074427480916</v>
      </c>
      <c r="AW18" s="267">
        <f>+'WICHE Public Grads-RE PROJ'!CM19/'WICHE Public Grads-RE PROJ'!H19</f>
        <v>0.14332774827478489</v>
      </c>
      <c r="AX18" s="267">
        <f>+'WICHE Public Grads-RE PROJ'!CN19/'WICHE Public Grads-RE PROJ'!I19</f>
        <v>0.14200131305394464</v>
      </c>
      <c r="AY18" s="267">
        <f>+'WICHE Public Grads-RE PROJ'!CO19/'WICHE Public Grads-RE PROJ'!J19</f>
        <v>0.14997609307761781</v>
      </c>
      <c r="AZ18" s="267">
        <f>+'WICHE Public Grads-RE PROJ'!CP19/'WICHE Public Grads-RE PROJ'!K19</f>
        <v>0.1576699236478189</v>
      </c>
      <c r="BA18" s="262">
        <f>+'WICHE Public Grads-RE PROJ'!CQ19/'WICHE Public Grads-RE PROJ'!L19</f>
        <v>0.16161945077607728</v>
      </c>
      <c r="BB18" s="267">
        <f>+'WICHE Public Grads-RE PROJ'!CR19/'WICHE Public Grads-RE PROJ'!M19</f>
        <v>0.16689377009865372</v>
      </c>
      <c r="BC18" s="267">
        <f>+'WICHE Public Grads-RE PROJ'!CS19/'WICHE Public Grads-RE PROJ'!N19</f>
        <v>0.17068398597787984</v>
      </c>
      <c r="BD18" s="267">
        <f>+'WICHE Public Grads-RE PROJ'!CT19/'WICHE Public Grads-RE PROJ'!O19</f>
        <v>0.17782317056339195</v>
      </c>
      <c r="BE18" s="267">
        <f>+'WICHE Public Grads-RE PROJ'!CU19/'WICHE Public Grads-RE PROJ'!P19</f>
        <v>0.17793243280269611</v>
      </c>
      <c r="BF18" s="267">
        <f>+'WICHE Public Grads-RE PROJ'!CV19/'WICHE Public Grads-RE PROJ'!Q19</f>
        <v>0.18140161725067386</v>
      </c>
      <c r="BG18" s="267">
        <f>+'WICHE Public Grads-RE PROJ'!CW19/'WICHE Public Grads-RE PROJ'!R19</f>
        <v>0.17990964655859687</v>
      </c>
      <c r="BH18" s="267">
        <f>+'WICHE Public Grads-RE PROJ'!CX19/'WICHE Public Grads-RE PROJ'!S19</f>
        <v>0.18898949461296649</v>
      </c>
      <c r="BI18" s="262">
        <f>+'WICHE Public Grads-RE PROJ'!CY19/'WICHE Public Grads-RE PROJ'!T19</f>
        <v>0.18910214788458043</v>
      </c>
      <c r="BJ18" s="267">
        <f>+'WICHE Public Grads-RE PROJ'!CZ19/'WICHE Public Grads-RE PROJ'!U19</f>
        <v>0.18446844858826869</v>
      </c>
      <c r="BK18" s="267">
        <f>+'WICHE Public Grads-RE PROJ'!DA19/'WICHE Public Grads-RE PROJ'!V19</f>
        <v>0.1817400279433595</v>
      </c>
      <c r="BL18" s="267">
        <f>+'WICHE Public Grads-RE PROJ'!DB19/'WICHE Public Grads-RE PROJ'!W19</f>
        <v>0.18064583748590135</v>
      </c>
      <c r="BM18" s="268">
        <f>+'WICHE Public Grads-RE PROJ'!DC19/'WICHE Public Grads-RE PROJ'!Y19</f>
        <v>0.17123013553142266</v>
      </c>
      <c r="BN18" s="268">
        <f>+'WICHE Public Grads-RE PROJ'!DD19/'WICHE Public Grads-RE PROJ'!Z19</f>
        <v>0.16582756786354286</v>
      </c>
      <c r="BO18" s="268">
        <f>+'WICHE Public Grads-RE PROJ'!DE19/'WICHE Public Grads-RE PROJ'!AA19</f>
        <v>0.16354256816535664</v>
      </c>
      <c r="BP18" s="268">
        <f>+'WICHE Public Grads-RE PROJ'!DF19/'WICHE Public Grads-RE PROJ'!AB19</f>
        <v>0.16066207718412237</v>
      </c>
      <c r="BQ18" s="266">
        <f>+'WICHE Public Grads-RE PROJ'!DG19/'WICHE Public Grads-RE PROJ'!AC19</f>
        <v>0.15738309247257945</v>
      </c>
      <c r="BR18" s="266">
        <f>+'WICHE Public Grads-RE PROJ'!DH19/'WICHE Public Grads-RE PROJ'!AD19</f>
        <v>0.15013765790360412</v>
      </c>
      <c r="BS18" s="266">
        <f>+'WICHE Public Grads-RE PROJ'!DI19/'WICHE Public Grads-RE PROJ'!AE19</f>
        <v>0.14436992925665393</v>
      </c>
      <c r="BT18" s="266">
        <f>+'WICHE Public Grads-RE PROJ'!DJ19/'WICHE Public Grads-RE PROJ'!AF19</f>
        <v>0.13554486540225025</v>
      </c>
      <c r="BU18" s="266">
        <f>+'WICHE Public Grads-RE PROJ'!DK19/'WICHE Public Grads-RE PROJ'!AG19</f>
        <v>0.13238930380114777</v>
      </c>
      <c r="BV18" s="268">
        <f>+'WICHE Public Grads-RE PROJ'!DL19/'WICHE Public Grads-RE PROJ'!AH19</f>
        <v>0.12739009015914501</v>
      </c>
      <c r="BW18" s="266">
        <f>+'WICHE Public Grads-RE PROJ'!DM19/'WICHE Public Grads-RE PROJ'!AI19</f>
        <v>0.12288247240550311</v>
      </c>
      <c r="BX18" s="266">
        <f>+'WICHE Public Grads-RE PROJ'!DN19/'WICHE Public Grads-RE PROJ'!AJ19</f>
        <v>0.11363396598260513</v>
      </c>
      <c r="BY18" s="266">
        <f>+'WICHE Public Grads-RE PROJ'!DO19/'WICHE Public Grads-RE PROJ'!AK19</f>
        <v>0.1310744639663122</v>
      </c>
      <c r="BZ18" s="266">
        <f>+'WICHE Public Grads-RE PROJ'!DP19/'WICHE Public Grads-RE PROJ'!AL19</f>
        <v>0.12755715202399956</v>
      </c>
      <c r="CA18" s="266">
        <f>+'WICHE Public Grads-RE PROJ'!DQ19/'WICHE Public Grads-RE PROJ'!AM19</f>
        <v>0.12730001633207416</v>
      </c>
      <c r="CB18" s="266">
        <f>+'WICHE Public Grads-RE PROJ'!DR19/'WICHE Public Grads-RE PROJ'!AN19</f>
        <v>0.12513660574677593</v>
      </c>
      <c r="CC18" s="266">
        <f>+'WICHE Public Grads-RE PROJ'!DS19/'WICHE Public Grads-RE PROJ'!AO19</f>
        <v>0.12164648511721987</v>
      </c>
      <c r="CD18" s="266">
        <f>+'WICHE Public Grads-RE PROJ'!DT19/'WICHE Public Grads-RE PROJ'!AP19</f>
        <v>0.11945502046614735</v>
      </c>
      <c r="CE18" s="282">
        <f>+'WICHE Public Grads-RE PROJ'!DU19/'WICHE Public Grads-RE PROJ'!AQ19</f>
        <v>0.12032233907954128</v>
      </c>
      <c r="CF18" s="262">
        <f>+'WICHE Public Grads-RE PROJ'!DV19/'WICHE Public Grads-RE PROJ'!B19</f>
        <v>1.6100397918579736E-2</v>
      </c>
      <c r="CG18" s="262">
        <f>+'WICHE Public Grads-RE PROJ'!DW19/'WICHE Public Grads-RE PROJ'!C19</f>
        <v>1.3123358442068078E-2</v>
      </c>
      <c r="CH18" s="262">
        <f>+'WICHE Public Grads-RE PROJ'!DX19/'WICHE Public Grads-RE PROJ'!D19</f>
        <v>1.7538905622489959E-2</v>
      </c>
      <c r="CI18" s="262">
        <f>+'WICHE Public Grads-RE PROJ'!DY19/'WICHE Public Grads-RE PROJ'!E19</f>
        <v>1.6299846172050644E-2</v>
      </c>
      <c r="CJ18" s="262">
        <f>+'WICHE Public Grads-RE PROJ'!DZ19/'WICHE Public Grads-RE PROJ'!F19</f>
        <v>1.823956442831216E-2</v>
      </c>
      <c r="CK18" s="262">
        <f>+'WICHE Public Grads-RE PROJ'!EA19/'WICHE Public Grads-RE PROJ'!G19</f>
        <v>1.4879532442748091E-2</v>
      </c>
      <c r="CL18" s="267">
        <f>+'WICHE Public Grads-RE PROJ'!EB19/'WICHE Public Grads-RE PROJ'!H19</f>
        <v>1.5335245505921108E-2</v>
      </c>
      <c r="CM18" s="267">
        <f>+'WICHE Public Grads-RE PROJ'!EC19/'WICHE Public Grads-RE PROJ'!I19</f>
        <v>1.6166976693292482E-2</v>
      </c>
      <c r="CN18" s="267">
        <f>+'WICHE Public Grads-RE PROJ'!ED19/'WICHE Public Grads-RE PROJ'!J19</f>
        <v>1.745205333900016E-2</v>
      </c>
      <c r="CO18" s="267">
        <f>+'WICHE Public Grads-RE PROJ'!EE19/'WICHE Public Grads-RE PROJ'!K19</f>
        <v>2.0049121682951573E-2</v>
      </c>
      <c r="CP18" s="262">
        <f>+'WICHE Public Grads-RE PROJ'!EF19/'WICHE Public Grads-RE PROJ'!L19</f>
        <v>1.7638120047758603E-2</v>
      </c>
      <c r="CQ18" s="267">
        <f>+'WICHE Public Grads-RE PROJ'!EG19/'WICHE Public Grads-RE PROJ'!M19</f>
        <v>1.7850329754183245E-2</v>
      </c>
      <c r="CR18" s="267">
        <f>+'WICHE Public Grads-RE PROJ'!EH19/'WICHE Public Grads-RE PROJ'!N19</f>
        <v>1.9755971629663849E-2</v>
      </c>
      <c r="CS18" s="267">
        <f>+'WICHE Public Grads-RE PROJ'!EI19/'WICHE Public Grads-RE PROJ'!O19</f>
        <v>1.8908548872387999E-2</v>
      </c>
      <c r="CT18" s="267">
        <f>+'WICHE Public Grads-RE PROJ'!EJ19/'WICHE Public Grads-RE PROJ'!P19</f>
        <v>2.0056442995314682E-2</v>
      </c>
      <c r="CU18" s="267">
        <f>+'WICHE Public Grads-RE PROJ'!EK19/'WICHE Public Grads-RE PROJ'!Q19</f>
        <v>2.3072776280323452E-2</v>
      </c>
      <c r="CV18" s="267">
        <f>+'WICHE Public Grads-RE PROJ'!EL19/'WICHE Public Grads-RE PROJ'!R19</f>
        <v>2.3040127557799626E-2</v>
      </c>
      <c r="CW18" s="267">
        <f>+'WICHE Public Grads-RE PROJ'!EM19/'WICHE Public Grads-RE PROJ'!S19</f>
        <v>2.4234933770386092E-2</v>
      </c>
      <c r="CX18" s="262">
        <f>+'WICHE Public Grads-RE PROJ'!EN19/'WICHE Public Grads-RE PROJ'!T19</f>
        <v>2.760823831909202E-2</v>
      </c>
      <c r="CY18" s="267">
        <f>+'WICHE Public Grads-RE PROJ'!EO19/'WICHE Public Grads-RE PROJ'!U19</f>
        <v>2.8361846230410215E-2</v>
      </c>
      <c r="CZ18" s="267">
        <f>+'WICHE Public Grads-RE PROJ'!EP19/'WICHE Public Grads-RE PROJ'!V19</f>
        <v>2.7400224222048093E-2</v>
      </c>
      <c r="DA18" s="267">
        <f>+'WICHE Public Grads-RE PROJ'!EQ19/'WICHE Public Grads-RE PROJ'!W19</f>
        <v>2.6064075259110402E-2</v>
      </c>
      <c r="DB18" s="268">
        <f>+'WICHE Public Grads-RE PROJ'!ER19/'WICHE Public Grads-RE PROJ'!Y19</f>
        <v>2.7181930483411349E-2</v>
      </c>
      <c r="DC18" s="268">
        <f>+'WICHE Public Grads-RE PROJ'!ES19/'WICHE Public Grads-RE PROJ'!Z19</f>
        <v>2.9205671798303422E-2</v>
      </c>
      <c r="DD18" s="268">
        <f>+'WICHE Public Grads-RE PROJ'!ET19/'WICHE Public Grads-RE PROJ'!AA19</f>
        <v>2.7704131756960061E-2</v>
      </c>
      <c r="DE18" s="268">
        <f>+'WICHE Public Grads-RE PROJ'!EU19/'WICHE Public Grads-RE PROJ'!AB19</f>
        <v>2.8674714395793707E-2</v>
      </c>
      <c r="DF18" s="266">
        <f>+'WICHE Public Grads-RE PROJ'!EV19/'WICHE Public Grads-RE PROJ'!AC19</f>
        <v>2.6433492687035792E-2</v>
      </c>
      <c r="DG18" s="266">
        <f>+'WICHE Public Grads-RE PROJ'!EW19/'WICHE Public Grads-RE PROJ'!AD19</f>
        <v>2.9978157670358191E-2</v>
      </c>
      <c r="DH18" s="266">
        <f>+'WICHE Public Grads-RE PROJ'!EX19/'WICHE Public Grads-RE PROJ'!AE19</f>
        <v>2.8834984166944674E-2</v>
      </c>
      <c r="DI18" s="266">
        <f>+'WICHE Public Grads-RE PROJ'!EY19/'WICHE Public Grads-RE PROJ'!AF19</f>
        <v>3.0378172431403564E-2</v>
      </c>
      <c r="DJ18" s="266">
        <f>+'WICHE Public Grads-RE PROJ'!EZ19/'WICHE Public Grads-RE PROJ'!AG19</f>
        <v>3.1164772400918049E-2</v>
      </c>
      <c r="DK18" s="268">
        <f>+'WICHE Public Grads-RE PROJ'!FA19/'WICHE Public Grads-RE PROJ'!AH19</f>
        <v>2.9156600761055775E-2</v>
      </c>
      <c r="DL18" s="266">
        <f>+'WICHE Public Grads-RE PROJ'!FB19/'WICHE Public Grads-RE PROJ'!AI19</f>
        <v>2.9779264758673155E-2</v>
      </c>
      <c r="DM18" s="266">
        <f>+'WICHE Public Grads-RE PROJ'!FC19/'WICHE Public Grads-RE PROJ'!AJ19</f>
        <v>2.9333344764250275E-2</v>
      </c>
      <c r="DN18" s="266">
        <f>+'WICHE Public Grads-RE PROJ'!FD19/'WICHE Public Grads-RE PROJ'!AK19</f>
        <v>3.1364636899289498E-2</v>
      </c>
      <c r="DO18" s="266">
        <f>+'WICHE Public Grads-RE PROJ'!FE19/'WICHE Public Grads-RE PROJ'!AL19</f>
        <v>3.4222460673149019E-2</v>
      </c>
      <c r="DP18" s="266">
        <f>+'WICHE Public Grads-RE PROJ'!FF19/'WICHE Public Grads-RE PROJ'!AM19</f>
        <v>3.4374877332557625E-2</v>
      </c>
      <c r="DQ18" s="266">
        <f>+'WICHE Public Grads-RE PROJ'!FG19/'WICHE Public Grads-RE PROJ'!AN19</f>
        <v>3.8768025343060154E-2</v>
      </c>
      <c r="DR18" s="266">
        <f>+'WICHE Public Grads-RE PROJ'!FH19/'WICHE Public Grads-RE PROJ'!AO19</f>
        <v>4.0646221058454265E-2</v>
      </c>
      <c r="DS18" s="266">
        <f>+'WICHE Public Grads-RE PROJ'!FI19/'WICHE Public Grads-RE PROJ'!AP19</f>
        <v>4.0495592847723819E-2</v>
      </c>
      <c r="DT18" s="282">
        <f>+'WICHE Public Grads-RE PROJ'!FJ19/'WICHE Public Grads-RE PROJ'!AQ19</f>
        <v>4.4396275771481156E-2</v>
      </c>
      <c r="DU18" s="262">
        <f>+'WICHE Public Grads-RE PROJ'!FK19/'WICHE Public Grads-RE PROJ'!B19</f>
        <v>8.292011019283746E-2</v>
      </c>
      <c r="DV18" s="262">
        <f>+'WICHE Public Grads-RE PROJ'!FL19/'WICHE Public Grads-RE PROJ'!C19</f>
        <v>8.4221040634004915E-2</v>
      </c>
      <c r="DW18" s="262">
        <f>+'WICHE Public Grads-RE PROJ'!FM19/'WICHE Public Grads-RE PROJ'!D19</f>
        <v>8.279994979919679E-2</v>
      </c>
      <c r="DX18" s="262">
        <f>+'WICHE Public Grads-RE PROJ'!FN19/'WICHE Public Grads-RE PROJ'!E19</f>
        <v>8.4368713761685005E-2</v>
      </c>
      <c r="DY18" s="262">
        <f>+'WICHE Public Grads-RE PROJ'!FO19/'WICHE Public Grads-RE PROJ'!F19</f>
        <v>8.5450695704779187E-2</v>
      </c>
      <c r="DZ18" s="262">
        <f>+'WICHE Public Grads-RE PROJ'!FP19/'WICHE Public Grads-RE PROJ'!G19</f>
        <v>8.8651001908396948E-2</v>
      </c>
      <c r="EA18" s="267">
        <f>+'WICHE Public Grads-RE PROJ'!FQ19/'WICHE Public Grads-RE PROJ'!H19</f>
        <v>8.922840996222986E-2</v>
      </c>
      <c r="EB18" s="267">
        <f>+'WICHE Public Grads-RE PROJ'!FR19/'WICHE Public Grads-RE PROJ'!I19</f>
        <v>8.7728416675785098E-2</v>
      </c>
      <c r="EC18" s="267">
        <f>+'WICHE Public Grads-RE PROJ'!FS19/'WICHE Public Grads-RE PROJ'!J19</f>
        <v>8.3196089890028163E-2</v>
      </c>
      <c r="ED18" s="267">
        <f>+'WICHE Public Grads-RE PROJ'!FT19/'WICHE Public Grads-RE PROJ'!K19</f>
        <v>8.6576966202146402E-2</v>
      </c>
      <c r="EE18" s="262">
        <f>+'WICHE Public Grads-RE PROJ'!FU19/'WICHE Public Grads-RE PROJ'!L19</f>
        <v>8.9520243134700972E-2</v>
      </c>
      <c r="EF18" s="267">
        <f>+'WICHE Public Grads-RE PROJ'!FV19/'WICHE Public Grads-RE PROJ'!M19</f>
        <v>9.1431841717992041E-2</v>
      </c>
      <c r="EG18" s="267">
        <f>+'WICHE Public Grads-RE PROJ'!FW19/'WICHE Public Grads-RE PROJ'!N19</f>
        <v>9.2013369928530667E-2</v>
      </c>
      <c r="EH18" s="267">
        <f>+'WICHE Public Grads-RE PROJ'!FX19/'WICHE Public Grads-RE PROJ'!O19</f>
        <v>9.5205233665498115E-2</v>
      </c>
      <c r="EI18" s="267">
        <f>+'WICHE Public Grads-RE PROJ'!FY19/'WICHE Public Grads-RE PROJ'!P19</f>
        <v>9.7761459846014739E-2</v>
      </c>
      <c r="EJ18" s="267">
        <f>+'WICHE Public Grads-RE PROJ'!FZ19/'WICHE Public Grads-RE PROJ'!Q19</f>
        <v>9.7008086253369277E-2</v>
      </c>
      <c r="EK18" s="267">
        <f>+'WICHE Public Grads-RE PROJ'!GA19/'WICHE Public Grads-RE PROJ'!R19</f>
        <v>0.10433165027903268</v>
      </c>
      <c r="EL18" s="267">
        <f>+'WICHE Public Grads-RE PROJ'!GB19/'WICHE Public Grads-RE PROJ'!S19</f>
        <v>9.7880114995029424E-2</v>
      </c>
      <c r="EM18" s="262">
        <f>+'WICHE Public Grads-RE PROJ'!GC19/'WICHE Public Grads-RE PROJ'!T19</f>
        <v>9.8615692283718151E-2</v>
      </c>
      <c r="EN18" s="267">
        <f>+'WICHE Public Grads-RE PROJ'!GD19/'WICHE Public Grads-RE PROJ'!U19</f>
        <v>9.6168144836518296E-2</v>
      </c>
      <c r="EO18" s="267">
        <f>+'WICHE Public Grads-RE PROJ'!GE19/'WICHE Public Grads-RE PROJ'!V19</f>
        <v>9.7892276798130382E-2</v>
      </c>
      <c r="EP18" s="267">
        <f>+'WICHE Public Grads-RE PROJ'!GF19/'WICHE Public Grads-RE PROJ'!W19</f>
        <v>9.629730151052783E-2</v>
      </c>
      <c r="EQ18" s="268">
        <f>+'WICHE Public Grads-RE PROJ'!GG19/'WICHE Public Grads-RE PROJ'!Y19</f>
        <v>9.5931534076894906E-2</v>
      </c>
      <c r="ER18" s="268">
        <f>+'WICHE Public Grads-RE PROJ'!GH19/'WICHE Public Grads-RE PROJ'!Z19</f>
        <v>9.3455330701087233E-2</v>
      </c>
      <c r="ES18" s="268">
        <f>+'WICHE Public Grads-RE PROJ'!GI19/'WICHE Public Grads-RE PROJ'!AA19</f>
        <v>9.3583471545302749E-2</v>
      </c>
      <c r="ET18" s="268">
        <f>+'WICHE Public Grads-RE PROJ'!GJ19/'WICHE Public Grads-RE PROJ'!AB19</f>
        <v>8.8536993032778052E-2</v>
      </c>
      <c r="EU18" s="266">
        <f>+'WICHE Public Grads-RE PROJ'!GK19/'WICHE Public Grads-RE PROJ'!AC19</f>
        <v>8.954462950096774E-2</v>
      </c>
      <c r="EV18" s="266">
        <f>+'WICHE Public Grads-RE PROJ'!GL19/'WICHE Public Grads-RE PROJ'!AD19</f>
        <v>8.6131907084160922E-2</v>
      </c>
      <c r="EW18" s="266">
        <f>+'WICHE Public Grads-RE PROJ'!GM19/'WICHE Public Grads-RE PROJ'!AE19</f>
        <v>8.6580304010582837E-2</v>
      </c>
      <c r="EX18" s="266">
        <f>+'WICHE Public Grads-RE PROJ'!GN19/'WICHE Public Grads-RE PROJ'!AF19</f>
        <v>8.2861883064372865E-2</v>
      </c>
      <c r="EY18" s="266">
        <f>+'WICHE Public Grads-RE PROJ'!GO19/'WICHE Public Grads-RE PROJ'!AG19</f>
        <v>8.1644984817529243E-2</v>
      </c>
      <c r="EZ18" s="268">
        <f>+'WICHE Public Grads-RE PROJ'!GP19/'WICHE Public Grads-RE PROJ'!AH19</f>
        <v>8.0316861347848462E-2</v>
      </c>
      <c r="FA18" s="266">
        <f>+'WICHE Public Grads-RE PROJ'!GQ19/'WICHE Public Grads-RE PROJ'!AI19</f>
        <v>7.881771482589052E-2</v>
      </c>
      <c r="FB18" s="266">
        <f>+'WICHE Public Grads-RE PROJ'!GR19/'WICHE Public Grads-RE PROJ'!AJ19</f>
        <v>7.8315321605901766E-2</v>
      </c>
      <c r="FC18" s="266">
        <f>+'WICHE Public Grads-RE PROJ'!GS19/'WICHE Public Grads-RE PROJ'!AK19</f>
        <v>8.0322324521620317E-2</v>
      </c>
      <c r="FD18" s="266">
        <f>+'WICHE Public Grads-RE PROJ'!GT19/'WICHE Public Grads-RE PROJ'!AL19</f>
        <v>8.2491849092780484E-2</v>
      </c>
      <c r="FE18" s="266">
        <f>+'WICHE Public Grads-RE PROJ'!GU19/'WICHE Public Grads-RE PROJ'!AM19</f>
        <v>7.9586389836324933E-2</v>
      </c>
      <c r="FF18" s="266">
        <f>+'WICHE Public Grads-RE PROJ'!GV19/'WICHE Public Grads-RE PROJ'!AN19</f>
        <v>8.0918606266388998E-2</v>
      </c>
      <c r="FG18" s="266">
        <f>+'WICHE Public Grads-RE PROJ'!GW19/'WICHE Public Grads-RE PROJ'!AO19</f>
        <v>8.204237539908743E-2</v>
      </c>
      <c r="FH18" s="266">
        <f>+'WICHE Public Grads-RE PROJ'!GX19/'WICHE Public Grads-RE PROJ'!AP19</f>
        <v>7.9786344335217349E-2</v>
      </c>
      <c r="FI18" s="282">
        <f>+'WICHE Public Grads-RE PROJ'!GY19/'WICHE Public Grads-RE PROJ'!AQ19</f>
        <v>8.3282402246572657E-2</v>
      </c>
      <c r="FJ18" s="262">
        <f>+'WICHE Public Grads-RE PROJ'!GZ19/'WICHE Public Grads-RE PROJ'!B19</f>
        <v>2.2865013774104683E-2</v>
      </c>
      <c r="FK18" s="262">
        <f>+'WICHE Public Grads-RE PROJ'!HA19/'WICHE Public Grads-RE PROJ'!C19</f>
        <v>2.5457239071109826E-2</v>
      </c>
      <c r="FL18" s="262">
        <f>+'WICHE Public Grads-RE PROJ'!HB19/'WICHE Public Grads-RE PROJ'!D19</f>
        <v>2.5257279116465862E-2</v>
      </c>
      <c r="FM18" s="262">
        <f>+'WICHE Public Grads-RE PROJ'!HC19/'WICHE Public Grads-RE PROJ'!E19</f>
        <v>2.5204117855875046E-2</v>
      </c>
      <c r="FN18" s="262">
        <f>+'WICHE Public Grads-RE PROJ'!HD19/'WICHE Public Grads-RE PROJ'!F19</f>
        <v>2.8100423472474288E-2</v>
      </c>
      <c r="FO18" s="262">
        <f>+'WICHE Public Grads-RE PROJ'!HE19/'WICHE Public Grads-RE PROJ'!G19</f>
        <v>3.0087070610687022E-2</v>
      </c>
      <c r="FP18" s="267">
        <f>+'WICHE Public Grads-RE PROJ'!HF19/'WICHE Public Grads-RE PROJ'!H19</f>
        <v>3.1948428137335644E-2</v>
      </c>
      <c r="FQ18" s="267">
        <f>+'WICHE Public Grads-RE PROJ'!HG19/'WICHE Public Grads-RE PROJ'!I19</f>
        <v>3.0309661888609257E-2</v>
      </c>
      <c r="FR18" s="267">
        <f>+'WICHE Public Grads-RE PROJ'!HH19/'WICHE Public Grads-RE PROJ'!J19</f>
        <v>3.3469691335068802E-2</v>
      </c>
      <c r="FS18" s="267">
        <f>+'WICHE Public Grads-RE PROJ'!HI19/'WICHE Public Grads-RE PROJ'!K19</f>
        <v>3.9831277697688079E-2</v>
      </c>
      <c r="FT18" s="262">
        <f>+'WICHE Public Grads-RE PROJ'!HJ19/'WICHE Public Grads-RE PROJ'!L19</f>
        <v>4.2385759253229134E-2</v>
      </c>
      <c r="FU18" s="267">
        <f>+'WICHE Public Grads-RE PROJ'!HK19/'WICHE Public Grads-RE PROJ'!M19</f>
        <v>4.3167820352101163E-2</v>
      </c>
      <c r="FV18" s="267">
        <f>+'WICHE Public Grads-RE PROJ'!HL19/'WICHE Public Grads-RE PROJ'!N19</f>
        <v>4.6903448463273462E-2</v>
      </c>
      <c r="FW18" s="267">
        <f>+'WICHE Public Grads-RE PROJ'!HM19/'WICHE Public Grads-RE PROJ'!O19</f>
        <v>5.3468407541336575E-2</v>
      </c>
      <c r="FX18" s="267">
        <f>+'WICHE Public Grads-RE PROJ'!HN19/'WICHE Public Grads-RE PROJ'!P19</f>
        <v>5.8388360687179765E-2</v>
      </c>
      <c r="FY18" s="267">
        <f>+'WICHE Public Grads-RE PROJ'!HO19/'WICHE Public Grads-RE PROJ'!Q19</f>
        <v>6.4285714285714279E-2</v>
      </c>
      <c r="FZ18" s="267">
        <f>+'WICHE Public Grads-RE PROJ'!HP19/'WICHE Public Grads-RE PROJ'!R19</f>
        <v>6.5798564974754184E-2</v>
      </c>
      <c r="GA18" s="267">
        <f>+'WICHE Public Grads-RE PROJ'!HQ19/'WICHE Public Grads-RE PROJ'!S19</f>
        <v>7.157634541497622E-2</v>
      </c>
      <c r="GB18" s="262">
        <f>+'WICHE Public Grads-RE PROJ'!HR19/'WICHE Public Grads-RE PROJ'!T19</f>
        <v>7.4539646261330292E-2</v>
      </c>
      <c r="GC18" s="267">
        <f>+'WICHE Public Grads-RE PROJ'!HS19/'WICHE Public Grads-RE PROJ'!U19</f>
        <v>8.2105765154726576E-2</v>
      </c>
      <c r="GD18" s="267">
        <f>+'WICHE Public Grads-RE PROJ'!HT19/'WICHE Public Grads-RE PROJ'!V19</f>
        <v>8.9693070633963271E-2</v>
      </c>
      <c r="GE18" s="267">
        <f>+'WICHE Public Grads-RE PROJ'!HU19/'WICHE Public Grads-RE PROJ'!W19</f>
        <v>9.7237598898279917E-2</v>
      </c>
      <c r="GF18" s="268">
        <f>+'WICHE Public Grads-RE PROJ'!HV19/'WICHE Public Grads-RE PROJ'!Y19</f>
        <v>0.11047224268451716</v>
      </c>
      <c r="GG18" s="268">
        <f>+'WICHE Public Grads-RE PROJ'!HW19/'WICHE Public Grads-RE PROJ'!Z19</f>
        <v>0.11759433028384086</v>
      </c>
      <c r="GH18" s="268">
        <f>+'WICHE Public Grads-RE PROJ'!HX19/'WICHE Public Grads-RE PROJ'!AA19</f>
        <v>0.12346039147274551</v>
      </c>
      <c r="GI18" s="268">
        <f>+'WICHE Public Grads-RE PROJ'!HY19/'WICHE Public Grads-RE PROJ'!AB19</f>
        <v>0.13058382603007818</v>
      </c>
      <c r="GJ18" s="266">
        <f>+'WICHE Public Grads-RE PROJ'!HZ19/'WICHE Public Grads-RE PROJ'!AC19</f>
        <v>0.14240638634049183</v>
      </c>
      <c r="GK18" s="266">
        <f>+'WICHE Public Grads-RE PROJ'!IA19/'WICHE Public Grads-RE PROJ'!AD19</f>
        <v>0.15600334478479586</v>
      </c>
      <c r="GL18" s="266">
        <f>+'WICHE Public Grads-RE PROJ'!IB19/'WICHE Public Grads-RE PROJ'!AE19</f>
        <v>0.16690922167046879</v>
      </c>
      <c r="GM18" s="266">
        <f>+'WICHE Public Grads-RE PROJ'!IC19/'WICHE Public Grads-RE PROJ'!AF19</f>
        <v>0.17823292800131757</v>
      </c>
      <c r="GN18" s="266">
        <f>+'WICHE Public Grads-RE PROJ'!ID19/'WICHE Public Grads-RE PROJ'!AG19</f>
        <v>0.19033525917204816</v>
      </c>
      <c r="GO18" s="268">
        <f>+'WICHE Public Grads-RE PROJ'!IE19/'WICHE Public Grads-RE PROJ'!AH19</f>
        <v>0.20008950895599562</v>
      </c>
      <c r="GP18" s="266">
        <f>+'WICHE Public Grads-RE PROJ'!IF19/'WICHE Public Grads-RE PROJ'!AI19</f>
        <v>0.21425873008809532</v>
      </c>
      <c r="GQ18" s="266">
        <f>+'WICHE Public Grads-RE PROJ'!IG19/'WICHE Public Grads-RE PROJ'!AJ19</f>
        <v>0.22571969656954646</v>
      </c>
      <c r="GR18" s="266">
        <f>+'WICHE Public Grads-RE PROJ'!IH19/'WICHE Public Grads-RE PROJ'!AK19</f>
        <v>0.21536405281415957</v>
      </c>
      <c r="GS18" s="266">
        <f>+'WICHE Public Grads-RE PROJ'!II19/'WICHE Public Grads-RE PROJ'!AL19</f>
        <v>0.22184307499536235</v>
      </c>
      <c r="GT18" s="266">
        <f>+'WICHE Public Grads-RE PROJ'!IJ19/'WICHE Public Grads-RE PROJ'!AM19</f>
        <v>0.21736743605966499</v>
      </c>
      <c r="GU18" s="266">
        <f>+'WICHE Public Grads-RE PROJ'!IK19/'WICHE Public Grads-RE PROJ'!AN19</f>
        <v>0.21399469841494931</v>
      </c>
      <c r="GV18" s="266">
        <f>+'WICHE Public Grads-RE PROJ'!IL19/'WICHE Public Grads-RE PROJ'!AO19</f>
        <v>0.21901408635082767</v>
      </c>
      <c r="GW18" s="266">
        <f>+'WICHE Public Grads-RE PROJ'!IM19/'WICHE Public Grads-RE PROJ'!AP19</f>
        <v>0.22600085011329574</v>
      </c>
      <c r="GX18" s="282">
        <f>+'WICHE Public Grads-RE PROJ'!IN19/'WICHE Public Grads-RE PROJ'!AQ19</f>
        <v>0.22635528585197473</v>
      </c>
      <c r="GY18" s="262">
        <f>+'WICHE Public Grads-RE PROJ'!IO19/'WICHE Public Grads-RE PROJ'!B19</f>
        <v>0.76712580348943982</v>
      </c>
      <c r="GZ18" s="262">
        <f>+'WICHE Public Grads-RE PROJ'!IP19/'WICHE Public Grads-RE PROJ'!C19</f>
        <v>0.74755279087361926</v>
      </c>
      <c r="HA18" s="262">
        <f>+'WICHE Public Grads-RE PROJ'!IQ19/'WICHE Public Grads-RE PROJ'!D19</f>
        <v>0.74962349397590367</v>
      </c>
      <c r="HB18" s="262">
        <f>+'WICHE Public Grads-RE PROJ'!IR19/'WICHE Public Grads-RE PROJ'!E19</f>
        <v>0.72902615075139032</v>
      </c>
      <c r="HC18" s="262">
        <f>+'WICHE Public Grads-RE PROJ'!IS19/'WICHE Public Grads-RE PROJ'!F19</f>
        <v>0.73278886872353299</v>
      </c>
      <c r="HD18" s="262">
        <f>+'WICHE Public Grads-RE PROJ'!IT19/'WICHE Public Grads-RE PROJ'!G19</f>
        <v>0.72999165076335881</v>
      </c>
      <c r="HE18" s="267">
        <f>+'WICHE Public Grads-RE PROJ'!IU19/'WICHE Public Grads-RE PROJ'!H19</f>
        <v>0.72016016811972849</v>
      </c>
      <c r="HF18" s="267">
        <f>+'WICHE Public Grads-RE PROJ'!IV19/'WICHE Public Grads-RE PROJ'!I19</f>
        <v>0.72379363168836852</v>
      </c>
      <c r="HG18" s="267">
        <f>+'WICHE Public Grads-RE PROJ'!IW19/'WICHE Public Grads-RE PROJ'!J19</f>
        <v>0.71590607235828507</v>
      </c>
      <c r="HH18" s="267">
        <f>+'WICHE Public Grads-RE PROJ'!IX19/'WICHE Public Grads-RE PROJ'!K19</f>
        <v>0.69587271076939505</v>
      </c>
      <c r="HI18" s="262">
        <f>+'WICHE Public Grads-RE PROJ'!IY19/'WICHE Public Grads-RE PROJ'!L19</f>
        <v>0.68883642678823398</v>
      </c>
      <c r="HJ18" s="267">
        <f>+'WICHE Public Grads-RE PROJ'!IZ19/'WICHE Public Grads-RE PROJ'!M19</f>
        <v>0.68065623807706988</v>
      </c>
      <c r="HK18" s="267">
        <f>+'WICHE Public Grads-RE PROJ'!JA19/'WICHE Public Grads-RE PROJ'!N19</f>
        <v>0.67064322400065224</v>
      </c>
      <c r="HL18" s="267">
        <f>+'WICHE Public Grads-RE PROJ'!JB19/'WICHE Public Grads-RE PROJ'!O19</f>
        <v>0.65459463935738538</v>
      </c>
      <c r="HM18" s="267">
        <f>+'WICHE Public Grads-RE PROJ'!JC19/'WICHE Public Grads-RE PROJ'!P19</f>
        <v>0.64586130366879468</v>
      </c>
      <c r="HN18" s="267">
        <f>+'WICHE Public Grads-RE PROJ'!JD19/'WICHE Public Grads-RE PROJ'!Q19</f>
        <v>0.63423180592991912</v>
      </c>
      <c r="HO18" s="267">
        <f>+'WICHE Public Grads-RE PROJ'!JE19/'WICHE Public Grads-RE PROJ'!R19</f>
        <v>0.62692001062981662</v>
      </c>
      <c r="HP18" s="267">
        <f>+'WICHE Public Grads-RE PROJ'!JF19/'WICHE Public Grads-RE PROJ'!S19</f>
        <v>0.61731911120664174</v>
      </c>
      <c r="HQ18" s="262">
        <f>+'WICHE Public Grads-RE PROJ'!JG19/'WICHE Public Grads-RE PROJ'!T19</f>
        <v>0.61013427525127917</v>
      </c>
      <c r="HR18" s="267">
        <f>+'WICHE Public Grads-RE PROJ'!JH19/'WICHE Public Grads-RE PROJ'!U19</f>
        <v>0.60889579519007619</v>
      </c>
      <c r="HS18" s="267">
        <f>+'WICHE Public Grads-RE PROJ'!JI19/'WICHE Public Grads-RE PROJ'!V19</f>
        <v>0.6032744004024988</v>
      </c>
      <c r="HT18" s="267">
        <f>+'WICHE Public Grads-RE PROJ'!JJ19/'WICHE Public Grads-RE PROJ'!W19</f>
        <v>0.59975518684618045</v>
      </c>
      <c r="HU18" s="268">
        <f>+'WICHE Public Grads-RE PROJ'!JK19/'WICHE Public Grads-RE PROJ'!Y19</f>
        <v>0.59422316043630008</v>
      </c>
      <c r="HV18" s="268">
        <f>+'WICHE Public Grads-RE PROJ'!JL19/'WICHE Public Grads-RE PROJ'!Z19</f>
        <v>0.59325268522700925</v>
      </c>
      <c r="HW18" s="268">
        <f>+'WICHE Public Grads-RE PROJ'!JM19/'WICHE Public Grads-RE PROJ'!AA19</f>
        <v>0.5906248812197693</v>
      </c>
      <c r="HX18" s="268">
        <f>+'WICHE Public Grads-RE PROJ'!JN19/'WICHE Public Grads-RE PROJ'!AB19</f>
        <v>0.59226961293738156</v>
      </c>
      <c r="HY18" s="266">
        <f>+'WICHE Public Grads-RE PROJ'!JO19/'WICHE Public Grads-RE PROJ'!AC19</f>
        <v>0.58582966401852044</v>
      </c>
      <c r="HZ18" s="266">
        <f>+'WICHE Public Grads-RE PROJ'!JP19/'WICHE Public Grads-RE PROJ'!AD19</f>
        <v>0.58329287378382866</v>
      </c>
      <c r="IA18" s="266">
        <f>+'WICHE Public Grads-RE PROJ'!JQ19/'WICHE Public Grads-RE PROJ'!AE19</f>
        <v>0.58138413795196542</v>
      </c>
      <c r="IB18" s="266">
        <f>+'WICHE Public Grads-RE PROJ'!JR19/'WICHE Public Grads-RE PROJ'!AF19</f>
        <v>0.5862479846941937</v>
      </c>
      <c r="IC18" s="266">
        <f>+'WICHE Public Grads-RE PROJ'!JS19/'WICHE Public Grads-RE PROJ'!AG19</f>
        <v>0.58130089131958895</v>
      </c>
      <c r="ID18" s="268">
        <f>+'WICHE Public Grads-RE PROJ'!JT19/'WICHE Public Grads-RE PROJ'!AH19</f>
        <v>0.58375238507941263</v>
      </c>
      <c r="IE18" s="266">
        <f>+'WICHE Public Grads-RE PROJ'!JU19/'WICHE Public Grads-RE PROJ'!AI19</f>
        <v>0.57992081357344605</v>
      </c>
      <c r="IF18" s="266">
        <f>+'WICHE Public Grads-RE PROJ'!JV19/'WICHE Public Grads-RE PROJ'!AJ19</f>
        <v>0.5856138911435278</v>
      </c>
      <c r="IG18" s="266">
        <f>+'WICHE Public Grads-RE PROJ'!JW19/'WICHE Public Grads-RE PROJ'!AK19</f>
        <v>0.57320796413322184</v>
      </c>
      <c r="IH18" s="266">
        <f>+'WICHE Public Grads-RE PROJ'!JX19/'WICHE Public Grads-RE PROJ'!AL19</f>
        <v>0.5679097758465359</v>
      </c>
      <c r="II18" s="266">
        <f>+'WICHE Public Grads-RE PROJ'!JY19/'WICHE Public Grads-RE PROJ'!AM19</f>
        <v>0.57319295088469591</v>
      </c>
      <c r="IJ18" s="266">
        <f>+'WICHE Public Grads-RE PROJ'!JZ19/'WICHE Public Grads-RE PROJ'!AN19</f>
        <v>0.5711249787291367</v>
      </c>
      <c r="IK18" s="266">
        <f>+'WICHE Public Grads-RE PROJ'!KA19/'WICHE Public Grads-RE PROJ'!AO19</f>
        <v>0.56943282509262716</v>
      </c>
      <c r="IL18" s="266">
        <f>+'WICHE Public Grads-RE PROJ'!KB19/'WICHE Public Grads-RE PROJ'!AP19</f>
        <v>0.56904142773537292</v>
      </c>
      <c r="IM18" s="282">
        <f>+'WICHE Public Grads-RE PROJ'!KC19/'WICHE Public Grads-RE PROJ'!AQ19</f>
        <v>0.56256388615786468</v>
      </c>
      <c r="IN18" s="278">
        <f t="shared" si="5"/>
        <v>1</v>
      </c>
      <c r="IO18" s="278">
        <f t="shared" si="6"/>
        <v>1</v>
      </c>
      <c r="IP18" s="278">
        <f t="shared" si="7"/>
        <v>1</v>
      </c>
      <c r="IQ18" s="278">
        <f t="shared" si="8"/>
        <v>1</v>
      </c>
      <c r="IR18" s="278">
        <f t="shared" si="9"/>
        <v>1</v>
      </c>
      <c r="IS18" s="278">
        <f t="shared" si="10"/>
        <v>1</v>
      </c>
      <c r="IT18" s="278">
        <f t="shared" si="11"/>
        <v>1</v>
      </c>
      <c r="IU18" s="278">
        <f t="shared" si="12"/>
        <v>1</v>
      </c>
      <c r="IV18" s="278">
        <f t="shared" si="13"/>
        <v>1</v>
      </c>
      <c r="IW18" s="278">
        <f t="shared" si="14"/>
        <v>1</v>
      </c>
      <c r="IX18" s="278">
        <f t="shared" si="15"/>
        <v>1</v>
      </c>
      <c r="IY18" s="278">
        <f t="shared" si="16"/>
        <v>1</v>
      </c>
      <c r="IZ18" s="278">
        <f t="shared" si="17"/>
        <v>1</v>
      </c>
      <c r="JA18" s="278">
        <f t="shared" si="18"/>
        <v>1</v>
      </c>
      <c r="JB18" s="278">
        <f t="shared" si="19"/>
        <v>1</v>
      </c>
      <c r="JC18" s="278">
        <f t="shared" si="20"/>
        <v>1</v>
      </c>
      <c r="JD18" s="278">
        <f t="shared" si="21"/>
        <v>1</v>
      </c>
      <c r="JE18" s="278">
        <f t="shared" si="22"/>
        <v>1</v>
      </c>
      <c r="JF18" s="278">
        <f t="shared" si="23"/>
        <v>1</v>
      </c>
      <c r="JG18" s="278">
        <f t="shared" si="24"/>
        <v>1</v>
      </c>
      <c r="JH18" s="278">
        <f t="shared" si="25"/>
        <v>1</v>
      </c>
      <c r="JI18" s="278">
        <f t="shared" si="26"/>
        <v>1</v>
      </c>
      <c r="JJ18" s="278">
        <f t="shared" si="27"/>
        <v>0.99903900321254613</v>
      </c>
      <c r="JK18" s="278">
        <f t="shared" si="28"/>
        <v>0.99933558587378357</v>
      </c>
      <c r="JL18" s="278">
        <f t="shared" si="29"/>
        <v>0.99891544416013422</v>
      </c>
      <c r="JM18" s="278">
        <f t="shared" si="30"/>
        <v>1.0007272235801539</v>
      </c>
      <c r="JN18" s="278">
        <f t="shared" si="31"/>
        <v>1.0015972650195952</v>
      </c>
      <c r="JO18" s="278">
        <f t="shared" si="32"/>
        <v>1.0055439412267477</v>
      </c>
      <c r="JP18" s="278">
        <f t="shared" si="33"/>
        <v>1.0080785770566156</v>
      </c>
      <c r="JQ18" s="278">
        <f t="shared" si="34"/>
        <v>1.0132658335935378</v>
      </c>
      <c r="JR18" s="278">
        <f t="shared" si="35"/>
        <v>1.0168352115112322</v>
      </c>
      <c r="JS18" s="278">
        <f t="shared" si="36"/>
        <v>1.0207054463034575</v>
      </c>
      <c r="JT18" s="278">
        <f t="shared" si="37"/>
        <v>1.0256589956516082</v>
      </c>
      <c r="JU18" s="278">
        <f t="shared" si="38"/>
        <v>1.0326162200658313</v>
      </c>
      <c r="JV18" s="278">
        <f t="shared" si="39"/>
        <v>1.0313334423346034</v>
      </c>
      <c r="JW18" s="278">
        <f t="shared" si="40"/>
        <v>1.0340243126318274</v>
      </c>
      <c r="JX18" s="278">
        <f t="shared" si="41"/>
        <v>1.0318216704453176</v>
      </c>
      <c r="JY18" s="278">
        <f t="shared" si="42"/>
        <v>1.0299429145003112</v>
      </c>
      <c r="JZ18" s="278">
        <f t="shared" si="42"/>
        <v>1.0327819930182165</v>
      </c>
      <c r="KA18" s="278">
        <f t="shared" si="42"/>
        <v>1.0347792354977572</v>
      </c>
      <c r="KB18" s="278">
        <f t="shared" si="42"/>
        <v>1.0369201891074344</v>
      </c>
    </row>
    <row r="19" spans="1:288" s="17" customFormat="1">
      <c r="A19" s="173" t="s">
        <v>44</v>
      </c>
      <c r="B19" s="262">
        <f>+'WICHE Public Grads-RE PROJ'!AR20/'WICHE Public Grads-RE PROJ'!B20</f>
        <v>1.0971024534800635E-2</v>
      </c>
      <c r="C19" s="262">
        <f>+'WICHE Public Grads-RE PROJ'!AS20/'WICHE Public Grads-RE PROJ'!C20</f>
        <v>1.019759648717356E-2</v>
      </c>
      <c r="D19" s="262">
        <f>+'WICHE Public Grads-RE PROJ'!AT20/'WICHE Public Grads-RE PROJ'!D20</f>
        <v>1.0928156941294294E-2</v>
      </c>
      <c r="E19" s="262">
        <f>+'WICHE Public Grads-RE PROJ'!AU20/'WICHE Public Grads-RE PROJ'!E20</f>
        <v>1.1787319444837041E-2</v>
      </c>
      <c r="F19" s="262">
        <f>+'WICHE Public Grads-RE PROJ'!AV20/'WICHE Public Grads-RE PROJ'!F20</f>
        <v>1.1465517241379309E-2</v>
      </c>
      <c r="G19" s="262">
        <f>+'WICHE Public Grads-RE PROJ'!AW20/'WICHE Public Grads-RE PROJ'!G20</f>
        <v>1.1677695601401323E-2</v>
      </c>
      <c r="H19" s="267">
        <f>+'WICHE Public Grads-RE PROJ'!AX20/'WICHE Public Grads-RE PROJ'!H20</f>
        <v>1.1507076373836541E-2</v>
      </c>
      <c r="I19" s="267">
        <f>+'WICHE Public Grads-RE PROJ'!AY20/'WICHE Public Grads-RE PROJ'!I20</f>
        <v>1.2763120297171159E-2</v>
      </c>
      <c r="J19" s="267">
        <f>+'WICHE Public Grads-RE PROJ'!AZ20/'WICHE Public Grads-RE PROJ'!J20</f>
        <v>1.2841193029066642E-2</v>
      </c>
      <c r="K19" s="267">
        <f>+'WICHE Public Grads-RE PROJ'!BA20/'WICHE Public Grads-RE PROJ'!K20</f>
        <v>1.371236472124159E-2</v>
      </c>
      <c r="L19" s="262">
        <f>+'WICHE Public Grads-RE PROJ'!BB20/'WICHE Public Grads-RE PROJ'!L20</f>
        <v>1.4092367795987477E-2</v>
      </c>
      <c r="M19" s="267">
        <f>+'WICHE Public Grads-RE PROJ'!BC20/'WICHE Public Grads-RE PROJ'!M20</f>
        <v>1.3434626151099071E-2</v>
      </c>
      <c r="N19" s="267">
        <f>+'WICHE Public Grads-RE PROJ'!BD20/'WICHE Public Grads-RE PROJ'!N20</f>
        <v>1.4501084314728449E-2</v>
      </c>
      <c r="O19" s="267">
        <f>+'WICHE Public Grads-RE PROJ'!BE20/'WICHE Public Grads-RE PROJ'!O20</f>
        <v>1.5529271413618827E-2</v>
      </c>
      <c r="P19" s="267">
        <f>+'WICHE Public Grads-RE PROJ'!BF20/'WICHE Public Grads-RE PROJ'!P20</f>
        <v>1.4967613934761044E-2</v>
      </c>
      <c r="Q19" s="267">
        <f>+'WICHE Public Grads-RE PROJ'!BG20/'WICHE Public Grads-RE PROJ'!Q20</f>
        <v>1.441266947704227E-2</v>
      </c>
      <c r="R19" s="267">
        <f>+'WICHE Public Grads-RE PROJ'!BH20/'WICHE Public Grads-RE PROJ'!R20</f>
        <v>1.7505594425402941E-2</v>
      </c>
      <c r="S19" s="267">
        <f>+'WICHE Public Grads-RE PROJ'!BI20/'WICHE Public Grads-RE PROJ'!S20</f>
        <v>1.8203200899933526E-2</v>
      </c>
      <c r="T19" s="267">
        <f>+'WICHE Public Grads-RE PROJ'!BJ20/'WICHE Public Grads-RE PROJ'!T20</f>
        <v>1.9981205796528019E-2</v>
      </c>
      <c r="U19" s="267">
        <f>+'WICHE Public Grads-RE PROJ'!BK20/'WICHE Public Grads-RE PROJ'!U20</f>
        <v>1.6655466497685706E-2</v>
      </c>
      <c r="V19" s="267">
        <f>+'WICHE Public Grads-RE PROJ'!BL20/'WICHE Public Grads-RE PROJ'!V20</f>
        <v>1.8438674932996571E-2</v>
      </c>
      <c r="W19" s="267">
        <f>+'WICHE Public Grads-RE PROJ'!BM20/'WICHE Public Grads-RE PROJ'!W20</f>
        <v>1.9999447009681856E-2</v>
      </c>
      <c r="X19" s="268">
        <f>+'WICHE Public Grads-RE PROJ'!BN20/'WICHE Public Grads-RE PROJ'!Y20</f>
        <v>1.9845373099694037E-2</v>
      </c>
      <c r="Y19" s="268">
        <f>+'WICHE Public Grads-RE PROJ'!BO20/'WICHE Public Grads-RE PROJ'!Z20</f>
        <v>1.9619815644719738E-2</v>
      </c>
      <c r="Z19" s="268">
        <f>+'WICHE Public Grads-RE PROJ'!BP20/'WICHE Public Grads-RE PROJ'!AA20</f>
        <v>1.9462206517506478E-2</v>
      </c>
      <c r="AA19" s="268">
        <f>+'WICHE Public Grads-RE PROJ'!BQ20/'WICHE Public Grads-RE PROJ'!AB20</f>
        <v>2.0329600884373699E-2</v>
      </c>
      <c r="AB19" s="266">
        <f>+'WICHE Public Grads-RE PROJ'!BR20/'WICHE Public Grads-RE PROJ'!AC20</f>
        <v>2.143893473432474E-2</v>
      </c>
      <c r="AC19" s="266">
        <f>+'WICHE Public Grads-RE PROJ'!BS20/'WICHE Public Grads-RE PROJ'!AD20</f>
        <v>2.1611623704195324E-2</v>
      </c>
      <c r="AD19" s="266">
        <f>+'WICHE Public Grads-RE PROJ'!BT20/'WICHE Public Grads-RE PROJ'!AE20</f>
        <v>2.1196194280210807E-2</v>
      </c>
      <c r="AE19" s="266">
        <f>+'WICHE Public Grads-RE PROJ'!BU20/'WICHE Public Grads-RE PROJ'!AF20</f>
        <v>2.1502275917259304E-2</v>
      </c>
      <c r="AF19" s="266">
        <f>+'WICHE Public Grads-RE PROJ'!BV20/'WICHE Public Grads-RE PROJ'!AG20</f>
        <v>2.2367260651852523E-2</v>
      </c>
      <c r="AG19" s="268">
        <f>+'WICHE Public Grads-RE PROJ'!BW20/'WICHE Public Grads-RE PROJ'!AH20</f>
        <v>2.2299858018627865E-2</v>
      </c>
      <c r="AH19" s="266">
        <f>+'WICHE Public Grads-RE PROJ'!BX20/'WICHE Public Grads-RE PROJ'!AI20</f>
        <v>2.0682677621377203E-2</v>
      </c>
      <c r="AI19" s="266">
        <f>+'WICHE Public Grads-RE PROJ'!BY20/'WICHE Public Grads-RE PROJ'!AJ20</f>
        <v>2.0941446486299864E-2</v>
      </c>
      <c r="AJ19" s="266">
        <f>+'WICHE Public Grads-RE PROJ'!BZ20/'WICHE Public Grads-RE PROJ'!AK20</f>
        <v>2.3189859038687519E-2</v>
      </c>
      <c r="AK19" s="266">
        <f>+'WICHE Public Grads-RE PROJ'!CA20/'WICHE Public Grads-RE PROJ'!AL20</f>
        <v>2.3506940215560483E-2</v>
      </c>
      <c r="AL19" s="266">
        <f>+'WICHE Public Grads-RE PROJ'!CB20/'WICHE Public Grads-RE PROJ'!AM20</f>
        <v>2.4524928715614364E-2</v>
      </c>
      <c r="AM19" s="266">
        <f>+'WICHE Public Grads-RE PROJ'!CC20/'WICHE Public Grads-RE PROJ'!AN20</f>
        <v>2.387133645325315E-2</v>
      </c>
      <c r="AN19" s="266">
        <f>+'WICHE Public Grads-RE PROJ'!CD20/'WICHE Public Grads-RE PROJ'!AO20</f>
        <v>2.623346814500568E-2</v>
      </c>
      <c r="AO19" s="266">
        <f>+'WICHE Public Grads-RE PROJ'!CE20/'WICHE Public Grads-RE PROJ'!AP20</f>
        <v>2.4664883467893733E-2</v>
      </c>
      <c r="AP19" s="282">
        <f>+'WICHE Public Grads-RE PROJ'!CF20/'WICHE Public Grads-RE PROJ'!AQ20</f>
        <v>2.4692007335784236E-2</v>
      </c>
      <c r="AQ19" s="262">
        <f>+'WICHE Public Grads-RE PROJ'!CG20/'WICHE Public Grads-RE PROJ'!B20</f>
        <v>1.3723971841809333E-3</v>
      </c>
      <c r="AR19" s="262">
        <f>+'WICHE Public Grads-RE PROJ'!CH20/'WICHE Public Grads-RE PROJ'!C20</f>
        <v>1.386642015253062E-3</v>
      </c>
      <c r="AS19" s="262">
        <f>+'WICHE Public Grads-RE PROJ'!CI20/'WICHE Public Grads-RE PROJ'!D20</f>
        <v>1.1193260478953727E-3</v>
      </c>
      <c r="AT19" s="262">
        <f>+'WICHE Public Grads-RE PROJ'!CJ20/'WICHE Public Grads-RE PROJ'!E20</f>
        <v>1.6112163269921135E-3</v>
      </c>
      <c r="AU19" s="262">
        <f>+'WICHE Public Grads-RE PROJ'!CK20/'WICHE Public Grads-RE PROJ'!F20</f>
        <v>1.4655172413793104E-3</v>
      </c>
      <c r="AV19" s="262">
        <f>+'WICHE Public Grads-RE PROJ'!CL20/'WICHE Public Grads-RE PROJ'!G20</f>
        <v>1.8165304268846503E-3</v>
      </c>
      <c r="AW19" s="267">
        <f>+'WICHE Public Grads-RE PROJ'!CM20/'WICHE Public Grads-RE PROJ'!H20</f>
        <v>1.5619023332908326E-3</v>
      </c>
      <c r="AX19" s="267">
        <f>+'WICHE Public Grads-RE PROJ'!CN20/'WICHE Public Grads-RE PROJ'!I20</f>
        <v>2.0001904943327937E-3</v>
      </c>
      <c r="AY19" s="267">
        <f>+'WICHE Public Grads-RE PROJ'!CO20/'WICHE Public Grads-RE PROJ'!J20</f>
        <v>1.7079419299743809E-3</v>
      </c>
      <c r="AZ19" s="267">
        <f>+'WICHE Public Grads-RE PROJ'!CP20/'WICHE Public Grads-RE PROJ'!K20</f>
        <v>1.4449588629854126E-3</v>
      </c>
      <c r="BA19" s="262">
        <f>+'WICHE Public Grads-RE PROJ'!CQ20/'WICHE Public Grads-RE PROJ'!L20</f>
        <v>2.0929259104849533E-3</v>
      </c>
      <c r="BB19" s="267">
        <f>+'WICHE Public Grads-RE PROJ'!CR20/'WICHE Public Grads-RE PROJ'!M20</f>
        <v>1.5193922430884797E-3</v>
      </c>
      <c r="BC19" s="267">
        <f>+'WICHE Public Grads-RE PROJ'!CS20/'WICHE Public Grads-RE PROJ'!N20</f>
        <v>2.0902463878441401E-3</v>
      </c>
      <c r="BD19" s="267">
        <f>+'WICHE Public Grads-RE PROJ'!CT20/'WICHE Public Grads-RE PROJ'!O20</f>
        <v>2.1554005472651694E-3</v>
      </c>
      <c r="BE19" s="267">
        <f>+'WICHE Public Grads-RE PROJ'!CU20/'WICHE Public Grads-RE PROJ'!P20</f>
        <v>1.6922448503238607E-3</v>
      </c>
      <c r="BF19" s="267">
        <f>+'WICHE Public Grads-RE PROJ'!CV20/'WICHE Public Grads-RE PROJ'!Q20</f>
        <v>1.2532756066993278E-3</v>
      </c>
      <c r="BG19" s="267">
        <f>+'WICHE Public Grads-RE PROJ'!CW20/'WICHE Public Grads-RE PROJ'!R20</f>
        <v>3.9656686400589184E-4</v>
      </c>
      <c r="BH19" s="267">
        <f>+'WICHE Public Grads-RE PROJ'!CX20/'WICHE Public Grads-RE PROJ'!S20</f>
        <v>2.7355933936697857E-3</v>
      </c>
      <c r="BI19" s="267">
        <f>+'WICHE Public Grads-RE PROJ'!CY20/'WICHE Public Grads-RE PROJ'!T20</f>
        <v>2.6954844453237056E-3</v>
      </c>
      <c r="BJ19" s="267">
        <f>+'WICHE Public Grads-RE PROJ'!CZ20/'WICHE Public Grads-RE PROJ'!U20</f>
        <v>2.8128586407682875E-3</v>
      </c>
      <c r="BK19" s="267">
        <f>+'WICHE Public Grads-RE PROJ'!DA20/'WICHE Public Grads-RE PROJ'!V20</f>
        <v>2.6530414505074938E-3</v>
      </c>
      <c r="BL19" s="267">
        <f>+'WICHE Public Grads-RE PROJ'!DB20/'WICHE Public Grads-RE PROJ'!W20</f>
        <v>2.9654809214438656E-3</v>
      </c>
      <c r="BM19" s="268">
        <f>+'WICHE Public Grads-RE PROJ'!DC20/'WICHE Public Grads-RE PROJ'!Y20</f>
        <v>3.0000564443972669E-3</v>
      </c>
      <c r="BN19" s="268">
        <f>+'WICHE Public Grads-RE PROJ'!DD20/'WICHE Public Grads-RE PROJ'!Z20</f>
        <v>2.6427087396763429E-3</v>
      </c>
      <c r="BO19" s="268">
        <f>+'WICHE Public Grads-RE PROJ'!DE20/'WICHE Public Grads-RE PROJ'!AA20</f>
        <v>3.1042551223836924E-3</v>
      </c>
      <c r="BP19" s="268">
        <f>+'WICHE Public Grads-RE PROJ'!DF20/'WICHE Public Grads-RE PROJ'!AB20</f>
        <v>2.9925308147374036E-3</v>
      </c>
      <c r="BQ19" s="266">
        <f>+'WICHE Public Grads-RE PROJ'!DG20/'WICHE Public Grads-RE PROJ'!AC20</f>
        <v>2.6946508787290238E-3</v>
      </c>
      <c r="BR19" s="266">
        <f>+'WICHE Public Grads-RE PROJ'!DH20/'WICHE Public Grads-RE PROJ'!AD20</f>
        <v>2.7380836952393848E-3</v>
      </c>
      <c r="BS19" s="266">
        <f>+'WICHE Public Grads-RE PROJ'!DI20/'WICHE Public Grads-RE PROJ'!AE20</f>
        <v>2.2628772580238982E-3</v>
      </c>
      <c r="BT19" s="266">
        <f>+'WICHE Public Grads-RE PROJ'!DJ20/'WICHE Public Grads-RE PROJ'!AF20</f>
        <v>2.3925982998875776E-3</v>
      </c>
      <c r="BU19" s="266">
        <f>+'WICHE Public Grads-RE PROJ'!DK20/'WICHE Public Grads-RE PROJ'!AG20</f>
        <v>2.9732054187609283E-3</v>
      </c>
      <c r="BV19" s="268">
        <f>+'WICHE Public Grads-RE PROJ'!DL20/'WICHE Public Grads-RE PROJ'!AH20</f>
        <v>3.0450869784411712E-3</v>
      </c>
      <c r="BW19" s="266">
        <f>+'WICHE Public Grads-RE PROJ'!DM20/'WICHE Public Grads-RE PROJ'!AI20</f>
        <v>2.8823500773958845E-3</v>
      </c>
      <c r="BX19" s="266">
        <f>+'WICHE Public Grads-RE PROJ'!DN20/'WICHE Public Grads-RE PROJ'!AJ20</f>
        <v>2.990176998859638E-3</v>
      </c>
      <c r="BY19" s="266">
        <f>+'WICHE Public Grads-RE PROJ'!DO20/'WICHE Public Grads-RE PROJ'!AK20</f>
        <v>2.8146861395888377E-3</v>
      </c>
      <c r="BZ19" s="266">
        <f>+'WICHE Public Grads-RE PROJ'!DP20/'WICHE Public Grads-RE PROJ'!AL20</f>
        <v>2.6203479939805531E-3</v>
      </c>
      <c r="CA19" s="266">
        <f>+'WICHE Public Grads-RE PROJ'!DQ20/'WICHE Public Grads-RE PROJ'!AM20</f>
        <v>2.7623515765501133E-3</v>
      </c>
      <c r="CB19" s="266">
        <f>+'WICHE Public Grads-RE PROJ'!DR20/'WICHE Public Grads-RE PROJ'!AN20</f>
        <v>2.6608997659146334E-3</v>
      </c>
      <c r="CC19" s="266">
        <f>+'WICHE Public Grads-RE PROJ'!DS20/'WICHE Public Grads-RE PROJ'!AO20</f>
        <v>3.2877583882236715E-3</v>
      </c>
      <c r="CD19" s="266">
        <f>+'WICHE Public Grads-RE PROJ'!DT20/'WICHE Public Grads-RE PROJ'!AP20</f>
        <v>2.6367655868152033E-3</v>
      </c>
      <c r="CE19" s="282">
        <f>+'WICHE Public Grads-RE PROJ'!DU20/'WICHE Public Grads-RE PROJ'!AQ20</f>
        <v>2.5449717570640929E-3</v>
      </c>
      <c r="CF19" s="262">
        <f>+'WICHE Public Grads-RE PROJ'!DV20/'WICHE Public Grads-RE PROJ'!B20</f>
        <v>9.5986273506197001E-3</v>
      </c>
      <c r="CG19" s="262">
        <f>+'WICHE Public Grads-RE PROJ'!DW20/'WICHE Public Grads-RE PROJ'!C20</f>
        <v>8.8109544719204985E-3</v>
      </c>
      <c r="CH19" s="262">
        <f>+'WICHE Public Grads-RE PROJ'!DX20/'WICHE Public Grads-RE PROJ'!D20</f>
        <v>9.8088308933989218E-3</v>
      </c>
      <c r="CI19" s="262">
        <f>+'WICHE Public Grads-RE PROJ'!DY20/'WICHE Public Grads-RE PROJ'!E20</f>
        <v>1.0176103117844927E-2</v>
      </c>
      <c r="CJ19" s="262">
        <f>+'WICHE Public Grads-RE PROJ'!DZ20/'WICHE Public Grads-RE PROJ'!F20</f>
        <v>0.01</v>
      </c>
      <c r="CK19" s="262">
        <f>+'WICHE Public Grads-RE PROJ'!EA20/'WICHE Public Grads-RE PROJ'!G20</f>
        <v>9.8611651745166735E-3</v>
      </c>
      <c r="CL19" s="267">
        <f>+'WICHE Public Grads-RE PROJ'!EB20/'WICHE Public Grads-RE PROJ'!H20</f>
        <v>9.9451740405457102E-3</v>
      </c>
      <c r="CM19" s="267">
        <f>+'WICHE Public Grads-RE PROJ'!EC20/'WICHE Public Grads-RE PROJ'!I20</f>
        <v>1.0762929802838366E-2</v>
      </c>
      <c r="CN19" s="267">
        <f>+'WICHE Public Grads-RE PROJ'!ED20/'WICHE Public Grads-RE PROJ'!J20</f>
        <v>1.1133251099092261E-2</v>
      </c>
      <c r="CO19" s="267">
        <f>+'WICHE Public Grads-RE PROJ'!EE20/'WICHE Public Grads-RE PROJ'!K20</f>
        <v>1.2267405858256177E-2</v>
      </c>
      <c r="CP19" s="262">
        <f>+'WICHE Public Grads-RE PROJ'!EF20/'WICHE Public Grads-RE PROJ'!L20</f>
        <v>1.1999441885502523E-2</v>
      </c>
      <c r="CQ19" s="267">
        <f>+'WICHE Public Grads-RE PROJ'!EG20/'WICHE Public Grads-RE PROJ'!M20</f>
        <v>1.1915233908010589E-2</v>
      </c>
      <c r="CR19" s="267">
        <f>+'WICHE Public Grads-RE PROJ'!EH20/'WICHE Public Grads-RE PROJ'!N20</f>
        <v>1.2410837926884308E-2</v>
      </c>
      <c r="CS19" s="267">
        <f>+'WICHE Public Grads-RE PROJ'!EI20/'WICHE Public Grads-RE PROJ'!O20</f>
        <v>1.3373870866353658E-2</v>
      </c>
      <c r="CT19" s="267">
        <f>+'WICHE Public Grads-RE PROJ'!EJ20/'WICHE Public Grads-RE PROJ'!P20</f>
        <v>1.3275369084437183E-2</v>
      </c>
      <c r="CU19" s="267">
        <f>+'WICHE Public Grads-RE PROJ'!EK20/'WICHE Public Grads-RE PROJ'!Q20</f>
        <v>1.3159393870342942E-2</v>
      </c>
      <c r="CV19" s="267">
        <f>+'WICHE Public Grads-RE PROJ'!EL20/'WICHE Public Grads-RE PROJ'!R20</f>
        <v>1.7109027561397049E-2</v>
      </c>
      <c r="CW19" s="267">
        <f>+'WICHE Public Grads-RE PROJ'!EM20/'WICHE Public Grads-RE PROJ'!S20</f>
        <v>1.5467607506263742E-2</v>
      </c>
      <c r="CX19" s="267">
        <f>+'WICHE Public Grads-RE PROJ'!EN20/'WICHE Public Grads-RE PROJ'!T20</f>
        <v>1.7285721351204313E-2</v>
      </c>
      <c r="CY19" s="267">
        <f>+'WICHE Public Grads-RE PROJ'!EO20/'WICHE Public Grads-RE PROJ'!U20</f>
        <v>1.3842607856917419E-2</v>
      </c>
      <c r="CZ19" s="267">
        <f>+'WICHE Public Grads-RE PROJ'!EP20/'WICHE Public Grads-RE PROJ'!V20</f>
        <v>1.5785633482489077E-2</v>
      </c>
      <c r="DA19" s="267">
        <f>+'WICHE Public Grads-RE PROJ'!EQ20/'WICHE Public Grads-RE PROJ'!W20</f>
        <v>1.7033966088237987E-2</v>
      </c>
      <c r="DB19" s="268">
        <f>+'WICHE Public Grads-RE PROJ'!ER20/'WICHE Public Grads-RE PROJ'!Y20</f>
        <v>1.6845316655296771E-2</v>
      </c>
      <c r="DC19" s="268">
        <f>+'WICHE Public Grads-RE PROJ'!ES20/'WICHE Public Grads-RE PROJ'!Z20</f>
        <v>1.6977106905043397E-2</v>
      </c>
      <c r="DD19" s="268">
        <f>+'WICHE Public Grads-RE PROJ'!ET20/'WICHE Public Grads-RE PROJ'!AA20</f>
        <v>1.6357951395122788E-2</v>
      </c>
      <c r="DE19" s="268">
        <f>+'WICHE Public Grads-RE PROJ'!EU20/'WICHE Public Grads-RE PROJ'!AB20</f>
        <v>1.7337070069636296E-2</v>
      </c>
      <c r="DF19" s="266">
        <f>+'WICHE Public Grads-RE PROJ'!EV20/'WICHE Public Grads-RE PROJ'!AC20</f>
        <v>1.8744283855595716E-2</v>
      </c>
      <c r="DG19" s="266">
        <f>+'WICHE Public Grads-RE PROJ'!EW20/'WICHE Public Grads-RE PROJ'!AD20</f>
        <v>1.8873540008955938E-2</v>
      </c>
      <c r="DH19" s="266">
        <f>+'WICHE Public Grads-RE PROJ'!EX20/'WICHE Public Grads-RE PROJ'!AE20</f>
        <v>1.893331702218691E-2</v>
      </c>
      <c r="DI19" s="266">
        <f>+'WICHE Public Grads-RE PROJ'!EY20/'WICHE Public Grads-RE PROJ'!AF20</f>
        <v>1.9109677617371729E-2</v>
      </c>
      <c r="DJ19" s="266">
        <f>+'WICHE Public Grads-RE PROJ'!EZ20/'WICHE Public Grads-RE PROJ'!AG20</f>
        <v>1.9394055233091595E-2</v>
      </c>
      <c r="DK19" s="268">
        <f>+'WICHE Public Grads-RE PROJ'!FA20/'WICHE Public Grads-RE PROJ'!AH20</f>
        <v>1.9254771040186695E-2</v>
      </c>
      <c r="DL19" s="266">
        <f>+'WICHE Public Grads-RE PROJ'!FB20/'WICHE Public Grads-RE PROJ'!AI20</f>
        <v>1.780032754398132E-2</v>
      </c>
      <c r="DM19" s="266">
        <f>+'WICHE Public Grads-RE PROJ'!FC20/'WICHE Public Grads-RE PROJ'!AJ20</f>
        <v>1.7951269487440226E-2</v>
      </c>
      <c r="DN19" s="266">
        <f>+'WICHE Public Grads-RE PROJ'!FD20/'WICHE Public Grads-RE PROJ'!AK20</f>
        <v>2.0375172899098685E-2</v>
      </c>
      <c r="DO19" s="266">
        <f>+'WICHE Public Grads-RE PROJ'!FE20/'WICHE Public Grads-RE PROJ'!AL20</f>
        <v>2.088659222157993E-2</v>
      </c>
      <c r="DP19" s="266">
        <f>+'WICHE Public Grads-RE PROJ'!FF20/'WICHE Public Grads-RE PROJ'!AM20</f>
        <v>2.1762577139064251E-2</v>
      </c>
      <c r="DQ19" s="266">
        <f>+'WICHE Public Grads-RE PROJ'!FG20/'WICHE Public Grads-RE PROJ'!AN20</f>
        <v>2.1210436687338515E-2</v>
      </c>
      <c r="DR19" s="266">
        <f>+'WICHE Public Grads-RE PROJ'!FH20/'WICHE Public Grads-RE PROJ'!AO20</f>
        <v>2.294570975678201E-2</v>
      </c>
      <c r="DS19" s="266">
        <f>+'WICHE Public Grads-RE PROJ'!FI20/'WICHE Public Grads-RE PROJ'!AP20</f>
        <v>2.2028117881078526E-2</v>
      </c>
      <c r="DT19" s="282">
        <f>+'WICHE Public Grads-RE PROJ'!FJ20/'WICHE Public Grads-RE PROJ'!AQ20</f>
        <v>2.2147035578720144E-2</v>
      </c>
      <c r="DU19" s="262">
        <f>+'WICHE Public Grads-RE PROJ'!FK20/'WICHE Public Grads-RE PROJ'!B20</f>
        <v>0.38485419010886884</v>
      </c>
      <c r="DV19" s="262">
        <f>+'WICHE Public Grads-RE PROJ'!FL20/'WICHE Public Grads-RE PROJ'!C20</f>
        <v>0.38369540097064941</v>
      </c>
      <c r="DW19" s="262">
        <f>+'WICHE Public Grads-RE PROJ'!FM20/'WICHE Public Grads-RE PROJ'!D20</f>
        <v>0.38793484344163298</v>
      </c>
      <c r="DX19" s="262">
        <f>+'WICHE Public Grads-RE PROJ'!FN20/'WICHE Public Grads-RE PROJ'!E20</f>
        <v>0.38293241371512565</v>
      </c>
      <c r="DY19" s="262">
        <f>+'WICHE Public Grads-RE PROJ'!FO20/'WICHE Public Grads-RE PROJ'!F20</f>
        <v>0.3893103448275862</v>
      </c>
      <c r="DZ19" s="262">
        <f>+'WICHE Public Grads-RE PROJ'!FP20/'WICHE Public Grads-RE PROJ'!G20</f>
        <v>0.39613338523420266</v>
      </c>
      <c r="EA19" s="267">
        <f>+'WICHE Public Grads-RE PROJ'!FQ20/'WICHE Public Grads-RE PROJ'!H20</f>
        <v>0.39219686344511029</v>
      </c>
      <c r="EB19" s="267">
        <f>+'WICHE Public Grads-RE PROJ'!FR20/'WICHE Public Grads-RE PROJ'!I20</f>
        <v>0.39038638600501635</v>
      </c>
      <c r="EC19" s="267">
        <f>+'WICHE Public Grads-RE PROJ'!FS20/'WICHE Public Grads-RE PROJ'!J20</f>
        <v>0.38969541702248789</v>
      </c>
      <c r="ED19" s="267">
        <f>+'WICHE Public Grads-RE PROJ'!FT20/'WICHE Public Grads-RE PROJ'!K20</f>
        <v>0.38084987177779256</v>
      </c>
      <c r="EE19" s="262">
        <f>+'WICHE Public Grads-RE PROJ'!FU20/'WICHE Public Grads-RE PROJ'!L20</f>
        <v>0.3720943211296403</v>
      </c>
      <c r="EF19" s="267">
        <f>+'WICHE Public Grads-RE PROJ'!FV20/'WICHE Public Grads-RE PROJ'!M20</f>
        <v>0.3795815008312296</v>
      </c>
      <c r="EG19" s="267">
        <f>+'WICHE Public Grads-RE PROJ'!FW20/'WICHE Public Grads-RE PROJ'!N20</f>
        <v>0.38672170994433575</v>
      </c>
      <c r="EH19" s="267">
        <f>+'WICHE Public Grads-RE PROJ'!FX20/'WICHE Public Grads-RE PROJ'!O20</f>
        <v>0.3859465414635605</v>
      </c>
      <c r="EI19" s="267">
        <f>+'WICHE Public Grads-RE PROJ'!FY20/'WICHE Public Grads-RE PROJ'!P20</f>
        <v>0.37270233996615509</v>
      </c>
      <c r="EJ19" s="267">
        <f>+'WICHE Public Grads-RE PROJ'!FZ20/'WICHE Public Grads-RE PROJ'!Q20</f>
        <v>0.36011735217044549</v>
      </c>
      <c r="EK19" s="267">
        <f>+'WICHE Public Grads-RE PROJ'!GA20/'WICHE Public Grads-RE PROJ'!R20</f>
        <v>0.36161232756422967</v>
      </c>
      <c r="EL19" s="267">
        <f>+'WICHE Public Grads-RE PROJ'!GB20/'WICHE Public Grads-RE PROJ'!S20</f>
        <v>0.37175947231170425</v>
      </c>
      <c r="EM19" s="267">
        <f>+'WICHE Public Grads-RE PROJ'!GC20/'WICHE Public Grads-RE PROJ'!T20</f>
        <v>0.37402937830753252</v>
      </c>
      <c r="EN19" s="267">
        <f>+'WICHE Public Grads-RE PROJ'!GD20/'WICHE Public Grads-RE PROJ'!U20</f>
        <v>0.3742153109408779</v>
      </c>
      <c r="EO19" s="267">
        <f>+'WICHE Public Grads-RE PROJ'!GE20/'WICHE Public Grads-RE PROJ'!V20</f>
        <v>0.36624462440543898</v>
      </c>
      <c r="EP19" s="267">
        <f>+'WICHE Public Grads-RE PROJ'!GF20/'WICHE Public Grads-RE PROJ'!W20</f>
        <v>0.35661142082540381</v>
      </c>
      <c r="EQ19" s="268">
        <f>+'WICHE Public Grads-RE PROJ'!GG20/'WICHE Public Grads-RE PROJ'!Y20</f>
        <v>0.34335172145167481</v>
      </c>
      <c r="ER19" s="268">
        <f>+'WICHE Public Grads-RE PROJ'!GH20/'WICHE Public Grads-RE PROJ'!Z20</f>
        <v>0.34175242727100846</v>
      </c>
      <c r="ES19" s="268">
        <f>+'WICHE Public Grads-RE PROJ'!GI20/'WICHE Public Grads-RE PROJ'!AA20</f>
        <v>0.34041572519413821</v>
      </c>
      <c r="ET19" s="268">
        <f>+'WICHE Public Grads-RE PROJ'!GJ20/'WICHE Public Grads-RE PROJ'!AB20</f>
        <v>0.32937875514495019</v>
      </c>
      <c r="EU19" s="266">
        <f>+'WICHE Public Grads-RE PROJ'!GK20/'WICHE Public Grads-RE PROJ'!AC20</f>
        <v>0.33565812148598884</v>
      </c>
      <c r="EV19" s="266">
        <f>+'WICHE Public Grads-RE PROJ'!GL20/'WICHE Public Grads-RE PROJ'!AD20</f>
        <v>0.33027784436559265</v>
      </c>
      <c r="EW19" s="266">
        <f>+'WICHE Public Grads-RE PROJ'!GM20/'WICHE Public Grads-RE PROJ'!AE20</f>
        <v>0.32126014557303223</v>
      </c>
      <c r="EX19" s="266">
        <f>+'WICHE Public Grads-RE PROJ'!GN20/'WICHE Public Grads-RE PROJ'!AF20</f>
        <v>0.31446711199081806</v>
      </c>
      <c r="EY19" s="266">
        <f>+'WICHE Public Grads-RE PROJ'!GO20/'WICHE Public Grads-RE PROJ'!AG20</f>
        <v>0.31128368175324589</v>
      </c>
      <c r="EZ19" s="268">
        <f>+'WICHE Public Grads-RE PROJ'!GP20/'WICHE Public Grads-RE PROJ'!AH20</f>
        <v>0.31275609995705189</v>
      </c>
      <c r="FA19" s="266">
        <f>+'WICHE Public Grads-RE PROJ'!GQ20/'WICHE Public Grads-RE PROJ'!AI20</f>
        <v>0.31512937344376374</v>
      </c>
      <c r="FB19" s="266">
        <f>+'WICHE Public Grads-RE PROJ'!GR20/'WICHE Public Grads-RE PROJ'!AJ20</f>
        <v>0.31854273322067733</v>
      </c>
      <c r="FC19" s="266">
        <f>+'WICHE Public Grads-RE PROJ'!GS20/'WICHE Public Grads-RE PROJ'!AK20</f>
        <v>0.31703324816088896</v>
      </c>
      <c r="FD19" s="266">
        <f>+'WICHE Public Grads-RE PROJ'!GT20/'WICHE Public Grads-RE PROJ'!AL20</f>
        <v>0.3124199067240393</v>
      </c>
      <c r="FE19" s="266">
        <f>+'WICHE Public Grads-RE PROJ'!GU20/'WICHE Public Grads-RE PROJ'!AM20</f>
        <v>0.310575628439275</v>
      </c>
      <c r="FF19" s="266">
        <f>+'WICHE Public Grads-RE PROJ'!GV20/'WICHE Public Grads-RE PROJ'!AN20</f>
        <v>0.30581407954855649</v>
      </c>
      <c r="FG19" s="266">
        <f>+'WICHE Public Grads-RE PROJ'!GW20/'WICHE Public Grads-RE PROJ'!AO20</f>
        <v>0.30565621233700552</v>
      </c>
      <c r="FH19" s="266">
        <f>+'WICHE Public Grads-RE PROJ'!GX20/'WICHE Public Grads-RE PROJ'!AP20</f>
        <v>0.30134581946861322</v>
      </c>
      <c r="FI19" s="282">
        <f>+'WICHE Public Grads-RE PROJ'!GY20/'WICHE Public Grads-RE PROJ'!AQ20</f>
        <v>0.29797515981479183</v>
      </c>
      <c r="FJ19" s="262">
        <f>+'WICHE Public Grads-RE PROJ'!GZ20/'WICHE Public Grads-RE PROJ'!B20</f>
        <v>4.6598881979234555E-3</v>
      </c>
      <c r="FK19" s="262">
        <f>+'WICHE Public Grads-RE PROJ'!HA20/'WICHE Public Grads-RE PROJ'!C20</f>
        <v>3.871042292581465E-3</v>
      </c>
      <c r="FL19" s="262">
        <f>+'WICHE Public Grads-RE PROJ'!HB20/'WICHE Public Grads-RE PROJ'!D20</f>
        <v>5.3315267018174319E-3</v>
      </c>
      <c r="FM19" s="262">
        <f>+'WICHE Public Grads-RE PROJ'!HC20/'WICHE Public Grads-RE PROJ'!E20</f>
        <v>4.7771150747660911E-3</v>
      </c>
      <c r="FN19" s="262">
        <f>+'WICHE Public Grads-RE PROJ'!HD20/'WICHE Public Grads-RE PROJ'!F20</f>
        <v>5.6896551724137934E-3</v>
      </c>
      <c r="FO19" s="262">
        <f>+'WICHE Public Grads-RE PROJ'!HE20/'WICHE Public Grads-RE PROJ'!G20</f>
        <v>6.6173608407940829E-3</v>
      </c>
      <c r="FP19" s="267">
        <f>+'WICHE Public Grads-RE PROJ'!HF20/'WICHE Public Grads-RE PROJ'!H20</f>
        <v>6.91699604743083E-3</v>
      </c>
      <c r="FQ19" s="267">
        <f>+'WICHE Public Grads-RE PROJ'!HG20/'WICHE Public Grads-RE PROJ'!I20</f>
        <v>8.8897355303679711E-3</v>
      </c>
      <c r="FR19" s="267">
        <f>+'WICHE Public Grads-RE PROJ'!HH20/'WICHE Public Grads-RE PROJ'!J20</f>
        <v>9.7415947117057283E-3</v>
      </c>
      <c r="FS19" s="267">
        <f>+'WICHE Public Grads-RE PROJ'!HI20/'WICHE Public Grads-RE PROJ'!K20</f>
        <v>1.0733980123892626E-2</v>
      </c>
      <c r="FT19" s="262">
        <f>+'WICHE Public Grads-RE PROJ'!HJ20/'WICHE Public Grads-RE PROJ'!L20</f>
        <v>1.2138970279854323E-2</v>
      </c>
      <c r="FU19" s="267">
        <f>+'WICHE Public Grads-RE PROJ'!HK20/'WICHE Public Grads-RE PROJ'!M20</f>
        <v>1.3967746234837757E-2</v>
      </c>
      <c r="FV19" s="267">
        <f>+'WICHE Public Grads-RE PROJ'!HL20/'WICHE Public Grads-RE PROJ'!N20</f>
        <v>1.489300551226117E-2</v>
      </c>
      <c r="FW19" s="267">
        <f>+'WICHE Public Grads-RE PROJ'!HM20/'WICHE Public Grads-RE PROJ'!O20</f>
        <v>1.9372636245103023E-2</v>
      </c>
      <c r="FX19" s="267">
        <f>+'WICHE Public Grads-RE PROJ'!HN20/'WICHE Public Grads-RE PROJ'!P20</f>
        <v>1.8643869988912879E-2</v>
      </c>
      <c r="FY19" s="267">
        <f>+'WICHE Public Grads-RE PROJ'!HO20/'WICHE Public Grads-RE PROJ'!Q20</f>
        <v>1.7973111541528995E-2</v>
      </c>
      <c r="FZ19" s="267">
        <f>+'WICHE Public Grads-RE PROJ'!HP20/'WICHE Public Grads-RE PROJ'!R20</f>
        <v>2.7334787411834687E-2</v>
      </c>
      <c r="GA19" s="267">
        <f>+'WICHE Public Grads-RE PROJ'!HQ20/'WICHE Public Grads-RE PROJ'!S20</f>
        <v>3.1369842000306798E-2</v>
      </c>
      <c r="GB19" s="267">
        <f>+'WICHE Public Grads-RE PROJ'!HR20/'WICHE Public Grads-RE PROJ'!T20</f>
        <v>3.4472525842029776E-2</v>
      </c>
      <c r="GC19" s="267">
        <f>+'WICHE Public Grads-RE PROJ'!HS20/'WICHE Public Grads-RE PROJ'!U20</f>
        <v>4.0851920998329565E-2</v>
      </c>
      <c r="GD19" s="267">
        <f>+'WICHE Public Grads-RE PROJ'!HT20/'WICHE Public Grads-RE PROJ'!V20</f>
        <v>4.2348342261473867E-2</v>
      </c>
      <c r="GE19" s="267">
        <f>+'WICHE Public Grads-RE PROJ'!HU20/'WICHE Public Grads-RE PROJ'!W20</f>
        <v>4.8998721772475502E-2</v>
      </c>
      <c r="GF19" s="268">
        <f>+'WICHE Public Grads-RE PROJ'!HV20/'WICHE Public Grads-RE PROJ'!Y20</f>
        <v>4.9500070366572141E-2</v>
      </c>
      <c r="GG19" s="268">
        <f>+'WICHE Public Grads-RE PROJ'!HW20/'WICHE Public Grads-RE PROJ'!Z20</f>
        <v>5.2378335159411732E-2</v>
      </c>
      <c r="GH19" s="268">
        <f>+'WICHE Public Grads-RE PROJ'!HX20/'WICHE Public Grads-RE PROJ'!AA20</f>
        <v>5.7294917413370901E-2</v>
      </c>
      <c r="GI19" s="268">
        <f>+'WICHE Public Grads-RE PROJ'!HY20/'WICHE Public Grads-RE PROJ'!AB20</f>
        <v>5.9720673271688673E-2</v>
      </c>
      <c r="GJ19" s="266">
        <f>+'WICHE Public Grads-RE PROJ'!HZ20/'WICHE Public Grads-RE PROJ'!AC20</f>
        <v>6.5114599680445598E-2</v>
      </c>
      <c r="GK19" s="266">
        <f>+'WICHE Public Grads-RE PROJ'!IA20/'WICHE Public Grads-RE PROJ'!AD20</f>
        <v>7.1777826631340857E-2</v>
      </c>
      <c r="GL19" s="266">
        <f>+'WICHE Public Grads-RE PROJ'!IB20/'WICHE Public Grads-RE PROJ'!AE20</f>
        <v>7.9071448526633004E-2</v>
      </c>
      <c r="GM19" s="266">
        <f>+'WICHE Public Grads-RE PROJ'!IC20/'WICHE Public Grads-RE PROJ'!AF20</f>
        <v>8.3863673627792637E-2</v>
      </c>
      <c r="GN19" s="266">
        <f>+'WICHE Public Grads-RE PROJ'!ID20/'WICHE Public Grads-RE PROJ'!AG20</f>
        <v>8.6567380275274844E-2</v>
      </c>
      <c r="GO19" s="268">
        <f>+'WICHE Public Grads-RE PROJ'!IE20/'WICHE Public Grads-RE PROJ'!AH20</f>
        <v>9.3756535936263471E-2</v>
      </c>
      <c r="GP19" s="266">
        <f>+'WICHE Public Grads-RE PROJ'!IF20/'WICHE Public Grads-RE PROJ'!AI20</f>
        <v>0.10189382918759761</v>
      </c>
      <c r="GQ19" s="266">
        <f>+'WICHE Public Grads-RE PROJ'!IG20/'WICHE Public Grads-RE PROJ'!AJ20</f>
        <v>0.10294379283177624</v>
      </c>
      <c r="GR19" s="266">
        <f>+'WICHE Public Grads-RE PROJ'!IH20/'WICHE Public Grads-RE PROJ'!AK20</f>
        <v>0.10873535224166386</v>
      </c>
      <c r="GS19" s="266">
        <f>+'WICHE Public Grads-RE PROJ'!II20/'WICHE Public Grads-RE PROJ'!AL20</f>
        <v>0.10019363700138151</v>
      </c>
      <c r="GT19" s="266">
        <f>+'WICHE Public Grads-RE PROJ'!IJ20/'WICHE Public Grads-RE PROJ'!AM20</f>
        <v>9.1841355412500977E-2</v>
      </c>
      <c r="GU19" s="266">
        <f>+'WICHE Public Grads-RE PROJ'!IK20/'WICHE Public Grads-RE PROJ'!AN20</f>
        <v>8.9398977605632951E-2</v>
      </c>
      <c r="GV19" s="266">
        <f>+'WICHE Public Grads-RE PROJ'!IL20/'WICHE Public Grads-RE PROJ'!AO20</f>
        <v>8.6866978919746637E-2</v>
      </c>
      <c r="GW19" s="266">
        <f>+'WICHE Public Grads-RE PROJ'!IM20/'WICHE Public Grads-RE PROJ'!AP20</f>
        <v>8.4335230263617125E-2</v>
      </c>
      <c r="GX19" s="282">
        <f>+'WICHE Public Grads-RE PROJ'!IN20/'WICHE Public Grads-RE PROJ'!AQ20</f>
        <v>8.7456359786484805E-2</v>
      </c>
      <c r="GY19" s="262">
        <f>+'WICHE Public Grads-RE PROJ'!IO20/'WICHE Public Grads-RE PROJ'!B20</f>
        <v>0.599514897158407</v>
      </c>
      <c r="GZ19" s="262">
        <f>+'WICHE Public Grads-RE PROJ'!IP20/'WICHE Public Grads-RE PROJ'!C20</f>
        <v>0.60223596024959547</v>
      </c>
      <c r="HA19" s="262">
        <f>+'WICHE Public Grads-RE PROJ'!IQ20/'WICHE Public Grads-RE PROJ'!D20</f>
        <v>0.59580547291525521</v>
      </c>
      <c r="HB19" s="262">
        <f>+'WICHE Public Grads-RE PROJ'!IR20/'WICHE Public Grads-RE PROJ'!E20</f>
        <v>0.60050315176527125</v>
      </c>
      <c r="HC19" s="262">
        <f>+'WICHE Public Grads-RE PROJ'!IS20/'WICHE Public Grads-RE PROJ'!F20</f>
        <v>0.59353448275862064</v>
      </c>
      <c r="HD19" s="262">
        <f>+'WICHE Public Grads-RE PROJ'!IT20/'WICHE Public Grads-RE PROJ'!G20</f>
        <v>0.58557155832360197</v>
      </c>
      <c r="HE19" s="267">
        <f>+'WICHE Public Grads-RE PROJ'!IU20/'WICHE Public Grads-RE PROJ'!H20</f>
        <v>0.58937906413362229</v>
      </c>
      <c r="HF19" s="267">
        <f>+'WICHE Public Grads-RE PROJ'!IV20/'WICHE Public Grads-RE PROJ'!I20</f>
        <v>0.58796075816744453</v>
      </c>
      <c r="HG19" s="267">
        <f>+'WICHE Public Grads-RE PROJ'!IW20/'WICHE Public Grads-RE PROJ'!J20</f>
        <v>0.58772179523673973</v>
      </c>
      <c r="HH19" s="267">
        <f>+'WICHE Public Grads-RE PROJ'!IX20/'WICHE Public Grads-RE PROJ'!K20</f>
        <v>0.59467429461133681</v>
      </c>
      <c r="HI19" s="262">
        <f>+'WICHE Public Grads-RE PROJ'!IY20/'WICHE Public Grads-RE PROJ'!L20</f>
        <v>0.59467001533448349</v>
      </c>
      <c r="HJ19" s="267">
        <f>+'WICHE Public Grads-RE PROJ'!IZ20/'WICHE Public Grads-RE PROJ'!M20</f>
        <v>0.59115020657594985</v>
      </c>
      <c r="HK19" s="267">
        <f>+'WICHE Public Grads-RE PROJ'!JA20/'WICHE Public Grads-RE PROJ'!N20</f>
        <v>0.58221200330976386</v>
      </c>
      <c r="HL19" s="267">
        <f>+'WICHE Public Grads-RE PROJ'!JB20/'WICHE Public Grads-RE PROJ'!O20</f>
        <v>0.58281511438739197</v>
      </c>
      <c r="HM19" s="267">
        <f>+'WICHE Public Grads-RE PROJ'!JC20/'WICHE Public Grads-RE PROJ'!P20</f>
        <v>0.59155628172959096</v>
      </c>
      <c r="HN19" s="267">
        <f>+'WICHE Public Grads-RE PROJ'!JD20/'WICHE Public Grads-RE PROJ'!Q20</f>
        <v>0.59992024609775552</v>
      </c>
      <c r="HO19" s="267">
        <f>+'WICHE Public Grads-RE PROJ'!JE20/'WICHE Public Grads-RE PROJ'!R20</f>
        <v>0.58683398011500443</v>
      </c>
      <c r="HP19" s="267">
        <f>+'WICHE Public Grads-RE PROJ'!JF20/'WICHE Public Grads-RE PROJ'!S20</f>
        <v>0.57403998568287573</v>
      </c>
      <c r="HQ19" s="267">
        <f>+'WICHE Public Grads-RE PROJ'!JG20/'WICHE Public Grads-RE PROJ'!T20</f>
        <v>0.56840100895197587</v>
      </c>
      <c r="HR19" s="267">
        <f>+'WICHE Public Grads-RE PROJ'!JH20/'WICHE Public Grads-RE PROJ'!U20</f>
        <v>0.56827730156310685</v>
      </c>
      <c r="HS19" s="267">
        <f>+'WICHE Public Grads-RE PROJ'!JI20/'WICHE Public Grads-RE PROJ'!V20</f>
        <v>0.57296835840009053</v>
      </c>
      <c r="HT19" s="267">
        <f>+'WICHE Public Grads-RE PROJ'!JJ20/'WICHE Public Grads-RE PROJ'!W20</f>
        <v>0.57439041039243877</v>
      </c>
      <c r="HU19" s="268">
        <f>+'WICHE Public Grads-RE PROJ'!JK20/'WICHE Public Grads-RE PROJ'!Y20</f>
        <v>0.58731893293370752</v>
      </c>
      <c r="HV19" s="268">
        <f>+'WICHE Public Grads-RE PROJ'!JL20/'WICHE Public Grads-RE PROJ'!Z20</f>
        <v>0.58763388456559262</v>
      </c>
      <c r="HW19" s="268">
        <f>+'WICHE Public Grads-RE PROJ'!JM20/'WICHE Public Grads-RE PROJ'!AA20</f>
        <v>0.58570009699984371</v>
      </c>
      <c r="HX19" s="268">
        <f>+'WICHE Public Grads-RE PROJ'!JN20/'WICHE Public Grads-RE PROJ'!AB20</f>
        <v>0.59666987236546676</v>
      </c>
      <c r="HY19" s="266">
        <f>+'WICHE Public Grads-RE PROJ'!JO20/'WICHE Public Grads-RE PROJ'!AC20</f>
        <v>0.58294830919613938</v>
      </c>
      <c r="HZ19" s="266">
        <f>+'WICHE Public Grads-RE PROJ'!JP20/'WICHE Public Grads-RE PROJ'!AD20</f>
        <v>0.58260650956798654</v>
      </c>
      <c r="IA19" s="266">
        <f>+'WICHE Public Grads-RE PROJ'!JQ20/'WICHE Public Grads-RE PROJ'!AE20</f>
        <v>0.58767612948564674</v>
      </c>
      <c r="IB19" s="266">
        <f>+'WICHE Public Grads-RE PROJ'!JR20/'WICHE Public Grads-RE PROJ'!AF20</f>
        <v>0.59158696140618117</v>
      </c>
      <c r="IC19" s="266">
        <f>+'WICHE Public Grads-RE PROJ'!JS20/'WICHE Public Grads-RE PROJ'!AG20</f>
        <v>0.59279031322238485</v>
      </c>
      <c r="ID19" s="268">
        <f>+'WICHE Public Grads-RE PROJ'!JT20/'WICHE Public Grads-RE PROJ'!AH20</f>
        <v>0.58500851285404898</v>
      </c>
      <c r="IE19" s="266">
        <f>+'WICHE Public Grads-RE PROJ'!JU20/'WICHE Public Grads-RE PROJ'!AI20</f>
        <v>0.57697707398419018</v>
      </c>
      <c r="IF19" s="266">
        <f>+'WICHE Public Grads-RE PROJ'!JV20/'WICHE Public Grads-RE PROJ'!AJ20</f>
        <v>0.57234763167824099</v>
      </c>
      <c r="IG19" s="266">
        <f>+'WICHE Public Grads-RE PROJ'!JW20/'WICHE Public Grads-RE PROJ'!AK20</f>
        <v>0.56715409424620578</v>
      </c>
      <c r="IH19" s="266">
        <f>+'WICHE Public Grads-RE PROJ'!JX20/'WICHE Public Grads-RE PROJ'!AL20</f>
        <v>0.57939784955560258</v>
      </c>
      <c r="II19" s="266">
        <f>+'WICHE Public Grads-RE PROJ'!JY20/'WICHE Public Grads-RE PROJ'!AM20</f>
        <v>0.58832305689855302</v>
      </c>
      <c r="IJ19" s="266">
        <f>+'WICHE Public Grads-RE PROJ'!JZ20/'WICHE Public Grads-RE PROJ'!AN20</f>
        <v>0.59356943556624009</v>
      </c>
      <c r="IK19" s="266">
        <f>+'WICHE Public Grads-RE PROJ'!KA20/'WICHE Public Grads-RE PROJ'!AO20</f>
        <v>0.59323431608823163</v>
      </c>
      <c r="IL19" s="266">
        <f>+'WICHE Public Grads-RE PROJ'!KB20/'WICHE Public Grads-RE PROJ'!AP20</f>
        <v>0.60085738141695455</v>
      </c>
      <c r="IM19" s="282">
        <f>+'WICHE Public Grads-RE PROJ'!KC20/'WICHE Public Grads-RE PROJ'!AQ20</f>
        <v>0.6022339883836979</v>
      </c>
      <c r="IN19" s="278">
        <f t="shared" si="5"/>
        <v>1</v>
      </c>
      <c r="IO19" s="278">
        <f t="shared" si="6"/>
        <v>0.99999999999999989</v>
      </c>
      <c r="IP19" s="278">
        <f t="shared" si="7"/>
        <v>0.99999999999999989</v>
      </c>
      <c r="IQ19" s="278">
        <f t="shared" si="8"/>
        <v>1</v>
      </c>
      <c r="IR19" s="278">
        <f t="shared" si="9"/>
        <v>0.99999999999999989</v>
      </c>
      <c r="IS19" s="278">
        <f t="shared" si="10"/>
        <v>1</v>
      </c>
      <c r="IT19" s="278">
        <f t="shared" si="11"/>
        <v>1</v>
      </c>
      <c r="IU19" s="278">
        <f t="shared" si="12"/>
        <v>1</v>
      </c>
      <c r="IV19" s="278">
        <f t="shared" si="13"/>
        <v>1</v>
      </c>
      <c r="IW19" s="278">
        <f t="shared" si="14"/>
        <v>0.99997051123426361</v>
      </c>
      <c r="IX19" s="278">
        <f t="shared" si="15"/>
        <v>0.99299567453996562</v>
      </c>
      <c r="IY19" s="278">
        <f t="shared" si="16"/>
        <v>0.9981340797931163</v>
      </c>
      <c r="IZ19" s="278">
        <f t="shared" si="17"/>
        <v>0.99832780308108926</v>
      </c>
      <c r="JA19" s="278">
        <f t="shared" si="18"/>
        <v>1.0036635635096745</v>
      </c>
      <c r="JB19" s="278">
        <f t="shared" si="19"/>
        <v>0.99787010561941991</v>
      </c>
      <c r="JC19" s="278">
        <f t="shared" si="20"/>
        <v>0.99242337928677227</v>
      </c>
      <c r="JD19" s="278">
        <f t="shared" si="21"/>
        <v>0.99328668951647181</v>
      </c>
      <c r="JE19" s="278">
        <f t="shared" si="22"/>
        <v>0.99537250089482032</v>
      </c>
      <c r="JF19" s="278">
        <f t="shared" si="23"/>
        <v>0.99688411889806616</v>
      </c>
      <c r="JG19" s="278">
        <f t="shared" si="24"/>
        <v>1</v>
      </c>
      <c r="JH19" s="278">
        <f t="shared" si="25"/>
        <v>1</v>
      </c>
      <c r="JI19" s="278">
        <f t="shared" si="26"/>
        <v>1</v>
      </c>
      <c r="JJ19" s="278">
        <f t="shared" si="27"/>
        <v>1.0000160978516486</v>
      </c>
      <c r="JK19" s="278">
        <f t="shared" si="28"/>
        <v>1.0013844626407327</v>
      </c>
      <c r="JL19" s="278">
        <f t="shared" si="29"/>
        <v>1.0028729461248593</v>
      </c>
      <c r="JM19" s="278">
        <f t="shared" si="30"/>
        <v>1.0060989016664794</v>
      </c>
      <c r="JN19" s="278">
        <f t="shared" si="31"/>
        <v>1.0051599650968985</v>
      </c>
      <c r="JO19" s="278">
        <f t="shared" si="32"/>
        <v>1.0062738042691155</v>
      </c>
      <c r="JP19" s="278">
        <f t="shared" si="33"/>
        <v>1.0092039178655228</v>
      </c>
      <c r="JQ19" s="278">
        <f t="shared" si="34"/>
        <v>1.0114200229420511</v>
      </c>
      <c r="JR19" s="278">
        <f t="shared" si="35"/>
        <v>1.0130086359027581</v>
      </c>
      <c r="JS19" s="278">
        <f t="shared" si="36"/>
        <v>1.0138210067659923</v>
      </c>
      <c r="JT19" s="278">
        <f t="shared" si="37"/>
        <v>1.0146829542369287</v>
      </c>
      <c r="JU19" s="278">
        <f t="shared" si="38"/>
        <v>1.0147756042169944</v>
      </c>
      <c r="JV19" s="278">
        <f t="shared" si="39"/>
        <v>1.0161125536874462</v>
      </c>
      <c r="JW19" s="278">
        <f t="shared" si="40"/>
        <v>1.0155183334965838</v>
      </c>
      <c r="JX19" s="278">
        <f t="shared" si="41"/>
        <v>1.0152649694659432</v>
      </c>
      <c r="JY19" s="278">
        <f t="shared" si="42"/>
        <v>1.0126538291736829</v>
      </c>
      <c r="JZ19" s="278">
        <f t="shared" si="42"/>
        <v>1.0119909754899894</v>
      </c>
      <c r="KA19" s="278">
        <f t="shared" si="42"/>
        <v>1.0112033146170787</v>
      </c>
      <c r="KB19" s="278">
        <f t="shared" si="42"/>
        <v>1.0123575153207587</v>
      </c>
    </row>
    <row r="20" spans="1:288">
      <c r="A20" s="173" t="s">
        <v>45</v>
      </c>
      <c r="B20" s="262">
        <f>+'WICHE Public Grads-RE PROJ'!AR21/'WICHE Public Grads-RE PROJ'!B21</f>
        <v>1.0044616786189819E-2</v>
      </c>
      <c r="C20" s="262">
        <f>+'WICHE Public Grads-RE PROJ'!AS21/'WICHE Public Grads-RE PROJ'!C21</f>
        <v>1.0355910010713011E-2</v>
      </c>
      <c r="D20" s="262">
        <f>+'WICHE Public Grads-RE PROJ'!AT21/'WICHE Public Grads-RE PROJ'!D21</f>
        <v>1.0752423601200727E-2</v>
      </c>
      <c r="E20" s="262">
        <f>+'WICHE Public Grads-RE PROJ'!AU21/'WICHE Public Grads-RE PROJ'!E21</f>
        <v>1.1762143323894575E-2</v>
      </c>
      <c r="F20" s="262">
        <f>+'WICHE Public Grads-RE PROJ'!AV21/'WICHE Public Grads-RE PROJ'!F21</f>
        <v>1.2715604647279149E-2</v>
      </c>
      <c r="G20" s="262">
        <f>+'WICHE Public Grads-RE PROJ'!AW21/'WICHE Public Grads-RE PROJ'!G21</f>
        <v>1.309560996708076E-2</v>
      </c>
      <c r="H20" s="267">
        <f>+'WICHE Public Grads-RE PROJ'!AX21/'WICHE Public Grads-RE PROJ'!H21</f>
        <v>1.3068452604911331E-2</v>
      </c>
      <c r="I20" s="267">
        <f>+'WICHE Public Grads-RE PROJ'!AY21/'WICHE Public Grads-RE PROJ'!I21</f>
        <v>1.4256319811875367E-2</v>
      </c>
      <c r="J20" s="267">
        <f>+'WICHE Public Grads-RE PROJ'!AZ21/'WICHE Public Grads-RE PROJ'!J21</f>
        <v>1.4794678726935937E-2</v>
      </c>
      <c r="K20" s="267">
        <f>+'WICHE Public Grads-RE PROJ'!BA21/'WICHE Public Grads-RE PROJ'!K21</f>
        <v>1.5297040354805372E-2</v>
      </c>
      <c r="L20" s="262">
        <f>+'WICHE Public Grads-RE PROJ'!BB21/'WICHE Public Grads-RE PROJ'!L21</f>
        <v>1.5116347111556707E-2</v>
      </c>
      <c r="M20" s="267">
        <f>+'WICHE Public Grads-RE PROJ'!BC21/'WICHE Public Grads-RE PROJ'!M21</f>
        <v>1.6593747874776143E-2</v>
      </c>
      <c r="N20" s="267">
        <f>+'WICHE Public Grads-RE PROJ'!BD21/'WICHE Public Grads-RE PROJ'!N21</f>
        <v>1.7116452620617843E-2</v>
      </c>
      <c r="O20" s="267">
        <f>+'WICHE Public Grads-RE PROJ'!BE21/'WICHE Public Grads-RE PROJ'!O21</f>
        <v>1.6407113223674611E-2</v>
      </c>
      <c r="P20" s="267">
        <f>+'WICHE Public Grads-RE PROJ'!BF21/'WICHE Public Grads-RE PROJ'!P21</f>
        <v>1.7747641509433962E-2</v>
      </c>
      <c r="Q20" s="267">
        <f>+'WICHE Public Grads-RE PROJ'!BG21/'WICHE Public Grads-RE PROJ'!Q21</f>
        <v>1.8861693148875272E-2</v>
      </c>
      <c r="R20" s="267">
        <f>+'WICHE Public Grads-RE PROJ'!BH21/'WICHE Public Grads-RE PROJ'!R21</f>
        <v>1.7586890721219078E-2</v>
      </c>
      <c r="S20" s="267">
        <f>+'WICHE Public Grads-RE PROJ'!BI21/'WICHE Public Grads-RE PROJ'!S21</f>
        <v>1.6979194275112644E-2</v>
      </c>
      <c r="T20" s="267">
        <f>+'WICHE Public Grads-RE PROJ'!BJ21/'WICHE Public Grads-RE PROJ'!T21</f>
        <v>1.9003973849506473E-2</v>
      </c>
      <c r="U20" s="267">
        <f>+'WICHE Public Grads-RE PROJ'!BK21/'WICHE Public Grads-RE PROJ'!U21</f>
        <v>1.9543500048495036E-2</v>
      </c>
      <c r="V20" s="267">
        <f>+'WICHE Public Grads-RE PROJ'!BL21/'WICHE Public Grads-RE PROJ'!V21</f>
        <v>2.0671214013513947E-2</v>
      </c>
      <c r="W20" s="267">
        <f>+'WICHE Public Grads-RE PROJ'!BM21/'WICHE Public Grads-RE PROJ'!W21</f>
        <v>2.1721050829215792E-2</v>
      </c>
      <c r="X20" s="268">
        <f>+'WICHE Public Grads-RE PROJ'!BN21/'WICHE Public Grads-RE PROJ'!Y21</f>
        <v>2.1046937932481385E-2</v>
      </c>
      <c r="Y20" s="268">
        <f>+'WICHE Public Grads-RE PROJ'!BO21/'WICHE Public Grads-RE PROJ'!Z21</f>
        <v>2.0606577696338235E-2</v>
      </c>
      <c r="Z20" s="268">
        <f>+'WICHE Public Grads-RE PROJ'!BP21/'WICHE Public Grads-RE PROJ'!AA21</f>
        <v>2.2160877909739172E-2</v>
      </c>
      <c r="AA20" s="268">
        <f>+'WICHE Public Grads-RE PROJ'!BQ21/'WICHE Public Grads-RE PROJ'!AB21</f>
        <v>2.2711973058148469E-2</v>
      </c>
      <c r="AB20" s="266">
        <f>+'WICHE Public Grads-RE PROJ'!BR21/'WICHE Public Grads-RE PROJ'!AC21</f>
        <v>2.3717962634258544E-2</v>
      </c>
      <c r="AC20" s="266">
        <f>+'WICHE Public Grads-RE PROJ'!BS21/'WICHE Public Grads-RE PROJ'!AD21</f>
        <v>2.4594712726398415E-2</v>
      </c>
      <c r="AD20" s="266">
        <f>+'WICHE Public Grads-RE PROJ'!BT21/'WICHE Public Grads-RE PROJ'!AE21</f>
        <v>2.4397425441799358E-2</v>
      </c>
      <c r="AE20" s="266">
        <f>+'WICHE Public Grads-RE PROJ'!BU21/'WICHE Public Grads-RE PROJ'!AF21</f>
        <v>2.6814044348435307E-2</v>
      </c>
      <c r="AF20" s="266">
        <f>+'WICHE Public Grads-RE PROJ'!BV21/'WICHE Public Grads-RE PROJ'!AG21</f>
        <v>2.6948070194056054E-2</v>
      </c>
      <c r="AG20" s="268">
        <f>+'WICHE Public Grads-RE PROJ'!BW21/'WICHE Public Grads-RE PROJ'!AH21</f>
        <v>2.5356060890098769E-2</v>
      </c>
      <c r="AH20" s="266">
        <f>+'WICHE Public Grads-RE PROJ'!BX21/'WICHE Public Grads-RE PROJ'!AI21</f>
        <v>2.6736386000700094E-2</v>
      </c>
      <c r="AI20" s="266">
        <f>+'WICHE Public Grads-RE PROJ'!BY21/'WICHE Public Grads-RE PROJ'!AJ21</f>
        <v>2.4452931294274116E-2</v>
      </c>
      <c r="AJ20" s="266">
        <f>+'WICHE Public Grads-RE PROJ'!BZ21/'WICHE Public Grads-RE PROJ'!AK21</f>
        <v>2.5158883601975809E-2</v>
      </c>
      <c r="AK20" s="266">
        <f>+'WICHE Public Grads-RE PROJ'!CA21/'WICHE Public Grads-RE PROJ'!AL21</f>
        <v>2.8722478602603088E-2</v>
      </c>
      <c r="AL20" s="266">
        <f>+'WICHE Public Grads-RE PROJ'!CB21/'WICHE Public Grads-RE PROJ'!AM21</f>
        <v>2.7599364250881272E-2</v>
      </c>
      <c r="AM20" s="266">
        <f>+'WICHE Public Grads-RE PROJ'!CC21/'WICHE Public Grads-RE PROJ'!AN21</f>
        <v>2.8632898611491236E-2</v>
      </c>
      <c r="AN20" s="266">
        <f>+'WICHE Public Grads-RE PROJ'!CD21/'WICHE Public Grads-RE PROJ'!AO21</f>
        <v>3.0544649608419298E-2</v>
      </c>
      <c r="AO20" s="266">
        <f>+'WICHE Public Grads-RE PROJ'!CE21/'WICHE Public Grads-RE PROJ'!AP21</f>
        <v>2.9394783140423399E-2</v>
      </c>
      <c r="AP20" s="282">
        <f>+'WICHE Public Grads-RE PROJ'!CF21/'WICHE Public Grads-RE PROJ'!AQ21</f>
        <v>3.1399610928391782E-2</v>
      </c>
      <c r="AQ20" s="262">
        <f>+'WICHE Public Grads-RE PROJ'!CG21/'WICHE Public Grads-RE PROJ'!B21</f>
        <v>6.3070849587703519E-4</v>
      </c>
      <c r="AR20" s="262">
        <f>+'WICHE Public Grads-RE PROJ'!CH21/'WICHE Public Grads-RE PROJ'!C21</f>
        <v>5.9516724199500061E-4</v>
      </c>
      <c r="AS20" s="262">
        <f>+'WICHE Public Grads-RE PROJ'!CI21/'WICHE Public Grads-RE PROJ'!D21</f>
        <v>5.6591703164214364E-4</v>
      </c>
      <c r="AT20" s="262">
        <f>+'WICHE Public Grads-RE PROJ'!CJ21/'WICHE Public Grads-RE PROJ'!E21</f>
        <v>5.5664464290036057E-4</v>
      </c>
      <c r="AU20" s="262">
        <f>+'WICHE Public Grads-RE PROJ'!CK21/'WICHE Public Grads-RE PROJ'!F21</f>
        <v>8.8269675787866486E-4</v>
      </c>
      <c r="AV20" s="262">
        <f>+'WICHE Public Grads-RE PROJ'!CL21/'WICHE Public Grads-RE PROJ'!G21</f>
        <v>1.1774034649301968E-3</v>
      </c>
      <c r="AW20" s="267">
        <f>+'WICHE Public Grads-RE PROJ'!CM21/'WICHE Public Grads-RE PROJ'!H21</f>
        <v>1.3043369202598641E-3</v>
      </c>
      <c r="AX20" s="267">
        <f>+'WICHE Public Grads-RE PROJ'!CN21/'WICHE Public Grads-RE PROJ'!I21</f>
        <v>1.5187144816774447E-3</v>
      </c>
      <c r="AY20" s="267">
        <f>+'WICHE Public Grads-RE PROJ'!CO21/'WICHE Public Grads-RE PROJ'!J21</f>
        <v>1.467439678606654E-3</v>
      </c>
      <c r="AZ20" s="267">
        <f>+'WICHE Public Grads-RE PROJ'!CP21/'WICHE Public Grads-RE PROJ'!K21</f>
        <v>1.6235989124550956E-3</v>
      </c>
      <c r="BA20" s="262">
        <f>+'WICHE Public Grads-RE PROJ'!CQ21/'WICHE Public Grads-RE PROJ'!L21</f>
        <v>1.3848524448574363E-3</v>
      </c>
      <c r="BB20" s="267">
        <f>+'WICHE Public Grads-RE PROJ'!CR21/'WICHE Public Grads-RE PROJ'!M21</f>
        <v>1.9042005757939837E-3</v>
      </c>
      <c r="BC20" s="267">
        <f>+'WICHE Public Grads-RE PROJ'!CS21/'WICHE Public Grads-RE PROJ'!N21</f>
        <v>1.3667129468934397E-3</v>
      </c>
      <c r="BD20" s="267">
        <f>+'WICHE Public Grads-RE PROJ'!CT21/'WICHE Public Grads-RE PROJ'!O21</f>
        <v>9.7984030687764509E-4</v>
      </c>
      <c r="BE20" s="267">
        <f>+'WICHE Public Grads-RE PROJ'!CU21/'WICHE Public Grads-RE PROJ'!P21</f>
        <v>1.4544025157232703E-3</v>
      </c>
      <c r="BF20" s="267">
        <f>+'WICHE Public Grads-RE PROJ'!CV21/'WICHE Public Grads-RE PROJ'!Q21</f>
        <v>1.724707350188984E-3</v>
      </c>
      <c r="BG20" s="267">
        <f>+'WICHE Public Grads-RE PROJ'!CW21/'WICHE Public Grads-RE PROJ'!R21</f>
        <v>1.8265316772779459E-3</v>
      </c>
      <c r="BH20" s="267">
        <f>+'WICHE Public Grads-RE PROJ'!CX21/'WICHE Public Grads-RE PROJ'!S21</f>
        <v>1.8055923668168566E-3</v>
      </c>
      <c r="BI20" s="267">
        <f>+'WICHE Public Grads-RE PROJ'!CY21/'WICHE Public Grads-RE PROJ'!T21</f>
        <v>1.9869247532367643E-3</v>
      </c>
      <c r="BJ20" s="267">
        <f>+'WICHE Public Grads-RE PROJ'!CZ21/'WICHE Public Grads-RE PROJ'!U21</f>
        <v>2.7318871035530699E-3</v>
      </c>
      <c r="BK20" s="267">
        <f>+'WICHE Public Grads-RE PROJ'!DA21/'WICHE Public Grads-RE PROJ'!V21</f>
        <v>2.7540269638453903E-3</v>
      </c>
      <c r="BL20" s="267">
        <f>+'WICHE Public Grads-RE PROJ'!DB21/'WICHE Public Grads-RE PROJ'!W21</f>
        <v>2.3971429969179589E-3</v>
      </c>
      <c r="BM20" s="268">
        <f>+'WICHE Public Grads-RE PROJ'!DC21/'WICHE Public Grads-RE PROJ'!Y21</f>
        <v>2.1609770705213211E-3</v>
      </c>
      <c r="BN20" s="268">
        <f>+'WICHE Public Grads-RE PROJ'!DD21/'WICHE Public Grads-RE PROJ'!Z21</f>
        <v>2.3710145109520839E-3</v>
      </c>
      <c r="BO20" s="268">
        <f>+'WICHE Public Grads-RE PROJ'!DE21/'WICHE Public Grads-RE PROJ'!AA21</f>
        <v>2.4096574286095675E-3</v>
      </c>
      <c r="BP20" s="268">
        <f>+'WICHE Public Grads-RE PROJ'!DF21/'WICHE Public Grads-RE PROJ'!AB21</f>
        <v>2.4868237001468233E-3</v>
      </c>
      <c r="BQ20" s="266">
        <f>+'WICHE Public Grads-RE PROJ'!DG21/'WICHE Public Grads-RE PROJ'!AC21</f>
        <v>2.3310010050222501E-3</v>
      </c>
      <c r="BR20" s="266">
        <f>+'WICHE Public Grads-RE PROJ'!DH21/'WICHE Public Grads-RE PROJ'!AD21</f>
        <v>2.2281498901820392E-3</v>
      </c>
      <c r="BS20" s="266">
        <f>+'WICHE Public Grads-RE PROJ'!DI21/'WICHE Public Grads-RE PROJ'!AE21</f>
        <v>2.3160899393737458E-3</v>
      </c>
      <c r="BT20" s="266">
        <f>+'WICHE Public Grads-RE PROJ'!DJ21/'WICHE Public Grads-RE PROJ'!AF21</f>
        <v>2.1485884957272517E-3</v>
      </c>
      <c r="BU20" s="266">
        <f>+'WICHE Public Grads-RE PROJ'!DK21/'WICHE Public Grads-RE PROJ'!AG21</f>
        <v>2.2519760011996039E-3</v>
      </c>
      <c r="BV20" s="268">
        <f>+'WICHE Public Grads-RE PROJ'!DL21/'WICHE Public Grads-RE PROJ'!AH21</f>
        <v>1.7309121230391765E-3</v>
      </c>
      <c r="BW20" s="266">
        <f>+'WICHE Public Grads-RE PROJ'!DM21/'WICHE Public Grads-RE PROJ'!AI21</f>
        <v>1.7182803575880993E-3</v>
      </c>
      <c r="BX20" s="266">
        <f>+'WICHE Public Grads-RE PROJ'!DN21/'WICHE Public Grads-RE PROJ'!AJ21</f>
        <v>1.5887006920604822E-3</v>
      </c>
      <c r="BY20" s="266">
        <f>+'WICHE Public Grads-RE PROJ'!DO21/'WICHE Public Grads-RE PROJ'!AK21</f>
        <v>1.3253412032693101E-3</v>
      </c>
      <c r="BZ20" s="266">
        <f>+'WICHE Public Grads-RE PROJ'!DP21/'WICHE Public Grads-RE PROJ'!AL21</f>
        <v>1.4817880410895933E-3</v>
      </c>
      <c r="CA20" s="266">
        <f>+'WICHE Public Grads-RE PROJ'!DQ21/'WICHE Public Grads-RE PROJ'!AM21</f>
        <v>1.9003976768549166E-3</v>
      </c>
      <c r="CB20" s="266">
        <f>+'WICHE Public Grads-RE PROJ'!DR21/'WICHE Public Grads-RE PROJ'!AN21</f>
        <v>1.4928010156842421E-3</v>
      </c>
      <c r="CC20" s="266">
        <f>+'WICHE Public Grads-RE PROJ'!DS21/'WICHE Public Grads-RE PROJ'!AO21</f>
        <v>1.519715730124088E-3</v>
      </c>
      <c r="CD20" s="266">
        <f>+'WICHE Public Grads-RE PROJ'!DT21/'WICHE Public Grads-RE PROJ'!AP21</f>
        <v>1.4579090175391202E-3</v>
      </c>
      <c r="CE20" s="282">
        <f>+'WICHE Public Grads-RE PROJ'!DU21/'WICHE Public Grads-RE PROJ'!AQ21</f>
        <v>1.6154474809295819E-3</v>
      </c>
      <c r="CF20" s="262">
        <f>+'WICHE Public Grads-RE PROJ'!DV21/'WICHE Public Grads-RE PROJ'!B21</f>
        <v>9.4139082903127846E-3</v>
      </c>
      <c r="CG20" s="262">
        <f>+'WICHE Public Grads-RE PROJ'!DW21/'WICHE Public Grads-RE PROJ'!C21</f>
        <v>9.7607427687180105E-3</v>
      </c>
      <c r="CH20" s="262">
        <f>+'WICHE Public Grads-RE PROJ'!DX21/'WICHE Public Grads-RE PROJ'!D21</f>
        <v>1.0186506569558584E-2</v>
      </c>
      <c r="CI20" s="262">
        <f>+'WICHE Public Grads-RE PROJ'!DY21/'WICHE Public Grads-RE PROJ'!E21</f>
        <v>1.1205498680994215E-2</v>
      </c>
      <c r="CJ20" s="262">
        <f>+'WICHE Public Grads-RE PROJ'!DZ21/'WICHE Public Grads-RE PROJ'!F21</f>
        <v>1.1832907889400482E-2</v>
      </c>
      <c r="CK20" s="262">
        <f>+'WICHE Public Grads-RE PROJ'!EA21/'WICHE Public Grads-RE PROJ'!G21</f>
        <v>1.1918206502150563E-2</v>
      </c>
      <c r="CL20" s="267">
        <f>+'WICHE Public Grads-RE PROJ'!EB21/'WICHE Public Grads-RE PROJ'!H21</f>
        <v>1.1764115684651466E-2</v>
      </c>
      <c r="CM20" s="267">
        <f>+'WICHE Public Grads-RE PROJ'!EC21/'WICHE Public Grads-RE PROJ'!I21</f>
        <v>1.2737605330197924E-2</v>
      </c>
      <c r="CN20" s="267">
        <f>+'WICHE Public Grads-RE PROJ'!ED21/'WICHE Public Grads-RE PROJ'!J21</f>
        <v>1.3327239048329284E-2</v>
      </c>
      <c r="CO20" s="267">
        <f>+'WICHE Public Grads-RE PROJ'!EE21/'WICHE Public Grads-RE PROJ'!K21</f>
        <v>1.3673441442350278E-2</v>
      </c>
      <c r="CP20" s="262">
        <f>+'WICHE Public Grads-RE PROJ'!EF21/'WICHE Public Grads-RE PROJ'!L21</f>
        <v>1.3731494666699271E-2</v>
      </c>
      <c r="CQ20" s="267">
        <f>+'WICHE Public Grads-RE PROJ'!EG21/'WICHE Public Grads-RE PROJ'!M21</f>
        <v>1.4689547298982159E-2</v>
      </c>
      <c r="CR20" s="267">
        <f>+'WICHE Public Grads-RE PROJ'!EH21/'WICHE Public Grads-RE PROJ'!N21</f>
        <v>1.5749739673724401E-2</v>
      </c>
      <c r="CS20" s="267">
        <f>+'WICHE Public Grads-RE PROJ'!EI21/'WICHE Public Grads-RE PROJ'!O21</f>
        <v>1.5427272916796965E-2</v>
      </c>
      <c r="CT20" s="267">
        <f>+'WICHE Public Grads-RE PROJ'!EJ21/'WICHE Public Grads-RE PROJ'!P21</f>
        <v>1.6293238993710692E-2</v>
      </c>
      <c r="CU20" s="267">
        <f>+'WICHE Public Grads-RE PROJ'!EK21/'WICHE Public Grads-RE PROJ'!Q21</f>
        <v>1.7136985798686288E-2</v>
      </c>
      <c r="CV20" s="267">
        <f>+'WICHE Public Grads-RE PROJ'!EL21/'WICHE Public Grads-RE PROJ'!R21</f>
        <v>1.5760359043941134E-2</v>
      </c>
      <c r="CW20" s="267">
        <f>+'WICHE Public Grads-RE PROJ'!EM21/'WICHE Public Grads-RE PROJ'!S21</f>
        <v>1.5173601908295786E-2</v>
      </c>
      <c r="CX20" s="267">
        <f>+'WICHE Public Grads-RE PROJ'!EN21/'WICHE Public Grads-RE PROJ'!T21</f>
        <v>1.701704909626971E-2</v>
      </c>
      <c r="CY20" s="267">
        <f>+'WICHE Public Grads-RE PROJ'!EO21/'WICHE Public Grads-RE PROJ'!U21</f>
        <v>1.6811612944941969E-2</v>
      </c>
      <c r="CZ20" s="267">
        <f>+'WICHE Public Grads-RE PROJ'!EP21/'WICHE Public Grads-RE PROJ'!V21</f>
        <v>1.7917187049668555E-2</v>
      </c>
      <c r="DA20" s="267">
        <f>+'WICHE Public Grads-RE PROJ'!EQ21/'WICHE Public Grads-RE PROJ'!W21</f>
        <v>1.9323907832297833E-2</v>
      </c>
      <c r="DB20" s="268">
        <f>+'WICHE Public Grads-RE PROJ'!ER21/'WICHE Public Grads-RE PROJ'!Y21</f>
        <v>1.8885960861960063E-2</v>
      </c>
      <c r="DC20" s="268">
        <f>+'WICHE Public Grads-RE PROJ'!ES21/'WICHE Public Grads-RE PROJ'!Z21</f>
        <v>1.8235563185386151E-2</v>
      </c>
      <c r="DD20" s="268">
        <f>+'WICHE Public Grads-RE PROJ'!ET21/'WICHE Public Grads-RE PROJ'!AA21</f>
        <v>1.9751220481129605E-2</v>
      </c>
      <c r="DE20" s="268">
        <f>+'WICHE Public Grads-RE PROJ'!EU21/'WICHE Public Grads-RE PROJ'!AB21</f>
        <v>2.0225149358001647E-2</v>
      </c>
      <c r="DF20" s="266">
        <f>+'WICHE Public Grads-RE PROJ'!EV21/'WICHE Public Grads-RE PROJ'!AC21</f>
        <v>2.1386961629236291E-2</v>
      </c>
      <c r="DG20" s="266">
        <f>+'WICHE Public Grads-RE PROJ'!EW21/'WICHE Public Grads-RE PROJ'!AD21</f>
        <v>2.2366562836216377E-2</v>
      </c>
      <c r="DH20" s="266">
        <f>+'WICHE Public Grads-RE PROJ'!EX21/'WICHE Public Grads-RE PROJ'!AE21</f>
        <v>2.2081335502425612E-2</v>
      </c>
      <c r="DI20" s="266">
        <f>+'WICHE Public Grads-RE PROJ'!EY21/'WICHE Public Grads-RE PROJ'!AF21</f>
        <v>2.466545585270806E-2</v>
      </c>
      <c r="DJ20" s="266">
        <f>+'WICHE Public Grads-RE PROJ'!EZ21/'WICHE Public Grads-RE PROJ'!AG21</f>
        <v>2.4696094192856448E-2</v>
      </c>
      <c r="DK20" s="268">
        <f>+'WICHE Public Grads-RE PROJ'!FA21/'WICHE Public Grads-RE PROJ'!AH21</f>
        <v>2.3625148767059592E-2</v>
      </c>
      <c r="DL20" s="266">
        <f>+'WICHE Public Grads-RE PROJ'!FB21/'WICHE Public Grads-RE PROJ'!AI21</f>
        <v>2.5018105643111993E-2</v>
      </c>
      <c r="DM20" s="266">
        <f>+'WICHE Public Grads-RE PROJ'!FC21/'WICHE Public Grads-RE PROJ'!AJ21</f>
        <v>2.2864230602213636E-2</v>
      </c>
      <c r="DN20" s="266">
        <f>+'WICHE Public Grads-RE PROJ'!FD21/'WICHE Public Grads-RE PROJ'!AK21</f>
        <v>2.3833542398706501E-2</v>
      </c>
      <c r="DO20" s="266">
        <f>+'WICHE Public Grads-RE PROJ'!FE21/'WICHE Public Grads-RE PROJ'!AL21</f>
        <v>2.7240690561513497E-2</v>
      </c>
      <c r="DP20" s="266">
        <f>+'WICHE Public Grads-RE PROJ'!FF21/'WICHE Public Grads-RE PROJ'!AM21</f>
        <v>2.5698966574026358E-2</v>
      </c>
      <c r="DQ20" s="266">
        <f>+'WICHE Public Grads-RE PROJ'!FG21/'WICHE Public Grads-RE PROJ'!AN21</f>
        <v>2.7140097595806996E-2</v>
      </c>
      <c r="DR20" s="266">
        <f>+'WICHE Public Grads-RE PROJ'!FH21/'WICHE Public Grads-RE PROJ'!AO21</f>
        <v>2.902493387829521E-2</v>
      </c>
      <c r="DS20" s="266">
        <f>+'WICHE Public Grads-RE PROJ'!FI21/'WICHE Public Grads-RE PROJ'!AP21</f>
        <v>2.793687412288428E-2</v>
      </c>
      <c r="DT20" s="282">
        <f>+'WICHE Public Grads-RE PROJ'!FJ21/'WICHE Public Grads-RE PROJ'!AQ21</f>
        <v>2.9784163447462198E-2</v>
      </c>
      <c r="DU20" s="262">
        <f>+'WICHE Public Grads-RE PROJ'!FK21/'WICHE Public Grads-RE PROJ'!B21</f>
        <v>0.18063958513396713</v>
      </c>
      <c r="DV20" s="262">
        <f>+'WICHE Public Grads-RE PROJ'!FL21/'WICHE Public Grads-RE PROJ'!C21</f>
        <v>0.1861206999166766</v>
      </c>
      <c r="DW20" s="262">
        <f>+'WICHE Public Grads-RE PROJ'!FM21/'WICHE Public Grads-RE PROJ'!D21</f>
        <v>0.17873136164558831</v>
      </c>
      <c r="DX20" s="262">
        <f>+'WICHE Public Grads-RE PROJ'!FN21/'WICHE Public Grads-RE PROJ'!E21</f>
        <v>0.17340690723396018</v>
      </c>
      <c r="DY20" s="262">
        <f>+'WICHE Public Grads-RE PROJ'!FO21/'WICHE Public Grads-RE PROJ'!F21</f>
        <v>0.18541403249278335</v>
      </c>
      <c r="DZ20" s="262">
        <f>+'WICHE Public Grads-RE PROJ'!FP21/'WICHE Public Grads-RE PROJ'!G21</f>
        <v>0.18021481606074441</v>
      </c>
      <c r="EA20" s="267">
        <f>+'WICHE Public Grads-RE PROJ'!FQ21/'WICHE Public Grads-RE PROJ'!H21</f>
        <v>0.20184613841021395</v>
      </c>
      <c r="EB20" s="267">
        <f>+'WICHE Public Grads-RE PROJ'!FR21/'WICHE Public Grads-RE PROJ'!I21</f>
        <v>0.20456104252400548</v>
      </c>
      <c r="EC20" s="267">
        <f>+'WICHE Public Grads-RE PROJ'!FS21/'WICHE Public Grads-RE PROJ'!J21</f>
        <v>0.20318025451658689</v>
      </c>
      <c r="ED20" s="267">
        <f>+'WICHE Public Grads-RE PROJ'!FT21/'WICHE Public Grads-RE PROJ'!K21</f>
        <v>0.19811819017272772</v>
      </c>
      <c r="EE20" s="262">
        <f>+'WICHE Public Grads-RE PROJ'!FU21/'WICHE Public Grads-RE PROJ'!L21</f>
        <v>0.203027170416198</v>
      </c>
      <c r="EF20" s="267">
        <f>+'WICHE Public Grads-RE PROJ'!FV21/'WICHE Public Grads-RE PROJ'!M21</f>
        <v>0.18835717362228821</v>
      </c>
      <c r="EG20" s="267">
        <f>+'WICHE Public Grads-RE PROJ'!FW21/'WICHE Public Grads-RE PROJ'!N21</f>
        <v>0.20177455744533149</v>
      </c>
      <c r="EH20" s="267">
        <f>+'WICHE Public Grads-RE PROJ'!FX21/'WICHE Public Grads-RE PROJ'!O21</f>
        <v>0.21026956032272187</v>
      </c>
      <c r="EI20" s="267">
        <f>+'WICHE Public Grads-RE PROJ'!FY21/'WICHE Public Grads-RE PROJ'!P21</f>
        <v>0.21788522012578615</v>
      </c>
      <c r="EJ20" s="267">
        <f>+'WICHE Public Grads-RE PROJ'!FZ21/'WICHE Public Grads-RE PROJ'!Q21</f>
        <v>0.2236248211074823</v>
      </c>
      <c r="EK20" s="267">
        <f>+'WICHE Public Grads-RE PROJ'!GA21/'WICHE Public Grads-RE PROJ'!R21</f>
        <v>0.2297428939219984</v>
      </c>
      <c r="EL20" s="267">
        <f>+'WICHE Public Grads-RE PROJ'!GB21/'WICHE Public Grads-RE PROJ'!S21</f>
        <v>0.23557182613305061</v>
      </c>
      <c r="EM20" s="267">
        <f>+'WICHE Public Grads-RE PROJ'!GC21/'WICHE Public Grads-RE PROJ'!T21</f>
        <v>0.24423150878092553</v>
      </c>
      <c r="EN20" s="267">
        <f>+'WICHE Public Grads-RE PROJ'!GD21/'WICHE Public Grads-RE PROJ'!U21</f>
        <v>0.24333193236558792</v>
      </c>
      <c r="EO20" s="267">
        <f>+'WICHE Public Grads-RE PROJ'!GE21/'WICHE Public Grads-RE PROJ'!V21</f>
        <v>0.24461203445736063</v>
      </c>
      <c r="EP20" s="267">
        <f>+'WICHE Public Grads-RE PROJ'!GF21/'WICHE Public Grads-RE PROJ'!W21</f>
        <v>0.23659964450532428</v>
      </c>
      <c r="EQ20" s="268">
        <f>+'WICHE Public Grads-RE PROJ'!GG21/'WICHE Public Grads-RE PROJ'!Y21</f>
        <v>0.23379404988780736</v>
      </c>
      <c r="ER20" s="268">
        <f>+'WICHE Public Grads-RE PROJ'!GH21/'WICHE Public Grads-RE PROJ'!Z21</f>
        <v>0.23162337474597056</v>
      </c>
      <c r="ES20" s="268">
        <f>+'WICHE Public Grads-RE PROJ'!GI21/'WICHE Public Grads-RE PROJ'!AA21</f>
        <v>0.22778016830719608</v>
      </c>
      <c r="ET20" s="268">
        <f>+'WICHE Public Grads-RE PROJ'!GJ21/'WICHE Public Grads-RE PROJ'!AB21</f>
        <v>0.22650880872647261</v>
      </c>
      <c r="EU20" s="266">
        <f>+'WICHE Public Grads-RE PROJ'!GK21/'WICHE Public Grads-RE PROJ'!AC21</f>
        <v>0.22352862939657453</v>
      </c>
      <c r="EV20" s="266">
        <f>+'WICHE Public Grads-RE PROJ'!GL21/'WICHE Public Grads-RE PROJ'!AD21</f>
        <v>0.218076914338419</v>
      </c>
      <c r="EW20" s="266">
        <f>+'WICHE Public Grads-RE PROJ'!GM21/'WICHE Public Grads-RE PROJ'!AE21</f>
        <v>0.2198588603884781</v>
      </c>
      <c r="EX20" s="266">
        <f>+'WICHE Public Grads-RE PROJ'!GN21/'WICHE Public Grads-RE PROJ'!AF21</f>
        <v>0.21834317997767314</v>
      </c>
      <c r="EY20" s="266">
        <f>+'WICHE Public Grads-RE PROJ'!GO21/'WICHE Public Grads-RE PROJ'!AG21</f>
        <v>0.21348175015505297</v>
      </c>
      <c r="EZ20" s="268">
        <f>+'WICHE Public Grads-RE PROJ'!GP21/'WICHE Public Grads-RE PROJ'!AH21</f>
        <v>0.2114279426054137</v>
      </c>
      <c r="FA20" s="266">
        <f>+'WICHE Public Grads-RE PROJ'!GQ21/'WICHE Public Grads-RE PROJ'!AI21</f>
        <v>0.21417062502639075</v>
      </c>
      <c r="FB20" s="266">
        <f>+'WICHE Public Grads-RE PROJ'!GR21/'WICHE Public Grads-RE PROJ'!AJ21</f>
        <v>0.21492287877097918</v>
      </c>
      <c r="FC20" s="266">
        <f>+'WICHE Public Grads-RE PROJ'!GS21/'WICHE Public Grads-RE PROJ'!AK21</f>
        <v>0.22323141121136411</v>
      </c>
      <c r="FD20" s="266">
        <f>+'WICHE Public Grads-RE PROJ'!GT21/'WICHE Public Grads-RE PROJ'!AL21</f>
        <v>0.222697227332459</v>
      </c>
      <c r="FE20" s="266">
        <f>+'WICHE Public Grads-RE PROJ'!GU21/'WICHE Public Grads-RE PROJ'!AM21</f>
        <v>0.2190875053982459</v>
      </c>
      <c r="FF20" s="266">
        <f>+'WICHE Public Grads-RE PROJ'!GV21/'WICHE Public Grads-RE PROJ'!AN21</f>
        <v>0.21758364523866591</v>
      </c>
      <c r="FG20" s="266">
        <f>+'WICHE Public Grads-RE PROJ'!GW21/'WICHE Public Grads-RE PROJ'!AO21</f>
        <v>0.21694014468789402</v>
      </c>
      <c r="FH20" s="266">
        <f>+'WICHE Public Grads-RE PROJ'!GX21/'WICHE Public Grads-RE PROJ'!AP21</f>
        <v>0.22028292090450938</v>
      </c>
      <c r="FI20" s="282">
        <f>+'WICHE Public Grads-RE PROJ'!GY21/'WICHE Public Grads-RE PROJ'!AQ21</f>
        <v>0.21817145029092999</v>
      </c>
      <c r="FJ20" s="262">
        <f>+'WICHE Public Grads-RE PROJ'!GZ21/'WICHE Public Grads-RE PROJ'!B21</f>
        <v>3.0834637576210612E-3</v>
      </c>
      <c r="FK20" s="262">
        <f>+'WICHE Public Grads-RE PROJ'!HA21/'WICHE Public Grads-RE PROJ'!C21</f>
        <v>3.4519700035710037E-3</v>
      </c>
      <c r="FL20" s="262">
        <f>+'WICHE Public Grads-RE PROJ'!HB21/'WICHE Public Grads-RE PROJ'!D21</f>
        <v>3.7645785148368686E-3</v>
      </c>
      <c r="FM20" s="262">
        <f>+'WICHE Public Grads-RE PROJ'!HC21/'WICHE Public Grads-RE PROJ'!E21</f>
        <v>4.3079454972288775E-3</v>
      </c>
      <c r="FN20" s="262">
        <f>+'WICHE Public Grads-RE PROJ'!HD21/'WICHE Public Grads-RE PROJ'!F21</f>
        <v>5.1530405324808548E-3</v>
      </c>
      <c r="FO20" s="262">
        <f>+'WICHE Public Grads-RE PROJ'!HE21/'WICHE Public Grads-RE PROJ'!G21</f>
        <v>5.7668741139438214E-3</v>
      </c>
      <c r="FP20" s="267">
        <f>+'WICHE Public Grads-RE PROJ'!HF21/'WICHE Public Grads-RE PROJ'!H21</f>
        <v>7.1989364637419419E-3</v>
      </c>
      <c r="FQ20" s="267">
        <f>+'WICHE Public Grads-RE PROJ'!HG21/'WICHE Public Grads-RE PROJ'!I21</f>
        <v>9.5532039976484427E-3</v>
      </c>
      <c r="FR20" s="267">
        <f>+'WICHE Public Grads-RE PROJ'!HH21/'WICHE Public Grads-RE PROJ'!J21</f>
        <v>8.4197358608578514E-3</v>
      </c>
      <c r="FS20" s="267">
        <f>+'WICHE Public Grads-RE PROJ'!HI21/'WICHE Public Grads-RE PROJ'!K21</f>
        <v>1.007413783032331E-2</v>
      </c>
      <c r="FT20" s="262">
        <f>+'WICHE Public Grads-RE PROJ'!HJ21/'WICHE Public Grads-RE PROJ'!L21</f>
        <v>1.1702978407590355E-2</v>
      </c>
      <c r="FU20" s="267">
        <f>+'WICHE Public Grads-RE PROJ'!HK21/'WICHE Public Grads-RE PROJ'!M21</f>
        <v>1.253598712397706E-2</v>
      </c>
      <c r="FV20" s="267">
        <f>+'WICHE Public Grads-RE PROJ'!HL21/'WICHE Public Grads-RE PROJ'!N21</f>
        <v>1.3927455744533149E-2</v>
      </c>
      <c r="FW20" s="267">
        <f>+'WICHE Public Grads-RE PROJ'!HM21/'WICHE Public Grads-RE PROJ'!O21</f>
        <v>1.7512039527174932E-2</v>
      </c>
      <c r="FX20" s="267">
        <f>+'WICHE Public Grads-RE PROJ'!HN21/'WICHE Public Grads-RE PROJ'!P21</f>
        <v>1.9555817610062892E-2</v>
      </c>
      <c r="FY20" s="267">
        <f>+'WICHE Public Grads-RE PROJ'!HO21/'WICHE Public Grads-RE PROJ'!Q21</f>
        <v>2.1026751311878464E-2</v>
      </c>
      <c r="FZ20" s="267">
        <f>+'WICHE Public Grads-RE PROJ'!HP21/'WICHE Public Grads-RE PROJ'!R21</f>
        <v>2.7258810840900392E-2</v>
      </c>
      <c r="GA20" s="267">
        <f>+'WICHE Public Grads-RE PROJ'!HQ21/'WICHE Public Grads-RE PROJ'!S21</f>
        <v>2.918764908560827E-2</v>
      </c>
      <c r="GB20" s="267">
        <f>+'WICHE Public Grads-RE PROJ'!HR21/'WICHE Public Grads-RE PROJ'!T21</f>
        <v>3.2784258428406612E-2</v>
      </c>
      <c r="GC20" s="267">
        <f>+'WICHE Public Grads-RE PROJ'!HS21/'WICHE Public Grads-RE PROJ'!U21</f>
        <v>3.6710743267272312E-2</v>
      </c>
      <c r="GD20" s="267">
        <f>+'WICHE Public Grads-RE PROJ'!HT21/'WICHE Public Grads-RE PROJ'!V21</f>
        <v>4.0814039132801745E-2</v>
      </c>
      <c r="GE20" s="267">
        <f>+'WICHE Public Grads-RE PROJ'!HU21/'WICHE Public Grads-RE PROJ'!W21</f>
        <v>4.5659866607961126E-2</v>
      </c>
      <c r="GF20" s="268">
        <f>+'WICHE Public Grads-RE PROJ'!HV21/'WICHE Public Grads-RE PROJ'!Y21</f>
        <v>5.1352053457689235E-2</v>
      </c>
      <c r="GG20" s="268">
        <f>+'WICHE Public Grads-RE PROJ'!HW21/'WICHE Public Grads-RE PROJ'!Z21</f>
        <v>5.4934731792716983E-2</v>
      </c>
      <c r="GH20" s="268">
        <f>+'WICHE Public Grads-RE PROJ'!HX21/'WICHE Public Grads-RE PROJ'!AA21</f>
        <v>5.745736465087535E-2</v>
      </c>
      <c r="GI20" s="268">
        <f>+'WICHE Public Grads-RE PROJ'!HY21/'WICHE Public Grads-RE PROJ'!AB21</f>
        <v>6.2304735830979133E-2</v>
      </c>
      <c r="GJ20" s="266">
        <f>+'WICHE Public Grads-RE PROJ'!HZ21/'WICHE Public Grads-RE PROJ'!AC21</f>
        <v>7.0340383539400059E-2</v>
      </c>
      <c r="GK20" s="266">
        <f>+'WICHE Public Grads-RE PROJ'!IA21/'WICHE Public Grads-RE PROJ'!AD21</f>
        <v>7.9586525180952786E-2</v>
      </c>
      <c r="GL20" s="266">
        <f>+'WICHE Public Grads-RE PROJ'!IB21/'WICHE Public Grads-RE PROJ'!AE21</f>
        <v>8.3374604332133465E-2</v>
      </c>
      <c r="GM20" s="266">
        <f>+'WICHE Public Grads-RE PROJ'!IC21/'WICHE Public Grads-RE PROJ'!AF21</f>
        <v>9.0462251726512996E-2</v>
      </c>
      <c r="GN20" s="266">
        <f>+'WICHE Public Grads-RE PROJ'!ID21/'WICHE Public Grads-RE PROJ'!AG21</f>
        <v>9.6949498407997756E-2</v>
      </c>
      <c r="GO20" s="268">
        <f>+'WICHE Public Grads-RE PROJ'!IE21/'WICHE Public Grads-RE PROJ'!AH21</f>
        <v>0.1087943370371646</v>
      </c>
      <c r="GP20" s="266">
        <f>+'WICHE Public Grads-RE PROJ'!IF21/'WICHE Public Grads-RE PROJ'!AI21</f>
        <v>0.1173859628313968</v>
      </c>
      <c r="GQ20" s="266">
        <f>+'WICHE Public Grads-RE PROJ'!IG21/'WICHE Public Grads-RE PROJ'!AJ21</f>
        <v>0.12574528155622983</v>
      </c>
      <c r="GR20" s="266">
        <f>+'WICHE Public Grads-RE PROJ'!IH21/'WICHE Public Grads-RE PROJ'!AK21</f>
        <v>0.12234235107744341</v>
      </c>
      <c r="GS20" s="266">
        <f>+'WICHE Public Grads-RE PROJ'!II21/'WICHE Public Grads-RE PROJ'!AL21</f>
        <v>0.11722815450405411</v>
      </c>
      <c r="GT20" s="266">
        <f>+'WICHE Public Grads-RE PROJ'!IJ21/'WICHE Public Grads-RE PROJ'!AM21</f>
        <v>0.11569257912392272</v>
      </c>
      <c r="GU20" s="266">
        <f>+'WICHE Public Grads-RE PROJ'!IK21/'WICHE Public Grads-RE PROJ'!AN21</f>
        <v>0.11371722499006508</v>
      </c>
      <c r="GV20" s="266">
        <f>+'WICHE Public Grads-RE PROJ'!IL21/'WICHE Public Grads-RE PROJ'!AO21</f>
        <v>0.11263544591498056</v>
      </c>
      <c r="GW20" s="266">
        <f>+'WICHE Public Grads-RE PROJ'!IM21/'WICHE Public Grads-RE PROJ'!AP21</f>
        <v>0.11106370912012656</v>
      </c>
      <c r="GX20" s="282">
        <f>+'WICHE Public Grads-RE PROJ'!IN21/'WICHE Public Grads-RE PROJ'!AQ21</f>
        <v>0.11076604170752895</v>
      </c>
      <c r="GY20" s="262">
        <f>+'WICHE Public Grads-RE PROJ'!IO21/'WICHE Public Grads-RE PROJ'!B21</f>
        <v>0.80623233432222197</v>
      </c>
      <c r="GZ20" s="262">
        <f>+'WICHE Public Grads-RE PROJ'!IP21/'WICHE Public Grads-RE PROJ'!C21</f>
        <v>0.80007142006903942</v>
      </c>
      <c r="HA20" s="262">
        <f>+'WICHE Public Grads-RE PROJ'!IQ21/'WICHE Public Grads-RE PROJ'!D21</f>
        <v>0.80675163623837398</v>
      </c>
      <c r="HB20" s="262">
        <f>+'WICHE Public Grads-RE PROJ'!IR21/'WICHE Public Grads-RE PROJ'!E21</f>
        <v>0.8105230039449165</v>
      </c>
      <c r="HC20" s="262">
        <f>+'WICHE Public Grads-RE PROJ'!IS21/'WICHE Public Grads-RE PROJ'!F21</f>
        <v>0.79671732232745662</v>
      </c>
      <c r="HD20" s="262">
        <f>+'WICHE Public Grads-RE PROJ'!IT21/'WICHE Public Grads-RE PROJ'!G21</f>
        <v>0.80092269985823106</v>
      </c>
      <c r="HE20" s="267">
        <f>+'WICHE Public Grads-RE PROJ'!IU21/'WICHE Public Grads-RE PROJ'!H21</f>
        <v>0.77788647252113274</v>
      </c>
      <c r="HF20" s="267">
        <f>+'WICHE Public Grads-RE PROJ'!IV21/'WICHE Public Grads-RE PROJ'!I21</f>
        <v>0.77162943366647074</v>
      </c>
      <c r="HG20" s="267">
        <f>+'WICHE Public Grads-RE PROJ'!IW21/'WICHE Public Grads-RE PROJ'!J21</f>
        <v>0.77360533089561934</v>
      </c>
      <c r="HH20" s="267">
        <f>+'WICHE Public Grads-RE PROJ'!IX21/'WICHE Public Grads-RE PROJ'!K21</f>
        <v>0.77651063161261746</v>
      </c>
      <c r="HI20" s="262">
        <f>+'WICHE Public Grads-RE PROJ'!IY21/'WICHE Public Grads-RE PROJ'!L21</f>
        <v>0.77015350418154249</v>
      </c>
      <c r="HJ20" s="267">
        <f>+'WICHE Public Grads-RE PROJ'!IZ21/'WICHE Public Grads-RE PROJ'!M21</f>
        <v>0.78251309137895864</v>
      </c>
      <c r="HK20" s="267">
        <f>+'WICHE Public Grads-RE PROJ'!JA21/'WICHE Public Grads-RE PROJ'!N21</f>
        <v>0.76718153418951751</v>
      </c>
      <c r="HL20" s="267">
        <f>+'WICHE Public Grads-RE PROJ'!JB21/'WICHE Public Grads-RE PROJ'!O21</f>
        <v>0.75581128692642863</v>
      </c>
      <c r="HM20" s="267">
        <f>+'WICHE Public Grads-RE PROJ'!JC21/'WICHE Public Grads-RE PROJ'!P21</f>
        <v>0.74481132075471701</v>
      </c>
      <c r="HN20" s="267">
        <f>+'WICHE Public Grads-RE PROJ'!JD21/'WICHE Public Grads-RE PROJ'!Q21</f>
        <v>0.73648673443176393</v>
      </c>
      <c r="HO20" s="267">
        <f>+'WICHE Public Grads-RE PROJ'!JE21/'WICHE Public Grads-RE PROJ'!R21</f>
        <v>0.72539400897609851</v>
      </c>
      <c r="HP20" s="267">
        <f>+'WICHE Public Grads-RE PROJ'!JF21/'WICHE Public Grads-RE PROJ'!S21</f>
        <v>0.71826133050622842</v>
      </c>
      <c r="HQ20" s="267">
        <f>+'WICHE Public Grads-RE PROJ'!JG21/'WICHE Public Grads-RE PROJ'!T21</f>
        <v>0.70398025894116134</v>
      </c>
      <c r="HR20" s="267">
        <f>+'WICHE Public Grads-RE PROJ'!JH21/'WICHE Public Grads-RE PROJ'!U21</f>
        <v>0.70041382431864474</v>
      </c>
      <c r="HS20" s="267">
        <f>+'WICHE Public Grads-RE PROJ'!JI21/'WICHE Public Grads-RE PROJ'!V21</f>
        <v>0.69390271239632373</v>
      </c>
      <c r="HT20" s="267">
        <f>+'WICHE Public Grads-RE PROJ'!JJ21/'WICHE Public Grads-RE PROJ'!W21</f>
        <v>0.69601943805749877</v>
      </c>
      <c r="HU20" s="268">
        <f>+'WICHE Public Grads-RE PROJ'!JK21/'WICHE Public Grads-RE PROJ'!Y21</f>
        <v>0.69373158545594493</v>
      </c>
      <c r="HV20" s="268">
        <f>+'WICHE Public Grads-RE PROJ'!JL21/'WICHE Public Grads-RE PROJ'!Z21</f>
        <v>0.69291308374463589</v>
      </c>
      <c r="HW20" s="268">
        <f>+'WICHE Public Grads-RE PROJ'!JM21/'WICHE Public Grads-RE PROJ'!AA21</f>
        <v>0.6927746955089451</v>
      </c>
      <c r="HX20" s="268">
        <f>+'WICHE Public Grads-RE PROJ'!JN21/'WICHE Public Grads-RE PROJ'!AB21</f>
        <v>0.68883164784921258</v>
      </c>
      <c r="HY20" s="266">
        <f>+'WICHE Public Grads-RE PROJ'!JO21/'WICHE Public Grads-RE PROJ'!AC21</f>
        <v>0.68390663969257981</v>
      </c>
      <c r="HZ20" s="266">
        <f>+'WICHE Public Grads-RE PROJ'!JP21/'WICHE Public Grads-RE PROJ'!AD21</f>
        <v>0.68052638901512941</v>
      </c>
      <c r="IA20" s="266">
        <f>+'WICHE Public Grads-RE PROJ'!JQ21/'WICHE Public Grads-RE PROJ'!AE21</f>
        <v>0.67541660871186493</v>
      </c>
      <c r="IB20" s="266">
        <f>+'WICHE Public Grads-RE PROJ'!JR21/'WICHE Public Grads-RE PROJ'!AF21</f>
        <v>0.66884995092659849</v>
      </c>
      <c r="IC20" s="266">
        <f>+'WICHE Public Grads-RE PROJ'!JS21/'WICHE Public Grads-RE PROJ'!AG21</f>
        <v>0.6684589612857228</v>
      </c>
      <c r="ID20" s="268">
        <f>+'WICHE Public Grads-RE PROJ'!JT21/'WICHE Public Grads-RE PROJ'!AH21</f>
        <v>0.66226987519387959</v>
      </c>
      <c r="IE20" s="266">
        <f>+'WICHE Public Grads-RE PROJ'!JU21/'WICHE Public Grads-RE PROJ'!AI21</f>
        <v>0.65111868954169327</v>
      </c>
      <c r="IF20" s="266">
        <f>+'WICHE Public Grads-RE PROJ'!JV21/'WICHE Public Grads-RE PROJ'!AJ21</f>
        <v>0.64560639124630392</v>
      </c>
      <c r="IG20" s="266">
        <f>+'WICHE Public Grads-RE PROJ'!JW21/'WICHE Public Grads-RE PROJ'!AK21</f>
        <v>0.64194913211912019</v>
      </c>
      <c r="IH20" s="266">
        <f>+'WICHE Public Grads-RE PROJ'!JX21/'WICHE Public Grads-RE PROJ'!AL21</f>
        <v>0.64323882503586116</v>
      </c>
      <c r="II20" s="266">
        <f>+'WICHE Public Grads-RE PROJ'!JY21/'WICHE Public Grads-RE PROJ'!AM21</f>
        <v>0.64808642424151097</v>
      </c>
      <c r="IJ20" s="266">
        <f>+'WICHE Public Grads-RE PROJ'!JZ21/'WICHE Public Grads-RE PROJ'!AN21</f>
        <v>0.64939086606852414</v>
      </c>
      <c r="IK20" s="266">
        <f>+'WICHE Public Grads-RE PROJ'!KA21/'WICHE Public Grads-RE PROJ'!AO21</f>
        <v>0.64950773310742083</v>
      </c>
      <c r="IL20" s="266">
        <f>+'WICHE Public Grads-RE PROJ'!KB21/'WICHE Public Grads-RE PROJ'!AP21</f>
        <v>0.64838255440308445</v>
      </c>
      <c r="IM20" s="282">
        <f>+'WICHE Public Grads-RE PROJ'!KC21/'WICHE Public Grads-RE PROJ'!AQ21</f>
        <v>0.64884576534553928</v>
      </c>
      <c r="IN20" s="278">
        <f t="shared" si="5"/>
        <v>1</v>
      </c>
      <c r="IO20" s="278">
        <f t="shared" si="6"/>
        <v>1</v>
      </c>
      <c r="IP20" s="278">
        <f t="shared" si="7"/>
        <v>0.99999999999999989</v>
      </c>
      <c r="IQ20" s="278">
        <f t="shared" si="8"/>
        <v>1.0000000000000002</v>
      </c>
      <c r="IR20" s="278">
        <f t="shared" si="9"/>
        <v>1</v>
      </c>
      <c r="IS20" s="278">
        <f t="shared" si="10"/>
        <v>1</v>
      </c>
      <c r="IT20" s="278">
        <f t="shared" si="11"/>
        <v>1</v>
      </c>
      <c r="IU20" s="278">
        <f t="shared" si="12"/>
        <v>1</v>
      </c>
      <c r="IV20" s="278">
        <f t="shared" si="13"/>
        <v>1</v>
      </c>
      <c r="IW20" s="278">
        <f t="shared" si="14"/>
        <v>0.99999999997047384</v>
      </c>
      <c r="IX20" s="278">
        <f t="shared" si="15"/>
        <v>1.0000000001168876</v>
      </c>
      <c r="IY20" s="278">
        <f t="shared" si="16"/>
        <v>1</v>
      </c>
      <c r="IZ20" s="278">
        <f t="shared" si="17"/>
        <v>1</v>
      </c>
      <c r="JA20" s="278">
        <f t="shared" si="18"/>
        <v>1</v>
      </c>
      <c r="JB20" s="278">
        <f t="shared" si="19"/>
        <v>1</v>
      </c>
      <c r="JC20" s="278">
        <f t="shared" si="20"/>
        <v>1</v>
      </c>
      <c r="JD20" s="278">
        <f t="shared" si="21"/>
        <v>0.99998260446021636</v>
      </c>
      <c r="JE20" s="278">
        <f t="shared" si="22"/>
        <v>1</v>
      </c>
      <c r="JF20" s="278">
        <f t="shared" si="23"/>
        <v>1</v>
      </c>
      <c r="JG20" s="278">
        <f t="shared" si="24"/>
        <v>1</v>
      </c>
      <c r="JH20" s="278">
        <f t="shared" si="25"/>
        <v>1</v>
      </c>
      <c r="JI20" s="278">
        <f t="shared" si="26"/>
        <v>1</v>
      </c>
      <c r="JJ20" s="278">
        <f t="shared" si="27"/>
        <v>0.99992462673392291</v>
      </c>
      <c r="JK20" s="278">
        <f t="shared" si="28"/>
        <v>1.0000777679796617</v>
      </c>
      <c r="JL20" s="278">
        <f t="shared" si="29"/>
        <v>1.0001731063767556</v>
      </c>
      <c r="JM20" s="278">
        <f t="shared" si="30"/>
        <v>1.0003571654648127</v>
      </c>
      <c r="JN20" s="278">
        <f t="shared" si="31"/>
        <v>1.0014936152628129</v>
      </c>
      <c r="JO20" s="278">
        <f t="shared" si="32"/>
        <v>1.0027845412608996</v>
      </c>
      <c r="JP20" s="278">
        <f t="shared" si="33"/>
        <v>1.0030474988742759</v>
      </c>
      <c r="JQ20" s="278">
        <f t="shared" si="34"/>
        <v>1.0044694269792198</v>
      </c>
      <c r="JR20" s="278">
        <f t="shared" si="35"/>
        <v>1.0058382800428296</v>
      </c>
      <c r="JS20" s="278">
        <f t="shared" si="36"/>
        <v>1.0078482157265567</v>
      </c>
      <c r="JT20" s="278">
        <f t="shared" si="37"/>
        <v>1.0094116634001808</v>
      </c>
      <c r="JU20" s="278">
        <f t="shared" si="38"/>
        <v>1.010727482867787</v>
      </c>
      <c r="JV20" s="278">
        <f t="shared" si="39"/>
        <v>1.0126817780099036</v>
      </c>
      <c r="JW20" s="278">
        <f t="shared" si="40"/>
        <v>1.0118866854749773</v>
      </c>
      <c r="JX20" s="278">
        <f t="shared" si="41"/>
        <v>1.0104658730145608</v>
      </c>
      <c r="JY20" s="278">
        <f t="shared" si="42"/>
        <v>1.0093246349087464</v>
      </c>
      <c r="JZ20" s="278">
        <f t="shared" si="42"/>
        <v>1.0096279733187146</v>
      </c>
      <c r="KA20" s="278">
        <f t="shared" si="42"/>
        <v>1.0091239675681438</v>
      </c>
      <c r="KB20" s="278">
        <f t="shared" si="42"/>
        <v>1.00918286827239</v>
      </c>
    </row>
    <row r="21" spans="1:288" s="17" customFormat="1">
      <c r="A21" s="173" t="s">
        <v>46</v>
      </c>
      <c r="B21" s="262">
        <f>+'WICHE Public Grads-RE PROJ'!AR22/'WICHE Public Grads-RE PROJ'!B22</f>
        <v>2.7768533924939914E-2</v>
      </c>
      <c r="C21" s="262">
        <f>+'WICHE Public Grads-RE PROJ'!AS22/'WICHE Public Grads-RE PROJ'!C22</f>
        <v>2.9424588591431738E-2</v>
      </c>
      <c r="D21" s="262">
        <f>+'WICHE Public Grads-RE PROJ'!AT22/'WICHE Public Grads-RE PROJ'!D22</f>
        <v>3.2869459712851809E-2</v>
      </c>
      <c r="E21" s="262">
        <f>+'WICHE Public Grads-RE PROJ'!AU22/'WICHE Public Grads-RE PROJ'!E22</f>
        <v>3.2814316412442313E-2</v>
      </c>
      <c r="F21" s="262">
        <f>+'WICHE Public Grads-RE PROJ'!AV22/'WICHE Public Grads-RE PROJ'!F22</f>
        <v>3.3448942063732223E-2</v>
      </c>
      <c r="G21" s="262">
        <f>+'WICHE Public Grads-RE PROJ'!AW22/'WICHE Public Grads-RE PROJ'!G22</f>
        <v>3.2756856661936035E-2</v>
      </c>
      <c r="H21" s="267">
        <f>+'WICHE Public Grads-RE PROJ'!AX22/'WICHE Public Grads-RE PROJ'!H22</f>
        <v>3.482498757518282E-2</v>
      </c>
      <c r="I21" s="267">
        <f>+'WICHE Public Grads-RE PROJ'!AY22/'WICHE Public Grads-RE PROJ'!I22</f>
        <v>3.3560643679969318E-2</v>
      </c>
      <c r="J21" s="267">
        <f>+'WICHE Public Grads-RE PROJ'!AZ22/'WICHE Public Grads-RE PROJ'!J22</f>
        <v>3.4674181049665374E-2</v>
      </c>
      <c r="K21" s="267">
        <f>+'WICHE Public Grads-RE PROJ'!BA22/'WICHE Public Grads-RE PROJ'!K22</f>
        <v>3.6188671533931523E-2</v>
      </c>
      <c r="L21" s="262">
        <f>+'WICHE Public Grads-RE PROJ'!BB22/'WICHE Public Grads-RE PROJ'!L22</f>
        <v>3.6794912220707299E-2</v>
      </c>
      <c r="M21" s="267">
        <f>+'WICHE Public Grads-RE PROJ'!BC22/'WICHE Public Grads-RE PROJ'!M22</f>
        <v>3.660057704179983E-2</v>
      </c>
      <c r="N21" s="267">
        <f>+'WICHE Public Grads-RE PROJ'!BD22/'WICHE Public Grads-RE PROJ'!N22</f>
        <v>3.7036430282800563E-2</v>
      </c>
      <c r="O21" s="267">
        <f>+'WICHE Public Grads-RE PROJ'!BE22/'WICHE Public Grads-RE PROJ'!O22</f>
        <v>3.8074062331832956E-2</v>
      </c>
      <c r="P21" s="267">
        <f>+'WICHE Public Grads-RE PROJ'!BF22/'WICHE Public Grads-RE PROJ'!P22</f>
        <v>4.0971370355739445E-2</v>
      </c>
      <c r="Q21" s="267">
        <f>+'WICHE Public Grads-RE PROJ'!BG22/'WICHE Public Grads-RE PROJ'!Q22</f>
        <v>4.3562624122590619E-2</v>
      </c>
      <c r="R21" s="267">
        <f>+'WICHE Public Grads-RE PROJ'!BH22/'WICHE Public Grads-RE PROJ'!R22</f>
        <v>4.2416141455888241E-2</v>
      </c>
      <c r="S21" s="267">
        <f>+'WICHE Public Grads-RE PROJ'!BI22/'WICHE Public Grads-RE PROJ'!S22</f>
        <v>4.3223914483019585E-2</v>
      </c>
      <c r="T21" s="267">
        <f>+'WICHE Public Grads-RE PROJ'!BJ22/'WICHE Public Grads-RE PROJ'!T22</f>
        <v>4.2585459283573164E-2</v>
      </c>
      <c r="U21" s="267">
        <f>+'WICHE Public Grads-RE PROJ'!BK22/'WICHE Public Grads-RE PROJ'!U22</f>
        <v>4.3426204289612233E-2</v>
      </c>
      <c r="V21" s="267">
        <f>+'WICHE Public Grads-RE PROJ'!BL22/'WICHE Public Grads-RE PROJ'!V22</f>
        <v>4.4684790252250035E-2</v>
      </c>
      <c r="W21" s="267">
        <f>+'WICHE Public Grads-RE PROJ'!BM22/'WICHE Public Grads-RE PROJ'!W22</f>
        <v>4.5663927140927388E-2</v>
      </c>
      <c r="X21" s="268">
        <f>+'WICHE Public Grads-RE PROJ'!BN22/'WICHE Public Grads-RE PROJ'!Y22</f>
        <v>4.8218948784459682E-2</v>
      </c>
      <c r="Y21" s="268">
        <f>+'WICHE Public Grads-RE PROJ'!BO22/'WICHE Public Grads-RE PROJ'!Z22</f>
        <v>4.9170530059020223E-2</v>
      </c>
      <c r="Z21" s="268">
        <f>+'WICHE Public Grads-RE PROJ'!BP22/'WICHE Public Grads-RE PROJ'!AA22</f>
        <v>4.7975867658166853E-2</v>
      </c>
      <c r="AA21" s="268">
        <f>+'WICHE Public Grads-RE PROJ'!BQ22/'WICHE Public Grads-RE PROJ'!AB22</f>
        <v>4.8324606248349319E-2</v>
      </c>
      <c r="AB21" s="266">
        <f>+'WICHE Public Grads-RE PROJ'!BR22/'WICHE Public Grads-RE PROJ'!AC22</f>
        <v>5.0070311832944712E-2</v>
      </c>
      <c r="AC21" s="266">
        <f>+'WICHE Public Grads-RE PROJ'!BS22/'WICHE Public Grads-RE PROJ'!AD22</f>
        <v>5.11970324640326E-2</v>
      </c>
      <c r="AD21" s="266">
        <f>+'WICHE Public Grads-RE PROJ'!BT22/'WICHE Public Grads-RE PROJ'!AE22</f>
        <v>5.208226482667213E-2</v>
      </c>
      <c r="AE21" s="266">
        <f>+'WICHE Public Grads-RE PROJ'!BU22/'WICHE Public Grads-RE PROJ'!AF22</f>
        <v>5.3564275520545344E-2</v>
      </c>
      <c r="AF21" s="266">
        <f>+'WICHE Public Grads-RE PROJ'!BV22/'WICHE Public Grads-RE PROJ'!AG22</f>
        <v>5.4615919094243612E-2</v>
      </c>
      <c r="AG21" s="268">
        <f>+'WICHE Public Grads-RE PROJ'!BW22/'WICHE Public Grads-RE PROJ'!AH22</f>
        <v>5.4897130303631643E-2</v>
      </c>
      <c r="AH21" s="266">
        <f>+'WICHE Public Grads-RE PROJ'!BX22/'WICHE Public Grads-RE PROJ'!AI22</f>
        <v>5.4839145537268007E-2</v>
      </c>
      <c r="AI21" s="266">
        <f>+'WICHE Public Grads-RE PROJ'!BY22/'WICHE Public Grads-RE PROJ'!AJ22</f>
        <v>5.5373597539405794E-2</v>
      </c>
      <c r="AJ21" s="266">
        <f>+'WICHE Public Grads-RE PROJ'!BZ22/'WICHE Public Grads-RE PROJ'!AK22</f>
        <v>6.007172440790514E-2</v>
      </c>
      <c r="AK21" s="266">
        <f>+'WICHE Public Grads-RE PROJ'!CA22/'WICHE Public Grads-RE PROJ'!AL22</f>
        <v>6.187633265524347E-2</v>
      </c>
      <c r="AL21" s="266">
        <f>+'WICHE Public Grads-RE PROJ'!CB22/'WICHE Public Grads-RE PROJ'!AM22</f>
        <v>6.4437236583796742E-2</v>
      </c>
      <c r="AM21" s="266">
        <f>+'WICHE Public Grads-RE PROJ'!CC22/'WICHE Public Grads-RE PROJ'!AN22</f>
        <v>6.6996149943441219E-2</v>
      </c>
      <c r="AN21" s="266">
        <f>+'WICHE Public Grads-RE PROJ'!CD22/'WICHE Public Grads-RE PROJ'!AO22</f>
        <v>7.2587472646989837E-2</v>
      </c>
      <c r="AO21" s="266">
        <f>+'WICHE Public Grads-RE PROJ'!CE22/'WICHE Public Grads-RE PROJ'!AP22</f>
        <v>7.1321204600170066E-2</v>
      </c>
      <c r="AP21" s="282">
        <f>+'WICHE Public Grads-RE PROJ'!CF22/'WICHE Public Grads-RE PROJ'!AQ22</f>
        <v>7.6073289221132406E-2</v>
      </c>
      <c r="AQ21" s="262">
        <f>+'WICHE Public Grads-RE PROJ'!CG22/'WICHE Public Grads-RE PROJ'!B22</f>
        <v>1.6823812164910334E-3</v>
      </c>
      <c r="AR21" s="262">
        <f>+'WICHE Public Grads-RE PROJ'!CH22/'WICHE Public Grads-RE PROJ'!C22</f>
        <v>2.0118844443337111E-3</v>
      </c>
      <c r="AS21" s="262">
        <f>+'WICHE Public Grads-RE PROJ'!CI22/'WICHE Public Grads-RE PROJ'!D22</f>
        <v>2.0895760182853221E-3</v>
      </c>
      <c r="AT21" s="262">
        <f>+'WICHE Public Grads-RE PROJ'!CJ22/'WICHE Public Grads-RE PROJ'!E22</f>
        <v>2.3484928547104897E-3</v>
      </c>
      <c r="AU21" s="262">
        <f>+'WICHE Public Grads-RE PROJ'!CK22/'WICHE Public Grads-RE PROJ'!F22</f>
        <v>2.380065640930146E-3</v>
      </c>
      <c r="AV21" s="262">
        <f>+'WICHE Public Grads-RE PROJ'!CL22/'WICHE Public Grads-RE PROJ'!G22</f>
        <v>2.3598138552427474E-3</v>
      </c>
      <c r="AW21" s="267">
        <f>+'WICHE Public Grads-RE PROJ'!CM22/'WICHE Public Grads-RE PROJ'!H22</f>
        <v>3.0630977858468653E-3</v>
      </c>
      <c r="AX21" s="267">
        <f>+'WICHE Public Grads-RE PROJ'!CN22/'WICHE Public Grads-RE PROJ'!I22</f>
        <v>2.3894627642052579E-3</v>
      </c>
      <c r="AY21" s="267">
        <f>+'WICHE Public Grads-RE PROJ'!CO22/'WICHE Public Grads-RE PROJ'!J22</f>
        <v>2.4468709639544439E-3</v>
      </c>
      <c r="AZ21" s="267">
        <f>+'WICHE Public Grads-RE PROJ'!CP22/'WICHE Public Grads-RE PROJ'!K22</f>
        <v>2.6658492634081998E-3</v>
      </c>
      <c r="BA21" s="262">
        <f>+'WICHE Public Grads-RE PROJ'!CQ22/'WICHE Public Grads-RE PROJ'!L22</f>
        <v>2.5669836166045648E-3</v>
      </c>
      <c r="BB21" s="267">
        <f>+'WICHE Public Grads-RE PROJ'!CR22/'WICHE Public Grads-RE PROJ'!M22</f>
        <v>2.8138137255313699E-3</v>
      </c>
      <c r="BC21" s="267">
        <f>+'WICHE Public Grads-RE PROJ'!CS22/'WICHE Public Grads-RE PROJ'!N22</f>
        <v>3.0266418200806831E-3</v>
      </c>
      <c r="BD21" s="267">
        <f>+'WICHE Public Grads-RE PROJ'!CT22/'WICHE Public Grads-RE PROJ'!O22</f>
        <v>3.1870914453292843E-3</v>
      </c>
      <c r="BE21" s="267">
        <f>+'WICHE Public Grads-RE PROJ'!CU22/'WICHE Public Grads-RE PROJ'!P22</f>
        <v>3.3931430234733976E-3</v>
      </c>
      <c r="BF21" s="267">
        <f>+'WICHE Public Grads-RE PROJ'!CV22/'WICHE Public Grads-RE PROJ'!Q22</f>
        <v>3.6568225446012115E-3</v>
      </c>
      <c r="BG21" s="267">
        <f>+'WICHE Public Grads-RE PROJ'!CW22/'WICHE Public Grads-RE PROJ'!R22</f>
        <v>3.7442339194275766E-3</v>
      </c>
      <c r="BH21" s="267">
        <f>+'WICHE Public Grads-RE PROJ'!CX22/'WICHE Public Grads-RE PROJ'!S22</f>
        <v>3.6363636363636364E-3</v>
      </c>
      <c r="BI21" s="267">
        <f>+'WICHE Public Grads-RE PROJ'!CY22/'WICHE Public Grads-RE PROJ'!T22</f>
        <v>5.2404109735345004E-3</v>
      </c>
      <c r="BJ21" s="267">
        <f>+'WICHE Public Grads-RE PROJ'!CZ22/'WICHE Public Grads-RE PROJ'!U22</f>
        <v>5.0358560079330752E-3</v>
      </c>
      <c r="BK21" s="267">
        <f>+'WICHE Public Grads-RE PROJ'!DA22/'WICHE Public Grads-RE PROJ'!V22</f>
        <v>5.0292642765103878E-3</v>
      </c>
      <c r="BL21" s="267">
        <f>+'WICHE Public Grads-RE PROJ'!DB22/'WICHE Public Grads-RE PROJ'!W22</f>
        <v>4.4967669487368305E-3</v>
      </c>
      <c r="BM21" s="268">
        <f>+'WICHE Public Grads-RE PROJ'!DC22/'WICHE Public Grads-RE PROJ'!Y22</f>
        <v>4.2182665900611024E-3</v>
      </c>
      <c r="BN21" s="268">
        <f>+'WICHE Public Grads-RE PROJ'!DD22/'WICHE Public Grads-RE PROJ'!Z22</f>
        <v>4.4884066733641799E-3</v>
      </c>
      <c r="BO21" s="268">
        <f>+'WICHE Public Grads-RE PROJ'!DE22/'WICHE Public Grads-RE PROJ'!AA22</f>
        <v>4.2044379129771497E-3</v>
      </c>
      <c r="BP21" s="268">
        <f>+'WICHE Public Grads-RE PROJ'!DF22/'WICHE Public Grads-RE PROJ'!AB22</f>
        <v>3.9931984258078082E-3</v>
      </c>
      <c r="BQ21" s="266">
        <f>+'WICHE Public Grads-RE PROJ'!DG22/'WICHE Public Grads-RE PROJ'!AC22</f>
        <v>3.4800133638777189E-3</v>
      </c>
      <c r="BR21" s="266">
        <f>+'WICHE Public Grads-RE PROJ'!DH22/'WICHE Public Grads-RE PROJ'!AD22</f>
        <v>3.3442739364067764E-3</v>
      </c>
      <c r="BS21" s="266">
        <f>+'WICHE Public Grads-RE PROJ'!DI22/'WICHE Public Grads-RE PROJ'!AE22</f>
        <v>3.2148631729228177E-3</v>
      </c>
      <c r="BT21" s="266">
        <f>+'WICHE Public Grads-RE PROJ'!DJ22/'WICHE Public Grads-RE PROJ'!AF22</f>
        <v>3.0301042529689674E-3</v>
      </c>
      <c r="BU21" s="266">
        <f>+'WICHE Public Grads-RE PROJ'!DK22/'WICHE Public Grads-RE PROJ'!AG22</f>
        <v>2.7424212512038816E-3</v>
      </c>
      <c r="BV21" s="268">
        <f>+'WICHE Public Grads-RE PROJ'!DL22/'WICHE Public Grads-RE PROJ'!AH22</f>
        <v>2.956715820452822E-3</v>
      </c>
      <c r="BW21" s="266">
        <f>+'WICHE Public Grads-RE PROJ'!DM22/'WICHE Public Grads-RE PROJ'!AI22</f>
        <v>3.031833446388358E-3</v>
      </c>
      <c r="BX21" s="266">
        <f>+'WICHE Public Grads-RE PROJ'!DN22/'WICHE Public Grads-RE PROJ'!AJ22</f>
        <v>2.8478573233682511E-3</v>
      </c>
      <c r="BY21" s="266">
        <f>+'WICHE Public Grads-RE PROJ'!DO22/'WICHE Public Grads-RE PROJ'!AK22</f>
        <v>3.0215763604424786E-3</v>
      </c>
      <c r="BZ21" s="266">
        <f>+'WICHE Public Grads-RE PROJ'!DP22/'WICHE Public Grads-RE PROJ'!AL22</f>
        <v>2.9628688821119347E-3</v>
      </c>
      <c r="CA21" s="266">
        <f>+'WICHE Public Grads-RE PROJ'!DQ22/'WICHE Public Grads-RE PROJ'!AM22</f>
        <v>3.2806836478893511E-3</v>
      </c>
      <c r="CB21" s="266">
        <f>+'WICHE Public Grads-RE PROJ'!DR22/'WICHE Public Grads-RE PROJ'!AN22</f>
        <v>3.0962043126439142E-3</v>
      </c>
      <c r="CC21" s="266">
        <f>+'WICHE Public Grads-RE PROJ'!DS22/'WICHE Public Grads-RE PROJ'!AO22</f>
        <v>3.1878515939434879E-3</v>
      </c>
      <c r="CD21" s="266">
        <f>+'WICHE Public Grads-RE PROJ'!DT22/'WICHE Public Grads-RE PROJ'!AP22</f>
        <v>3.1089023505424676E-3</v>
      </c>
      <c r="CE21" s="282">
        <f>+'WICHE Public Grads-RE PROJ'!DU22/'WICHE Public Grads-RE PROJ'!AQ22</f>
        <v>2.949241728913944E-3</v>
      </c>
      <c r="CF21" s="262">
        <f>+'WICHE Public Grads-RE PROJ'!DV22/'WICHE Public Grads-RE PROJ'!B22</f>
        <v>2.6086152708448881E-2</v>
      </c>
      <c r="CG21" s="262">
        <f>+'WICHE Public Grads-RE PROJ'!DW22/'WICHE Public Grads-RE PROJ'!C22</f>
        <v>2.7412704147098028E-2</v>
      </c>
      <c r="CH21" s="262">
        <f>+'WICHE Public Grads-RE PROJ'!DX22/'WICHE Public Grads-RE PROJ'!D22</f>
        <v>3.0779883694566489E-2</v>
      </c>
      <c r="CI21" s="262">
        <f>+'WICHE Public Grads-RE PROJ'!DY22/'WICHE Public Grads-RE PROJ'!E22</f>
        <v>3.0465823557731826E-2</v>
      </c>
      <c r="CJ21" s="262">
        <f>+'WICHE Public Grads-RE PROJ'!DZ22/'WICHE Public Grads-RE PROJ'!F22</f>
        <v>3.1068876422802077E-2</v>
      </c>
      <c r="CK21" s="262">
        <f>+'WICHE Public Grads-RE PROJ'!EA22/'WICHE Public Grads-RE PROJ'!G22</f>
        <v>3.0397042806693291E-2</v>
      </c>
      <c r="CL21" s="267">
        <f>+'WICHE Public Grads-RE PROJ'!EB22/'WICHE Public Grads-RE PROJ'!H22</f>
        <v>3.1761889789335959E-2</v>
      </c>
      <c r="CM21" s="267">
        <f>+'WICHE Public Grads-RE PROJ'!EC22/'WICHE Public Grads-RE PROJ'!I22</f>
        <v>3.1171180915764062E-2</v>
      </c>
      <c r="CN21" s="267">
        <f>+'WICHE Public Grads-RE PROJ'!ED22/'WICHE Public Grads-RE PROJ'!J22</f>
        <v>3.2227310085710933E-2</v>
      </c>
      <c r="CO21" s="267">
        <f>+'WICHE Public Grads-RE PROJ'!EE22/'WICHE Public Grads-RE PROJ'!K22</f>
        <v>3.3522822270523327E-2</v>
      </c>
      <c r="CP21" s="262">
        <f>+'WICHE Public Grads-RE PROJ'!EF22/'WICHE Public Grads-RE PROJ'!L22</f>
        <v>3.4227928604102731E-2</v>
      </c>
      <c r="CQ21" s="267">
        <f>+'WICHE Public Grads-RE PROJ'!EG22/'WICHE Public Grads-RE PROJ'!M22</f>
        <v>3.378676331626846E-2</v>
      </c>
      <c r="CR21" s="267">
        <f>+'WICHE Public Grads-RE PROJ'!EH22/'WICHE Public Grads-RE PROJ'!N22</f>
        <v>3.4009788462719882E-2</v>
      </c>
      <c r="CS21" s="267">
        <f>+'WICHE Public Grads-RE PROJ'!EI22/'WICHE Public Grads-RE PROJ'!O22</f>
        <v>3.4886970886503672E-2</v>
      </c>
      <c r="CT21" s="267">
        <f>+'WICHE Public Grads-RE PROJ'!EJ22/'WICHE Public Grads-RE PROJ'!P22</f>
        <v>3.7578227332266047E-2</v>
      </c>
      <c r="CU21" s="267">
        <f>+'WICHE Public Grads-RE PROJ'!EK22/'WICHE Public Grads-RE PROJ'!Q22</f>
        <v>3.9905801577989411E-2</v>
      </c>
      <c r="CV21" s="267">
        <f>+'WICHE Public Grads-RE PROJ'!EL22/'WICHE Public Grads-RE PROJ'!R22</f>
        <v>3.8671907536460666E-2</v>
      </c>
      <c r="CW21" s="267">
        <f>+'WICHE Public Grads-RE PROJ'!EM22/'WICHE Public Grads-RE PROJ'!S22</f>
        <v>3.9587550846655946E-2</v>
      </c>
      <c r="CX21" s="267">
        <f>+'WICHE Public Grads-RE PROJ'!EN22/'WICHE Public Grads-RE PROJ'!T22</f>
        <v>3.734504831003866E-2</v>
      </c>
      <c r="CY21" s="267">
        <f>+'WICHE Public Grads-RE PROJ'!EO22/'WICHE Public Grads-RE PROJ'!U22</f>
        <v>3.8390348281679157E-2</v>
      </c>
      <c r="CZ21" s="267">
        <f>+'WICHE Public Grads-RE PROJ'!EP22/'WICHE Public Grads-RE PROJ'!V22</f>
        <v>3.9655525975739646E-2</v>
      </c>
      <c r="DA21" s="267">
        <f>+'WICHE Public Grads-RE PROJ'!EQ22/'WICHE Public Grads-RE PROJ'!W22</f>
        <v>4.1167160192190556E-2</v>
      </c>
      <c r="DB21" s="268">
        <f>+'WICHE Public Grads-RE PROJ'!ER22/'WICHE Public Grads-RE PROJ'!Y22</f>
        <v>4.400068219439858E-2</v>
      </c>
      <c r="DC21" s="268">
        <f>+'WICHE Public Grads-RE PROJ'!ES22/'WICHE Public Grads-RE PROJ'!Z22</f>
        <v>4.4682123385656039E-2</v>
      </c>
      <c r="DD21" s="268">
        <f>+'WICHE Public Grads-RE PROJ'!ET22/'WICHE Public Grads-RE PROJ'!AA22</f>
        <v>4.3771429745189702E-2</v>
      </c>
      <c r="DE21" s="268">
        <f>+'WICHE Public Grads-RE PROJ'!EU22/'WICHE Public Grads-RE PROJ'!AB22</f>
        <v>4.433140782254151E-2</v>
      </c>
      <c r="DF21" s="266">
        <f>+'WICHE Public Grads-RE PROJ'!EV22/'WICHE Public Grads-RE PROJ'!AC22</f>
        <v>4.6590298469067003E-2</v>
      </c>
      <c r="DG21" s="266">
        <f>+'WICHE Public Grads-RE PROJ'!EW22/'WICHE Public Grads-RE PROJ'!AD22</f>
        <v>4.7852758527625827E-2</v>
      </c>
      <c r="DH21" s="266">
        <f>+'WICHE Public Grads-RE PROJ'!EX22/'WICHE Public Grads-RE PROJ'!AE22</f>
        <v>4.8867401653749309E-2</v>
      </c>
      <c r="DI21" s="266">
        <f>+'WICHE Public Grads-RE PROJ'!EY22/'WICHE Public Grads-RE PROJ'!AF22</f>
        <v>5.053417126757638E-2</v>
      </c>
      <c r="DJ21" s="266">
        <f>+'WICHE Public Grads-RE PROJ'!EZ22/'WICHE Public Grads-RE PROJ'!AG22</f>
        <v>5.1873497843039726E-2</v>
      </c>
      <c r="DK21" s="268">
        <f>+'WICHE Public Grads-RE PROJ'!FA22/'WICHE Public Grads-RE PROJ'!AH22</f>
        <v>5.1940414483178821E-2</v>
      </c>
      <c r="DL21" s="266">
        <f>+'WICHE Public Grads-RE PROJ'!FB22/'WICHE Public Grads-RE PROJ'!AI22</f>
        <v>5.1807312090879652E-2</v>
      </c>
      <c r="DM21" s="266">
        <f>+'WICHE Public Grads-RE PROJ'!FC22/'WICHE Public Grads-RE PROJ'!AJ22</f>
        <v>5.2525740216037543E-2</v>
      </c>
      <c r="DN21" s="266">
        <f>+'WICHE Public Grads-RE PROJ'!FD22/'WICHE Public Grads-RE PROJ'!AK22</f>
        <v>5.7050148047462654E-2</v>
      </c>
      <c r="DO21" s="266">
        <f>+'WICHE Public Grads-RE PROJ'!FE22/'WICHE Public Grads-RE PROJ'!AL22</f>
        <v>5.8913463773131537E-2</v>
      </c>
      <c r="DP21" s="266">
        <f>+'WICHE Public Grads-RE PROJ'!FF22/'WICHE Public Grads-RE PROJ'!AM22</f>
        <v>6.1156552935907396E-2</v>
      </c>
      <c r="DQ21" s="266">
        <f>+'WICHE Public Grads-RE PROJ'!FG22/'WICHE Public Grads-RE PROJ'!AN22</f>
        <v>6.3899945630797317E-2</v>
      </c>
      <c r="DR21" s="266">
        <f>+'WICHE Public Grads-RE PROJ'!FH22/'WICHE Public Grads-RE PROJ'!AO22</f>
        <v>6.939962105304634E-2</v>
      </c>
      <c r="DS21" s="266">
        <f>+'WICHE Public Grads-RE PROJ'!FI22/'WICHE Public Grads-RE PROJ'!AP22</f>
        <v>6.8212302249627599E-2</v>
      </c>
      <c r="DT21" s="282">
        <f>+'WICHE Public Grads-RE PROJ'!FJ22/'WICHE Public Grads-RE PROJ'!AQ22</f>
        <v>7.3124047492218458E-2</v>
      </c>
      <c r="DU21" s="262">
        <f>+'WICHE Public Grads-RE PROJ'!FK22/'WICHE Public Grads-RE PROJ'!B22</f>
        <v>0.12624637949097184</v>
      </c>
      <c r="DV21" s="262">
        <f>+'WICHE Public Grads-RE PROJ'!FL22/'WICHE Public Grads-RE PROJ'!C22</f>
        <v>0.11876969840419568</v>
      </c>
      <c r="DW21" s="262">
        <f>+'WICHE Public Grads-RE PROJ'!FM22/'WICHE Public Grads-RE PROJ'!D22</f>
        <v>0.11780061400444877</v>
      </c>
      <c r="DX21" s="262">
        <f>+'WICHE Public Grads-RE PROJ'!FN22/'WICHE Public Grads-RE PROJ'!E22</f>
        <v>0.11910381512664248</v>
      </c>
      <c r="DY21" s="262">
        <f>+'WICHE Public Grads-RE PROJ'!FO22/'WICHE Public Grads-RE PROJ'!F22</f>
        <v>0.12120877074555993</v>
      </c>
      <c r="DZ21" s="262">
        <f>+'WICHE Public Grads-RE PROJ'!FP22/'WICHE Public Grads-RE PROJ'!G22</f>
        <v>0.12563670968238777</v>
      </c>
      <c r="EA21" s="267">
        <f>+'WICHE Public Grads-RE PROJ'!FQ22/'WICHE Public Grads-RE PROJ'!H22</f>
        <v>0.1276206221537026</v>
      </c>
      <c r="EB21" s="267">
        <f>+'WICHE Public Grads-RE PROJ'!FR22/'WICHE Public Grads-RE PROJ'!I22</f>
        <v>0.12639569700038841</v>
      </c>
      <c r="EC21" s="267">
        <f>+'WICHE Public Grads-RE PROJ'!FS22/'WICHE Public Grads-RE PROJ'!J22</f>
        <v>0.1291863332159211</v>
      </c>
      <c r="ED21" s="267">
        <f>+'WICHE Public Grads-RE PROJ'!FT22/'WICHE Public Grads-RE PROJ'!K22</f>
        <v>0.13141150680859759</v>
      </c>
      <c r="EE21" s="262">
        <f>+'WICHE Public Grads-RE PROJ'!FU22/'WICHE Public Grads-RE PROJ'!L22</f>
        <v>0.13336767821217141</v>
      </c>
      <c r="EF21" s="267">
        <f>+'WICHE Public Grads-RE PROJ'!FV22/'WICHE Public Grads-RE PROJ'!M22</f>
        <v>0.13355535863525836</v>
      </c>
      <c r="EG21" s="267">
        <f>+'WICHE Public Grads-RE PROJ'!FW22/'WICHE Public Grads-RE PROJ'!N22</f>
        <v>0.13602686707759098</v>
      </c>
      <c r="EH21" s="267">
        <f>+'WICHE Public Grads-RE PROJ'!FX22/'WICHE Public Grads-RE PROJ'!O22</f>
        <v>0.13687389713704076</v>
      </c>
      <c r="EI21" s="267">
        <f>+'WICHE Public Grads-RE PROJ'!FY22/'WICHE Public Grads-RE PROJ'!P22</f>
        <v>0.13382539451525044</v>
      </c>
      <c r="EJ21" s="267">
        <f>+'WICHE Public Grads-RE PROJ'!FZ22/'WICHE Public Grads-RE PROJ'!Q22</f>
        <v>0.1332501357833768</v>
      </c>
      <c r="EK21" s="267">
        <f>+'WICHE Public Grads-RE PROJ'!GA22/'WICHE Public Grads-RE PROJ'!R22</f>
        <v>0.13435215630590075</v>
      </c>
      <c r="EL21" s="267">
        <f>+'WICHE Public Grads-RE PROJ'!GB22/'WICHE Public Grads-RE PROJ'!S22</f>
        <v>0.13615362784977769</v>
      </c>
      <c r="EM21" s="267">
        <f>+'WICHE Public Grads-RE PROJ'!GC22/'WICHE Public Grads-RE PROJ'!T22</f>
        <v>0.13347027704400949</v>
      </c>
      <c r="EN21" s="267">
        <f>+'WICHE Public Grads-RE PROJ'!GD22/'WICHE Public Grads-RE PROJ'!U22</f>
        <v>0.13660174696005151</v>
      </c>
      <c r="EO21" s="267">
        <f>+'WICHE Public Grads-RE PROJ'!GE22/'WICHE Public Grads-RE PROJ'!V22</f>
        <v>0.13453158099997267</v>
      </c>
      <c r="EP21" s="267">
        <f>+'WICHE Public Grads-RE PROJ'!GF22/'WICHE Public Grads-RE PROJ'!W22</f>
        <v>0.13272221968708081</v>
      </c>
      <c r="EQ21" s="268">
        <f>+'WICHE Public Grads-RE PROJ'!GG22/'WICHE Public Grads-RE PROJ'!Y22</f>
        <v>0.12880364932612332</v>
      </c>
      <c r="ER21" s="268">
        <f>+'WICHE Public Grads-RE PROJ'!GH22/'WICHE Public Grads-RE PROJ'!Z22</f>
        <v>0.12821999672141712</v>
      </c>
      <c r="ES21" s="268">
        <f>+'WICHE Public Grads-RE PROJ'!GI22/'WICHE Public Grads-RE PROJ'!AA22</f>
        <v>0.12795355164324979</v>
      </c>
      <c r="ET21" s="268">
        <f>+'WICHE Public Grads-RE PROJ'!GJ22/'WICHE Public Grads-RE PROJ'!AB22</f>
        <v>0.12602820759690056</v>
      </c>
      <c r="EU21" s="266">
        <f>+'WICHE Public Grads-RE PROJ'!GK22/'WICHE Public Grads-RE PROJ'!AC22</f>
        <v>0.12533298521728664</v>
      </c>
      <c r="EV21" s="266">
        <f>+'WICHE Public Grads-RE PROJ'!GL22/'WICHE Public Grads-RE PROJ'!AD22</f>
        <v>0.12376477417750435</v>
      </c>
      <c r="EW21" s="266">
        <f>+'WICHE Public Grads-RE PROJ'!GM22/'WICHE Public Grads-RE PROJ'!AE22</f>
        <v>0.12368762257484184</v>
      </c>
      <c r="EX21" s="266">
        <f>+'WICHE Public Grads-RE PROJ'!GN22/'WICHE Public Grads-RE PROJ'!AF22</f>
        <v>0.1222294168120685</v>
      </c>
      <c r="EY21" s="266">
        <f>+'WICHE Public Grads-RE PROJ'!GO22/'WICHE Public Grads-RE PROJ'!AG22</f>
        <v>0.12187445813855567</v>
      </c>
      <c r="EZ21" s="268">
        <f>+'WICHE Public Grads-RE PROJ'!GP22/'WICHE Public Grads-RE PROJ'!AH22</f>
        <v>0.1223433039485531</v>
      </c>
      <c r="FA21" s="266">
        <f>+'WICHE Public Grads-RE PROJ'!GQ22/'WICHE Public Grads-RE PROJ'!AI22</f>
        <v>0.12375507058640813</v>
      </c>
      <c r="FB21" s="266">
        <f>+'WICHE Public Grads-RE PROJ'!GR22/'WICHE Public Grads-RE PROJ'!AJ22</f>
        <v>0.12373992017560143</v>
      </c>
      <c r="FC21" s="266">
        <f>+'WICHE Public Grads-RE PROJ'!GS22/'WICHE Public Grads-RE PROJ'!AK22</f>
        <v>0.12453441944145274</v>
      </c>
      <c r="FD21" s="266">
        <f>+'WICHE Public Grads-RE PROJ'!GT22/'WICHE Public Grads-RE PROJ'!AL22</f>
        <v>0.12444510114913858</v>
      </c>
      <c r="FE21" s="266">
        <f>+'WICHE Public Grads-RE PROJ'!GU22/'WICHE Public Grads-RE PROJ'!AM22</f>
        <v>0.12655495442516934</v>
      </c>
      <c r="FF21" s="266">
        <f>+'WICHE Public Grads-RE PROJ'!GV22/'WICHE Public Grads-RE PROJ'!AN22</f>
        <v>0.12491074691909589</v>
      </c>
      <c r="FG21" s="266">
        <f>+'WICHE Public Grads-RE PROJ'!GW22/'WICHE Public Grads-RE PROJ'!AO22</f>
        <v>0.12715088508165034</v>
      </c>
      <c r="FH21" s="266">
        <f>+'WICHE Public Grads-RE PROJ'!GX22/'WICHE Public Grads-RE PROJ'!AP22</f>
        <v>0.12945311101054871</v>
      </c>
      <c r="FI21" s="282">
        <f>+'WICHE Public Grads-RE PROJ'!GY22/'WICHE Public Grads-RE PROJ'!AQ22</f>
        <v>0.13132218725757272</v>
      </c>
      <c r="FJ21" s="262">
        <f>+'WICHE Public Grads-RE PROJ'!GZ22/'WICHE Public Grads-RE PROJ'!B22</f>
        <v>0.27889936525543846</v>
      </c>
      <c r="FK21" s="262">
        <f>+'WICHE Public Grads-RE PROJ'!HA22/'WICHE Public Grads-RE PROJ'!C22</f>
        <v>0.2834888443187622</v>
      </c>
      <c r="FL21" s="262">
        <f>+'WICHE Public Grads-RE PROJ'!HB22/'WICHE Public Grads-RE PROJ'!D22</f>
        <v>0.29347206647425411</v>
      </c>
      <c r="FM21" s="262">
        <f>+'WICHE Public Grads-RE PROJ'!HC22/'WICHE Public Grads-RE PROJ'!E22</f>
        <v>0.28989208675332606</v>
      </c>
      <c r="FN21" s="262">
        <f>+'WICHE Public Grads-RE PROJ'!HD22/'WICHE Public Grads-RE PROJ'!F22</f>
        <v>0.29120015828309398</v>
      </c>
      <c r="FO21" s="262">
        <f>+'WICHE Public Grads-RE PROJ'!HE22/'WICHE Public Grads-RE PROJ'!G22</f>
        <v>0.29776010209357845</v>
      </c>
      <c r="FP21" s="267">
        <f>+'WICHE Public Grads-RE PROJ'!HF22/'WICHE Public Grads-RE PROJ'!H22</f>
        <v>0.30611706713458359</v>
      </c>
      <c r="FQ21" s="267">
        <f>+'WICHE Public Grads-RE PROJ'!HG22/'WICHE Public Grads-RE PROJ'!I22</f>
        <v>0.3101483335218026</v>
      </c>
      <c r="FR21" s="267">
        <f>+'WICHE Public Grads-RE PROJ'!HH22/'WICHE Public Grads-RE PROJ'!J22</f>
        <v>0.32083597510860634</v>
      </c>
      <c r="FS21" s="267">
        <f>+'WICHE Public Grads-RE PROJ'!HI22/'WICHE Public Grads-RE PROJ'!K22</f>
        <v>0.32322261234650468</v>
      </c>
      <c r="FT21" s="262">
        <f>+'WICHE Public Grads-RE PROJ'!HJ22/'WICHE Public Grads-RE PROJ'!L22</f>
        <v>0.33071453632192993</v>
      </c>
      <c r="FU21" s="267">
        <f>+'WICHE Public Grads-RE PROJ'!HK22/'WICHE Public Grads-RE PROJ'!M22</f>
        <v>0.33924094224962309</v>
      </c>
      <c r="FV21" s="267">
        <f>+'WICHE Public Grads-RE PROJ'!HL22/'WICHE Public Grads-RE PROJ'!N22</f>
        <v>0.34981262670734953</v>
      </c>
      <c r="FW21" s="267">
        <f>+'WICHE Public Grads-RE PROJ'!HM22/'WICHE Public Grads-RE PROJ'!O22</f>
        <v>0.3527743130441312</v>
      </c>
      <c r="FX21" s="267">
        <f>+'WICHE Public Grads-RE PROJ'!HN22/'WICHE Public Grads-RE PROJ'!P22</f>
        <v>0.35534440817514606</v>
      </c>
      <c r="FY21" s="267">
        <f>+'WICHE Public Grads-RE PROJ'!HO22/'WICHE Public Grads-RE PROJ'!Q22</f>
        <v>0.35793741941101109</v>
      </c>
      <c r="FZ21" s="267">
        <f>+'WICHE Public Grads-RE PROJ'!HP22/'WICHE Public Grads-RE PROJ'!R22</f>
        <v>0.37510163770570482</v>
      </c>
      <c r="GA21" s="267">
        <f>+'WICHE Public Grads-RE PROJ'!HQ22/'WICHE Public Grads-RE PROJ'!S22</f>
        <v>0.39676094976823384</v>
      </c>
      <c r="GB21" s="267">
        <f>+'WICHE Public Grads-RE PROJ'!HR22/'WICHE Public Grads-RE PROJ'!T22</f>
        <v>0.43071407719638011</v>
      </c>
      <c r="GC21" s="267">
        <f>+'WICHE Public Grads-RE PROJ'!HS22/'WICHE Public Grads-RE PROJ'!U22</f>
        <v>0.43969773126312528</v>
      </c>
      <c r="GD21" s="267">
        <f>+'WICHE Public Grads-RE PROJ'!HT22/'WICHE Public Grads-RE PROJ'!V22</f>
        <v>0.4479696168953034</v>
      </c>
      <c r="GE21" s="267">
        <f>+'WICHE Public Grads-RE PROJ'!HU22/'WICHE Public Grads-RE PROJ'!W22</f>
        <v>0.46379441919108133</v>
      </c>
      <c r="GF21" s="268">
        <f>+'WICHE Public Grads-RE PROJ'!HV22/'WICHE Public Grads-RE PROJ'!Y22</f>
        <v>0.4649787671740741</v>
      </c>
      <c r="GG21" s="268">
        <f>+'WICHE Public Grads-RE PROJ'!HW22/'WICHE Public Grads-RE PROJ'!Z22</f>
        <v>0.47500039016820811</v>
      </c>
      <c r="GH21" s="268">
        <f>+'WICHE Public Grads-RE PROJ'!HX22/'WICHE Public Grads-RE PROJ'!AA22</f>
        <v>0.48634897785391817</v>
      </c>
      <c r="GI21" s="268">
        <f>+'WICHE Public Grads-RE PROJ'!HY22/'WICHE Public Grads-RE PROJ'!AB22</f>
        <v>0.48509327463148555</v>
      </c>
      <c r="GJ21" s="266">
        <f>+'WICHE Public Grads-RE PROJ'!HZ22/'WICHE Public Grads-RE PROJ'!AC22</f>
        <v>0.49401484382409644</v>
      </c>
      <c r="GK21" s="266">
        <f>+'WICHE Public Grads-RE PROJ'!IA22/'WICHE Public Grads-RE PROJ'!AD22</f>
        <v>0.50437707962288914</v>
      </c>
      <c r="GL21" s="266">
        <f>+'WICHE Public Grads-RE PROJ'!IB22/'WICHE Public Grads-RE PROJ'!AE22</f>
        <v>0.50611953328190162</v>
      </c>
      <c r="GM21" s="266">
        <f>+'WICHE Public Grads-RE PROJ'!IC22/'WICHE Public Grads-RE PROJ'!AF22</f>
        <v>0.51170754514044681</v>
      </c>
      <c r="GN21" s="266">
        <f>+'WICHE Public Grads-RE PROJ'!ID22/'WICHE Public Grads-RE PROJ'!AG22</f>
        <v>0.51572645255006277</v>
      </c>
      <c r="GO21" s="268">
        <f>+'WICHE Public Grads-RE PROJ'!IE22/'WICHE Public Grads-RE PROJ'!AH22</f>
        <v>0.51893445013118933</v>
      </c>
      <c r="GP21" s="266">
        <f>+'WICHE Public Grads-RE PROJ'!IF22/'WICHE Public Grads-RE PROJ'!AI22</f>
        <v>0.52249988265030334</v>
      </c>
      <c r="GQ21" s="266">
        <f>+'WICHE Public Grads-RE PROJ'!IG22/'WICHE Public Grads-RE PROJ'!AJ22</f>
        <v>0.52488037179993952</v>
      </c>
      <c r="GR21" s="266">
        <f>+'WICHE Public Grads-RE PROJ'!IH22/'WICHE Public Grads-RE PROJ'!AK22</f>
        <v>0.52470799022012904</v>
      </c>
      <c r="GS21" s="266">
        <f>+'WICHE Public Grads-RE PROJ'!II22/'WICHE Public Grads-RE PROJ'!AL22</f>
        <v>0.52455877039960819</v>
      </c>
      <c r="GT21" s="266">
        <f>+'WICHE Public Grads-RE PROJ'!IJ22/'WICHE Public Grads-RE PROJ'!AM22</f>
        <v>0.5134292285233617</v>
      </c>
      <c r="GU21" s="266">
        <f>+'WICHE Public Grads-RE PROJ'!IK22/'WICHE Public Grads-RE PROJ'!AN22</f>
        <v>0.5070315662720386</v>
      </c>
      <c r="GV21" s="266">
        <f>+'WICHE Public Grads-RE PROJ'!IL22/'WICHE Public Grads-RE PROJ'!AO22</f>
        <v>0.50107074135188034</v>
      </c>
      <c r="GW21" s="266">
        <f>+'WICHE Public Grads-RE PROJ'!IM22/'WICHE Public Grads-RE PROJ'!AP22</f>
        <v>0.50189307843184949</v>
      </c>
      <c r="GX21" s="282">
        <f>+'WICHE Public Grads-RE PROJ'!IN22/'WICHE Public Grads-RE PROJ'!AQ22</f>
        <v>0.49676957498958596</v>
      </c>
      <c r="GY21" s="262">
        <f>+'WICHE Public Grads-RE PROJ'!IO22/'WICHE Public Grads-RE PROJ'!B22</f>
        <v>0.56708572132864976</v>
      </c>
      <c r="GZ21" s="262">
        <f>+'WICHE Public Grads-RE PROJ'!IP22/'WICHE Public Grads-RE PROJ'!C22</f>
        <v>0.56831686868561038</v>
      </c>
      <c r="HA21" s="262">
        <f>+'WICHE Public Grads-RE PROJ'!IQ22/'WICHE Public Grads-RE PROJ'!D22</f>
        <v>0.55585785980844526</v>
      </c>
      <c r="HB21" s="262">
        <f>+'WICHE Public Grads-RE PROJ'!IR22/'WICHE Public Grads-RE PROJ'!E22</f>
        <v>0.55818978170758915</v>
      </c>
      <c r="HC21" s="262">
        <f>+'WICHE Public Grads-RE PROJ'!IS22/'WICHE Public Grads-RE PROJ'!F22</f>
        <v>0.55414212890761383</v>
      </c>
      <c r="HD21" s="262">
        <f>+'WICHE Public Grads-RE PROJ'!IT22/'WICHE Public Grads-RE PROJ'!G22</f>
        <v>0.54384633156209772</v>
      </c>
      <c r="HE21" s="267">
        <f>+'WICHE Public Grads-RE PROJ'!IU22/'WICHE Public Grads-RE PROJ'!H22</f>
        <v>0.53143732313653103</v>
      </c>
      <c r="HF21" s="267">
        <f>+'WICHE Public Grads-RE PROJ'!IV22/'WICHE Public Grads-RE PROJ'!I22</f>
        <v>0.5298953257978396</v>
      </c>
      <c r="HG21" s="267">
        <f>+'WICHE Public Grads-RE PROJ'!IW22/'WICHE Public Grads-RE PROJ'!J22</f>
        <v>0.51530351062580726</v>
      </c>
      <c r="HH21" s="267">
        <f>+'WICHE Public Grads-RE PROJ'!IX22/'WICHE Public Grads-RE PROJ'!K22</f>
        <v>0.50917720931096622</v>
      </c>
      <c r="HI21" s="262">
        <f>+'WICHE Public Grads-RE PROJ'!IY22/'WICHE Public Grads-RE PROJ'!L22</f>
        <v>0.49912287324519133</v>
      </c>
      <c r="HJ21" s="267">
        <f>+'WICHE Public Grads-RE PROJ'!IZ22/'WICHE Public Grads-RE PROJ'!M22</f>
        <v>0.49060312207331874</v>
      </c>
      <c r="HK21" s="267">
        <f>+'WICHE Public Grads-RE PROJ'!JA22/'WICHE Public Grads-RE PROJ'!N22</f>
        <v>0.47713226711445128</v>
      </c>
      <c r="HL21" s="267">
        <f>+'WICHE Public Grads-RE PROJ'!JB22/'WICHE Public Grads-RE PROJ'!O22</f>
        <v>0.47227772748699509</v>
      </c>
      <c r="HM21" s="267">
        <f>+'WICHE Public Grads-RE PROJ'!JC22/'WICHE Public Grads-RE PROJ'!P22</f>
        <v>0.46985882695386405</v>
      </c>
      <c r="HN21" s="267">
        <f>+'WICHE Public Grads-RE PROJ'!JD22/'WICHE Public Grads-RE PROJ'!Q22</f>
        <v>0.46524982068302145</v>
      </c>
      <c r="HO21" s="267">
        <f>+'WICHE Public Grads-RE PROJ'!JE22/'WICHE Public Grads-RE PROJ'!R22</f>
        <v>0.4481300645325062</v>
      </c>
      <c r="HP21" s="267">
        <f>+'WICHE Public Grads-RE PROJ'!JF22/'WICHE Public Grads-RE PROJ'!S22</f>
        <v>0.42386150789896887</v>
      </c>
      <c r="HQ21" s="267">
        <f>+'WICHE Public Grads-RE PROJ'!JG22/'WICHE Public Grads-RE PROJ'!T22</f>
        <v>0.39323018647603725</v>
      </c>
      <c r="HR21" s="267">
        <f>+'WICHE Public Grads-RE PROJ'!JH22/'WICHE Public Grads-RE PROJ'!U22</f>
        <v>0.38027431748721102</v>
      </c>
      <c r="HS21" s="267">
        <f>+'WICHE Public Grads-RE PROJ'!JI22/'WICHE Public Grads-RE PROJ'!V22</f>
        <v>0.37281401185247387</v>
      </c>
      <c r="HT21" s="267">
        <f>+'WICHE Public Grads-RE PROJ'!JJ22/'WICHE Public Grads-RE PROJ'!W22</f>
        <v>0.35781943398091048</v>
      </c>
      <c r="HU21" s="268">
        <f>+'WICHE Public Grads-RE PROJ'!JK22/'WICHE Public Grads-RE PROJ'!Y22</f>
        <v>0.35694928123363012</v>
      </c>
      <c r="HV21" s="268">
        <f>+'WICHE Public Grads-RE PROJ'!JL22/'WICHE Public Grads-RE PROJ'!Z22</f>
        <v>0.34745269912545002</v>
      </c>
      <c r="HW21" s="268">
        <f>+'WICHE Public Grads-RE PROJ'!JM22/'WICHE Public Grads-RE PROJ'!AA22</f>
        <v>0.33701464920111657</v>
      </c>
      <c r="HX21" s="268">
        <f>+'WICHE Public Grads-RE PROJ'!JN22/'WICHE Public Grads-RE PROJ'!AB22</f>
        <v>0.33925831082362318</v>
      </c>
      <c r="HY21" s="266">
        <f>+'WICHE Public Grads-RE PROJ'!JO22/'WICHE Public Grads-RE PROJ'!AC22</f>
        <v>0.32993431030105946</v>
      </c>
      <c r="HZ21" s="266">
        <f>+'WICHE Public Grads-RE PROJ'!JP22/'WICHE Public Grads-RE PROJ'!AD22</f>
        <v>0.32011125548777847</v>
      </c>
      <c r="IA21" s="266">
        <f>+'WICHE Public Grads-RE PROJ'!JQ22/'WICHE Public Grads-RE PROJ'!AE22</f>
        <v>0.31807008328953862</v>
      </c>
      <c r="IB21" s="266">
        <f>+'WICHE Public Grads-RE PROJ'!JR22/'WICHE Public Grads-RE PROJ'!AF22</f>
        <v>0.31284576822374438</v>
      </c>
      <c r="IC21" s="266">
        <f>+'WICHE Public Grads-RE PROJ'!JS22/'WICHE Public Grads-RE PROJ'!AG22</f>
        <v>0.30843971687641153</v>
      </c>
      <c r="ID21" s="268">
        <f>+'WICHE Public Grads-RE PROJ'!JT22/'WICHE Public Grads-RE PROJ'!AH22</f>
        <v>0.3045096211224731</v>
      </c>
      <c r="IE21" s="266">
        <f>+'WICHE Public Grads-RE PROJ'!JU22/'WICHE Public Grads-RE PROJ'!AI22</f>
        <v>0.29946013112261716</v>
      </c>
      <c r="IF21" s="266">
        <f>+'WICHE Public Grads-RE PROJ'!JV22/'WICHE Public Grads-RE PROJ'!AJ22</f>
        <v>0.29685008089542914</v>
      </c>
      <c r="IG21" s="266">
        <f>+'WICHE Public Grads-RE PROJ'!JW22/'WICHE Public Grads-RE PROJ'!AK22</f>
        <v>0.29482928755841009</v>
      </c>
      <c r="IH21" s="266">
        <f>+'WICHE Public Grads-RE PROJ'!JX22/'WICHE Public Grads-RE PROJ'!AL22</f>
        <v>0.29391174763959721</v>
      </c>
      <c r="II21" s="266">
        <f>+'WICHE Public Grads-RE PROJ'!JY22/'WICHE Public Grads-RE PROJ'!AM22</f>
        <v>0.29964983796630734</v>
      </c>
      <c r="IJ21" s="266">
        <f>+'WICHE Public Grads-RE PROJ'!JZ22/'WICHE Public Grads-RE PROJ'!AN22</f>
        <v>0.30363423292768121</v>
      </c>
      <c r="IK21" s="266">
        <f>+'WICHE Public Grads-RE PROJ'!KA22/'WICHE Public Grads-RE PROJ'!AO22</f>
        <v>0.30341744695091571</v>
      </c>
      <c r="IL21" s="266">
        <f>+'WICHE Public Grads-RE PROJ'!KB22/'WICHE Public Grads-RE PROJ'!AP22</f>
        <v>0.30190484888803781</v>
      </c>
      <c r="IM21" s="282">
        <f>+'WICHE Public Grads-RE PROJ'!KC22/'WICHE Public Grads-RE PROJ'!AQ22</f>
        <v>0.30186854289075771</v>
      </c>
      <c r="IN21" s="278">
        <f t="shared" si="5"/>
        <v>1</v>
      </c>
      <c r="IO21" s="278">
        <f t="shared" si="6"/>
        <v>1</v>
      </c>
      <c r="IP21" s="278">
        <f t="shared" si="7"/>
        <v>1</v>
      </c>
      <c r="IQ21" s="278">
        <f t="shared" si="8"/>
        <v>1</v>
      </c>
      <c r="IR21" s="278">
        <f t="shared" si="9"/>
        <v>1</v>
      </c>
      <c r="IS21" s="278">
        <f t="shared" si="10"/>
        <v>1</v>
      </c>
      <c r="IT21" s="278">
        <f t="shared" si="11"/>
        <v>1</v>
      </c>
      <c r="IU21" s="278">
        <f t="shared" si="12"/>
        <v>1</v>
      </c>
      <c r="IV21" s="278">
        <f t="shared" si="13"/>
        <v>1</v>
      </c>
      <c r="IW21" s="278">
        <f t="shared" si="14"/>
        <v>1</v>
      </c>
      <c r="IX21" s="278">
        <f t="shared" si="15"/>
        <v>1</v>
      </c>
      <c r="IY21" s="278">
        <f t="shared" si="16"/>
        <v>1</v>
      </c>
      <c r="IZ21" s="278">
        <f t="shared" si="17"/>
        <v>1.0000081911821923</v>
      </c>
      <c r="JA21" s="278">
        <f t="shared" si="18"/>
        <v>1</v>
      </c>
      <c r="JB21" s="278">
        <f t="shared" si="19"/>
        <v>1</v>
      </c>
      <c r="JC21" s="278">
        <f t="shared" si="20"/>
        <v>1</v>
      </c>
      <c r="JD21" s="278">
        <f t="shared" si="21"/>
        <v>1</v>
      </c>
      <c r="JE21" s="278">
        <f t="shared" si="22"/>
        <v>1</v>
      </c>
      <c r="JF21" s="278">
        <f t="shared" si="23"/>
        <v>1</v>
      </c>
      <c r="JG21" s="278">
        <f t="shared" si="24"/>
        <v>1</v>
      </c>
      <c r="JH21" s="278">
        <f t="shared" si="25"/>
        <v>1</v>
      </c>
      <c r="JI21" s="278">
        <f t="shared" si="26"/>
        <v>1</v>
      </c>
      <c r="JJ21" s="278">
        <f t="shared" si="27"/>
        <v>0.99895064651828724</v>
      </c>
      <c r="JK21" s="278">
        <f t="shared" si="28"/>
        <v>0.99984361607409555</v>
      </c>
      <c r="JL21" s="278">
        <f t="shared" si="29"/>
        <v>0.99929304635645133</v>
      </c>
      <c r="JM21" s="278">
        <f t="shared" si="30"/>
        <v>0.99870439930035859</v>
      </c>
      <c r="JN21" s="278">
        <f t="shared" si="31"/>
        <v>0.99935245117538729</v>
      </c>
      <c r="JO21" s="278">
        <f t="shared" si="32"/>
        <v>0.99945014175220459</v>
      </c>
      <c r="JP21" s="278">
        <f t="shared" si="33"/>
        <v>0.9999595039729543</v>
      </c>
      <c r="JQ21" s="278">
        <f t="shared" si="34"/>
        <v>1.0003470056968051</v>
      </c>
      <c r="JR21" s="278">
        <f t="shared" si="35"/>
        <v>1.0006565466592736</v>
      </c>
      <c r="JS21" s="278">
        <f t="shared" si="36"/>
        <v>1.0006845055058471</v>
      </c>
      <c r="JT21" s="278">
        <f t="shared" si="37"/>
        <v>1.0005542298965966</v>
      </c>
      <c r="JU21" s="278">
        <f t="shared" si="38"/>
        <v>1.0008439704103758</v>
      </c>
      <c r="JV21" s="278">
        <f t="shared" si="39"/>
        <v>1.004143421627897</v>
      </c>
      <c r="JW21" s="278">
        <f t="shared" si="40"/>
        <v>1.0047919518435875</v>
      </c>
      <c r="JX21" s="278">
        <f t="shared" si="41"/>
        <v>1.004071257498635</v>
      </c>
      <c r="JY21" s="278">
        <f t="shared" si="42"/>
        <v>1.002572696062257</v>
      </c>
      <c r="JZ21" s="278">
        <f t="shared" si="42"/>
        <v>1.0042265460314361</v>
      </c>
      <c r="KA21" s="278">
        <f t="shared" si="42"/>
        <v>1.0045722429306061</v>
      </c>
      <c r="KB21" s="278">
        <f t="shared" si="42"/>
        <v>1.0060335943590488</v>
      </c>
    </row>
    <row r="22" spans="1:288" s="17" customFormat="1">
      <c r="A22" s="173" t="s">
        <v>48</v>
      </c>
      <c r="B22" s="262">
        <f>+'WICHE Public Grads-RE PROJ'!AR23/'WICHE Public Grads-RE PROJ'!B23</f>
        <v>4.6670619833269388E-2</v>
      </c>
      <c r="C22" s="262">
        <f>+'WICHE Public Grads-RE PROJ'!AS23/'WICHE Public Grads-RE PROJ'!C23</f>
        <v>4.7552152841188453E-2</v>
      </c>
      <c r="D22" s="262">
        <f>+'WICHE Public Grads-RE PROJ'!AT23/'WICHE Public Grads-RE PROJ'!D23</f>
        <v>4.8450302814392589E-2</v>
      </c>
      <c r="E22" s="262">
        <f>+'WICHE Public Grads-RE PROJ'!AU23/'WICHE Public Grads-RE PROJ'!E23</f>
        <v>4.7099210435976653E-2</v>
      </c>
      <c r="F22" s="262">
        <f>+'WICHE Public Grads-RE PROJ'!AV23/'WICHE Public Grads-RE PROJ'!F23</f>
        <v>4.6693944916274113E-2</v>
      </c>
      <c r="G22" s="262">
        <f>+'WICHE Public Grads-RE PROJ'!AW23/'WICHE Public Grads-RE PROJ'!G23</f>
        <v>4.6792216151979794E-2</v>
      </c>
      <c r="H22" s="267">
        <f>+'WICHE Public Grads-RE PROJ'!AX23/'WICHE Public Grads-RE PROJ'!H23</f>
        <v>4.5857375115559949E-2</v>
      </c>
      <c r="I22" s="267">
        <f>+'WICHE Public Grads-RE PROJ'!AY23/'WICHE Public Grads-RE PROJ'!I23</f>
        <v>4.8156555772994131E-2</v>
      </c>
      <c r="J22" s="267">
        <f>+'WICHE Public Grads-RE PROJ'!AZ23/'WICHE Public Grads-RE PROJ'!J23</f>
        <v>4.9286541862308679E-2</v>
      </c>
      <c r="K22" s="267">
        <f>+'WICHE Public Grads-RE PROJ'!BA23/'WICHE Public Grads-RE PROJ'!K23</f>
        <v>5.2310533246552743E-2</v>
      </c>
      <c r="L22" s="262">
        <f>+'WICHE Public Grads-RE PROJ'!BB23/'WICHE Public Grads-RE PROJ'!L23</f>
        <v>5.2556412453584687E-2</v>
      </c>
      <c r="M22" s="267">
        <f>+'WICHE Public Grads-RE PROJ'!BC23/'WICHE Public Grads-RE PROJ'!M23</f>
        <v>5.299343322868541E-2</v>
      </c>
      <c r="N22" s="267">
        <f>+'WICHE Public Grads-RE PROJ'!BD23/'WICHE Public Grads-RE PROJ'!N23</f>
        <v>5.2011326726076453E-2</v>
      </c>
      <c r="O22" s="267">
        <f>+'WICHE Public Grads-RE PROJ'!BE23/'WICHE Public Grads-RE PROJ'!O23</f>
        <v>5.6891145288935345E-2</v>
      </c>
      <c r="P22" s="267">
        <f>+'WICHE Public Grads-RE PROJ'!BF23/'WICHE Public Grads-RE PROJ'!P23</f>
        <v>6.1439429860482495E-2</v>
      </c>
      <c r="Q22" s="267">
        <f>+'WICHE Public Grads-RE PROJ'!BG23/'WICHE Public Grads-RE PROJ'!Q23</f>
        <v>6.0691649661472766E-2</v>
      </c>
      <c r="R22" s="267">
        <f>+'WICHE Public Grads-RE PROJ'!BH23/'WICHE Public Grads-RE PROJ'!R23</f>
        <v>6.3190683607129469E-2</v>
      </c>
      <c r="S22" s="267">
        <f>+'WICHE Public Grads-RE PROJ'!BI23/'WICHE Public Grads-RE PROJ'!S23</f>
        <v>6.2748741384288959E-2</v>
      </c>
      <c r="T22" s="267">
        <f>+'WICHE Public Grads-RE PROJ'!BJ23/'WICHE Public Grads-RE PROJ'!T23</f>
        <v>6.4163119088221227E-2</v>
      </c>
      <c r="U22" s="267">
        <f>+'WICHE Public Grads-RE PROJ'!BK23/'WICHE Public Grads-RE PROJ'!U23</f>
        <v>6.7537003893355513E-2</v>
      </c>
      <c r="V22" s="267">
        <f>+'WICHE Public Grads-RE PROJ'!BL23/'WICHE Public Grads-RE PROJ'!V23</f>
        <v>6.6422338870447503E-2</v>
      </c>
      <c r="W22" s="267">
        <f>+'WICHE Public Grads-RE PROJ'!BM23/'WICHE Public Grads-RE PROJ'!W23</f>
        <v>6.9677987455199888E-2</v>
      </c>
      <c r="X22" s="268">
        <f>+'WICHE Public Grads-RE PROJ'!BN23/'WICHE Public Grads-RE PROJ'!Y23</f>
        <v>7.4470479250929214E-2</v>
      </c>
      <c r="Y22" s="268">
        <f>+'WICHE Public Grads-RE PROJ'!BO23/'WICHE Public Grads-RE PROJ'!Z23</f>
        <v>7.4144385125920337E-2</v>
      </c>
      <c r="Z22" s="268">
        <f>+'WICHE Public Grads-RE PROJ'!BP23/'WICHE Public Grads-RE PROJ'!AA23</f>
        <v>7.595915678303039E-2</v>
      </c>
      <c r="AA22" s="268">
        <f>+'WICHE Public Grads-RE PROJ'!BQ23/'WICHE Public Grads-RE PROJ'!AB23</f>
        <v>7.7109217523676901E-2</v>
      </c>
      <c r="AB22" s="266">
        <f>+'WICHE Public Grads-RE PROJ'!BR23/'WICHE Public Grads-RE PROJ'!AC23</f>
        <v>8.1304742037707406E-2</v>
      </c>
      <c r="AC22" s="266">
        <f>+'WICHE Public Grads-RE PROJ'!BS23/'WICHE Public Grads-RE PROJ'!AD23</f>
        <v>8.503223431288838E-2</v>
      </c>
      <c r="AD22" s="266">
        <f>+'WICHE Public Grads-RE PROJ'!BT23/'WICHE Public Grads-RE PROJ'!AE23</f>
        <v>8.9283663638153987E-2</v>
      </c>
      <c r="AE22" s="266">
        <f>+'WICHE Public Grads-RE PROJ'!BU23/'WICHE Public Grads-RE PROJ'!AF23</f>
        <v>9.3177827270112104E-2</v>
      </c>
      <c r="AF22" s="266">
        <f>+'WICHE Public Grads-RE PROJ'!BV23/'WICHE Public Grads-RE PROJ'!AG23</f>
        <v>9.5610666232717634E-2</v>
      </c>
      <c r="AG22" s="268">
        <f>+'WICHE Public Grads-RE PROJ'!BW23/'WICHE Public Grads-RE PROJ'!AH23</f>
        <v>9.6989400160636952E-2</v>
      </c>
      <c r="AH22" s="266">
        <f>+'WICHE Public Grads-RE PROJ'!BX23/'WICHE Public Grads-RE PROJ'!AI23</f>
        <v>9.8216104729748774E-2</v>
      </c>
      <c r="AI22" s="266">
        <f>+'WICHE Public Grads-RE PROJ'!BY23/'WICHE Public Grads-RE PROJ'!AJ23</f>
        <v>9.9232015765216758E-2</v>
      </c>
      <c r="AJ22" s="266">
        <f>+'WICHE Public Grads-RE PROJ'!BZ23/'WICHE Public Grads-RE PROJ'!AK23</f>
        <v>0.10132616933732853</v>
      </c>
      <c r="AK22" s="266">
        <f>+'WICHE Public Grads-RE PROJ'!CA23/'WICHE Public Grads-RE PROJ'!AL23</f>
        <v>0.10565161619764417</v>
      </c>
      <c r="AL22" s="266">
        <f>+'WICHE Public Grads-RE PROJ'!CB23/'WICHE Public Grads-RE PROJ'!AM23</f>
        <v>0.10694653292790186</v>
      </c>
      <c r="AM22" s="266">
        <f>+'WICHE Public Grads-RE PROJ'!CC23/'WICHE Public Grads-RE PROJ'!AN23</f>
        <v>0.10604543908648335</v>
      </c>
      <c r="AN22" s="266">
        <f>+'WICHE Public Grads-RE PROJ'!CD23/'WICHE Public Grads-RE PROJ'!AO23</f>
        <v>0.1109628998815446</v>
      </c>
      <c r="AO22" s="266">
        <f>+'WICHE Public Grads-RE PROJ'!CE23/'WICHE Public Grads-RE PROJ'!AP23</f>
        <v>0.10873755084853551</v>
      </c>
      <c r="AP22" s="282">
        <f>+'WICHE Public Grads-RE PROJ'!CF23/'WICHE Public Grads-RE PROJ'!AQ23</f>
        <v>0.11301812261892136</v>
      </c>
      <c r="AQ22" s="262">
        <f>+'WICHE Public Grads-RE PROJ'!CG23/'WICHE Public Grads-RE PROJ'!B23</f>
        <v>1.6394014440685061E-3</v>
      </c>
      <c r="AR22" s="262">
        <f>+'WICHE Public Grads-RE PROJ'!CH23/'WICHE Public Grads-RE PROJ'!C23</f>
        <v>1.4223502142305261E-3</v>
      </c>
      <c r="AS22" s="262">
        <f>+'WICHE Public Grads-RE PROJ'!CI23/'WICHE Public Grads-RE PROJ'!D23</f>
        <v>1.7990737442109012E-3</v>
      </c>
      <c r="AT22" s="262">
        <f>+'WICHE Public Grads-RE PROJ'!CJ23/'WICHE Public Grads-RE PROJ'!E23</f>
        <v>1.544799176107106E-3</v>
      </c>
      <c r="AU22" s="262">
        <f>+'WICHE Public Grads-RE PROJ'!CK23/'WICHE Public Grads-RE PROJ'!F23</f>
        <v>1.8739469793350068E-3</v>
      </c>
      <c r="AV22" s="262">
        <f>+'WICHE Public Grads-RE PROJ'!CL23/'WICHE Public Grads-RE PROJ'!G23</f>
        <v>1.9806229059039066E-3</v>
      </c>
      <c r="AW22" s="267">
        <f>+'WICHE Public Grads-RE PROJ'!CM23/'WICHE Public Grads-RE PROJ'!H23</f>
        <v>1.9764735885747075E-3</v>
      </c>
      <c r="AX22" s="267">
        <f>+'WICHE Public Grads-RE PROJ'!CN23/'WICHE Public Grads-RE PROJ'!I23</f>
        <v>1.8943248532289629E-3</v>
      </c>
      <c r="AY22" s="267">
        <f>+'WICHE Public Grads-RE PROJ'!CO23/'WICHE Public Grads-RE PROJ'!J23</f>
        <v>2.4849076163180684E-3</v>
      </c>
      <c r="AZ22" s="267">
        <f>+'WICHE Public Grads-RE PROJ'!CP23/'WICHE Public Grads-RE PROJ'!K23</f>
        <v>2.1947417016059453E-3</v>
      </c>
      <c r="BA22" s="262">
        <f>+'WICHE Public Grads-RE PROJ'!CQ23/'WICHE Public Grads-RE PROJ'!L23</f>
        <v>2.1497617222147056E-3</v>
      </c>
      <c r="BB22" s="267">
        <f>+'WICHE Public Grads-RE PROJ'!CR23/'WICHE Public Grads-RE PROJ'!M23</f>
        <v>2.0495455355551595E-3</v>
      </c>
      <c r="BC22" s="267">
        <f>+'WICHE Public Grads-RE PROJ'!CS23/'WICHE Public Grads-RE PROJ'!N23</f>
        <v>2.1654035146164738E-3</v>
      </c>
      <c r="BD22" s="267">
        <f>+'WICHE Public Grads-RE PROJ'!CT23/'WICHE Public Grads-RE PROJ'!O23</f>
        <v>2.4162786593725821E-3</v>
      </c>
      <c r="BE22" s="267">
        <f>+'WICHE Public Grads-RE PROJ'!CU23/'WICHE Public Grads-RE PROJ'!P23</f>
        <v>2.8449502133712661E-3</v>
      </c>
      <c r="BF22" s="267">
        <f>+'WICHE Public Grads-RE PROJ'!CV23/'WICHE Public Grads-RE PROJ'!Q23</f>
        <v>2.4460451099368894E-3</v>
      </c>
      <c r="BG22" s="267">
        <f>+'WICHE Public Grads-RE PROJ'!CW23/'WICHE Public Grads-RE PROJ'!R23</f>
        <v>2.5850146699582521E-3</v>
      </c>
      <c r="BH22" s="267">
        <f>+'WICHE Public Grads-RE PROJ'!CX23/'WICHE Public Grads-RE PROJ'!S23</f>
        <v>3.0131448443836235E-3</v>
      </c>
      <c r="BI22" s="267">
        <f>+'WICHE Public Grads-RE PROJ'!CY23/'WICHE Public Grads-RE PROJ'!T23</f>
        <v>3.1897535301983783E-3</v>
      </c>
      <c r="BJ22" s="267">
        <f>+'WICHE Public Grads-RE PROJ'!CZ23/'WICHE Public Grads-RE PROJ'!U23</f>
        <v>3.6151324546253444E-3</v>
      </c>
      <c r="BK22" s="267">
        <f>+'WICHE Public Grads-RE PROJ'!DA23/'WICHE Public Grads-RE PROJ'!V23</f>
        <v>3.2383142260222339E-3</v>
      </c>
      <c r="BL22" s="267">
        <f>+'WICHE Public Grads-RE PROJ'!DB23/'WICHE Public Grads-RE PROJ'!W23</f>
        <v>3.3288940362898689E-3</v>
      </c>
      <c r="BM22" s="268">
        <f>+'WICHE Public Grads-RE PROJ'!DC23/'WICHE Public Grads-RE PROJ'!Y23</f>
        <v>3.269236932931695E-3</v>
      </c>
      <c r="BN22" s="268">
        <f>+'WICHE Public Grads-RE PROJ'!DD23/'WICHE Public Grads-RE PROJ'!Z23</f>
        <v>3.4781452191076875E-3</v>
      </c>
      <c r="BO22" s="268">
        <f>+'WICHE Public Grads-RE PROJ'!DE23/'WICHE Public Grads-RE PROJ'!AA23</f>
        <v>3.3985863656352082E-3</v>
      </c>
      <c r="BP22" s="268">
        <f>+'WICHE Public Grads-RE PROJ'!DF23/'WICHE Public Grads-RE PROJ'!AB23</f>
        <v>3.612969526268721E-3</v>
      </c>
      <c r="BQ22" s="266">
        <f>+'WICHE Public Grads-RE PROJ'!DG23/'WICHE Public Grads-RE PROJ'!AC23</f>
        <v>3.0454467685218155E-3</v>
      </c>
      <c r="BR22" s="266">
        <f>+'WICHE Public Grads-RE PROJ'!DH23/'WICHE Public Grads-RE PROJ'!AD23</f>
        <v>3.0736134227301727E-3</v>
      </c>
      <c r="BS22" s="266">
        <f>+'WICHE Public Grads-RE PROJ'!DI23/'WICHE Public Grads-RE PROJ'!AE23</f>
        <v>3.2442297659162791E-3</v>
      </c>
      <c r="BT22" s="266">
        <f>+'WICHE Public Grads-RE PROJ'!DJ23/'WICHE Public Grads-RE PROJ'!AF23</f>
        <v>3.0680605073274349E-3</v>
      </c>
      <c r="BU22" s="266">
        <f>+'WICHE Public Grads-RE PROJ'!DK23/'WICHE Public Grads-RE PROJ'!AG23</f>
        <v>2.9905416708593921E-3</v>
      </c>
      <c r="BV22" s="268">
        <f>+'WICHE Public Grads-RE PROJ'!DL23/'WICHE Public Grads-RE PROJ'!AH23</f>
        <v>3.4552239520227877E-3</v>
      </c>
      <c r="BW22" s="266">
        <f>+'WICHE Public Grads-RE PROJ'!DM23/'WICHE Public Grads-RE PROJ'!AI23</f>
        <v>3.7930971787444668E-3</v>
      </c>
      <c r="BX22" s="266">
        <f>+'WICHE Public Grads-RE PROJ'!DN23/'WICHE Public Grads-RE PROJ'!AJ23</f>
        <v>3.9711074791241923E-3</v>
      </c>
      <c r="BY22" s="266">
        <f>+'WICHE Public Grads-RE PROJ'!DO23/'WICHE Public Grads-RE PROJ'!AK23</f>
        <v>4.0842598733725928E-3</v>
      </c>
      <c r="BZ22" s="266">
        <f>+'WICHE Public Grads-RE PROJ'!DP23/'WICHE Public Grads-RE PROJ'!AL23</f>
        <v>3.9204964904052805E-3</v>
      </c>
      <c r="CA22" s="266">
        <f>+'WICHE Public Grads-RE PROJ'!DQ23/'WICHE Public Grads-RE PROJ'!AM23</f>
        <v>3.9573209764162268E-3</v>
      </c>
      <c r="CB22" s="266">
        <f>+'WICHE Public Grads-RE PROJ'!DR23/'WICHE Public Grads-RE PROJ'!AN23</f>
        <v>2.8899193428670558E-3</v>
      </c>
      <c r="CC22" s="266">
        <f>+'WICHE Public Grads-RE PROJ'!DS23/'WICHE Public Grads-RE PROJ'!AO23</f>
        <v>4.8675166622591005E-3</v>
      </c>
      <c r="CD22" s="266">
        <f>+'WICHE Public Grads-RE PROJ'!DT23/'WICHE Public Grads-RE PROJ'!AP23</f>
        <v>5.5598343824666526E-3</v>
      </c>
      <c r="CE22" s="282">
        <f>+'WICHE Public Grads-RE PROJ'!DU23/'WICHE Public Grads-RE PROJ'!AQ23</f>
        <v>4.4069619404573769E-3</v>
      </c>
      <c r="CF22" s="262">
        <f>+'WICHE Public Grads-RE PROJ'!DV23/'WICHE Public Grads-RE PROJ'!B23</f>
        <v>4.5031218389200878E-2</v>
      </c>
      <c r="CG22" s="262">
        <f>+'WICHE Public Grads-RE PROJ'!DW23/'WICHE Public Grads-RE PROJ'!C23</f>
        <v>4.6129802626957928E-2</v>
      </c>
      <c r="CH22" s="262">
        <f>+'WICHE Public Grads-RE PROJ'!DX23/'WICHE Public Grads-RE PROJ'!D23</f>
        <v>4.6651229070181689E-2</v>
      </c>
      <c r="CI22" s="262">
        <f>+'WICHE Public Grads-RE PROJ'!DY23/'WICHE Public Grads-RE PROJ'!E23</f>
        <v>4.5554411259869552E-2</v>
      </c>
      <c r="CJ22" s="262">
        <f>+'WICHE Public Grads-RE PROJ'!DZ23/'WICHE Public Grads-RE PROJ'!F23</f>
        <v>4.4819997936939103E-2</v>
      </c>
      <c r="CK22" s="262">
        <f>+'WICHE Public Grads-RE PROJ'!EA23/'WICHE Public Grads-RE PROJ'!G23</f>
        <v>4.4811593246075893E-2</v>
      </c>
      <c r="CL22" s="267">
        <f>+'WICHE Public Grads-RE PROJ'!EB23/'WICHE Public Grads-RE PROJ'!H23</f>
        <v>4.388090152698524E-2</v>
      </c>
      <c r="CM22" s="267">
        <f>+'WICHE Public Grads-RE PROJ'!EC23/'WICHE Public Grads-RE PROJ'!I23</f>
        <v>4.6262230919765168E-2</v>
      </c>
      <c r="CN22" s="267">
        <f>+'WICHE Public Grads-RE PROJ'!ED23/'WICHE Public Grads-RE PROJ'!J23</f>
        <v>4.6801634245990612E-2</v>
      </c>
      <c r="CO22" s="267">
        <f>+'WICHE Public Grads-RE PROJ'!EE23/'WICHE Public Grads-RE PROJ'!K23</f>
        <v>5.0115791544946796E-2</v>
      </c>
      <c r="CP22" s="262">
        <f>+'WICHE Public Grads-RE PROJ'!EF23/'WICHE Public Grads-RE PROJ'!L23</f>
        <v>5.0406650731369983E-2</v>
      </c>
      <c r="CQ22" s="267">
        <f>+'WICHE Public Grads-RE PROJ'!EG23/'WICHE Public Grads-RE PROJ'!M23</f>
        <v>5.0943887693130255E-2</v>
      </c>
      <c r="CR22" s="267">
        <f>+'WICHE Public Grads-RE PROJ'!EH23/'WICHE Public Grads-RE PROJ'!N23</f>
        <v>4.9845923211459982E-2</v>
      </c>
      <c r="CS22" s="267">
        <f>+'WICHE Public Grads-RE PROJ'!EI23/'WICHE Public Grads-RE PROJ'!O23</f>
        <v>5.447486662956276E-2</v>
      </c>
      <c r="CT22" s="267">
        <f>+'WICHE Public Grads-RE PROJ'!EJ23/'WICHE Public Grads-RE PROJ'!P23</f>
        <v>5.8594479647111224E-2</v>
      </c>
      <c r="CU22" s="267">
        <f>+'WICHE Public Grads-RE PROJ'!EK23/'WICHE Public Grads-RE PROJ'!Q23</f>
        <v>5.8245604551535872E-2</v>
      </c>
      <c r="CV22" s="267">
        <f>+'WICHE Public Grads-RE PROJ'!EL23/'WICHE Public Grads-RE PROJ'!R23</f>
        <v>6.0605668937171217E-2</v>
      </c>
      <c r="CW22" s="267">
        <f>+'WICHE Public Grads-RE PROJ'!EM23/'WICHE Public Grads-RE PROJ'!S23</f>
        <v>5.9735596539905338E-2</v>
      </c>
      <c r="CX22" s="267">
        <f>+'WICHE Public Grads-RE PROJ'!EN23/'WICHE Public Grads-RE PROJ'!T23</f>
        <v>6.0973365558022845E-2</v>
      </c>
      <c r="CY22" s="267">
        <f>+'WICHE Public Grads-RE PROJ'!EO23/'WICHE Public Grads-RE PROJ'!U23</f>
        <v>6.3921871438730168E-2</v>
      </c>
      <c r="CZ22" s="267">
        <f>+'WICHE Public Grads-RE PROJ'!EP23/'WICHE Public Grads-RE PROJ'!V23</f>
        <v>6.3184024644425268E-2</v>
      </c>
      <c r="DA22" s="267">
        <f>+'WICHE Public Grads-RE PROJ'!EQ23/'WICHE Public Grads-RE PROJ'!W23</f>
        <v>6.634909341891003E-2</v>
      </c>
      <c r="DB22" s="268">
        <f>+'WICHE Public Grads-RE PROJ'!ER23/'WICHE Public Grads-RE PROJ'!Y23</f>
        <v>7.1201242317997515E-2</v>
      </c>
      <c r="DC22" s="268">
        <f>+'WICHE Public Grads-RE PROJ'!ES23/'WICHE Public Grads-RE PROJ'!Z23</f>
        <v>7.0666239906812645E-2</v>
      </c>
      <c r="DD22" s="268">
        <f>+'WICHE Public Grads-RE PROJ'!ET23/'WICHE Public Grads-RE PROJ'!AA23</f>
        <v>7.2560570417395179E-2</v>
      </c>
      <c r="DE22" s="268">
        <f>+'WICHE Public Grads-RE PROJ'!EU23/'WICHE Public Grads-RE PROJ'!AB23</f>
        <v>7.3496247997408184E-2</v>
      </c>
      <c r="DF22" s="266">
        <f>+'WICHE Public Grads-RE PROJ'!EV23/'WICHE Public Grads-RE PROJ'!AC23</f>
        <v>7.8259295269185583E-2</v>
      </c>
      <c r="DG22" s="266">
        <f>+'WICHE Public Grads-RE PROJ'!EW23/'WICHE Public Grads-RE PROJ'!AD23</f>
        <v>8.1958620890158207E-2</v>
      </c>
      <c r="DH22" s="266">
        <f>+'WICHE Public Grads-RE PROJ'!EX23/'WICHE Public Grads-RE PROJ'!AE23</f>
        <v>8.6039433872237711E-2</v>
      </c>
      <c r="DI22" s="266">
        <f>+'WICHE Public Grads-RE PROJ'!EY23/'WICHE Public Grads-RE PROJ'!AF23</f>
        <v>9.0109766762784663E-2</v>
      </c>
      <c r="DJ22" s="266">
        <f>+'WICHE Public Grads-RE PROJ'!EZ23/'WICHE Public Grads-RE PROJ'!AG23</f>
        <v>9.2620124561858252E-2</v>
      </c>
      <c r="DK22" s="268">
        <f>+'WICHE Public Grads-RE PROJ'!FA23/'WICHE Public Grads-RE PROJ'!AH23</f>
        <v>9.3534176208614178E-2</v>
      </c>
      <c r="DL22" s="266">
        <f>+'WICHE Public Grads-RE PROJ'!FB23/'WICHE Public Grads-RE PROJ'!AI23</f>
        <v>9.4423007551004315E-2</v>
      </c>
      <c r="DM22" s="266">
        <f>+'WICHE Public Grads-RE PROJ'!FC23/'WICHE Public Grads-RE PROJ'!AJ23</f>
        <v>9.5260908286092572E-2</v>
      </c>
      <c r="DN22" s="266">
        <f>+'WICHE Public Grads-RE PROJ'!FD23/'WICHE Public Grads-RE PROJ'!AK23</f>
        <v>9.7241909463955944E-2</v>
      </c>
      <c r="DO22" s="266">
        <f>+'WICHE Public Grads-RE PROJ'!FE23/'WICHE Public Grads-RE PROJ'!AL23</f>
        <v>0.10173111970723889</v>
      </c>
      <c r="DP22" s="266">
        <f>+'WICHE Public Grads-RE PROJ'!FF23/'WICHE Public Grads-RE PROJ'!AM23</f>
        <v>0.10298921195148564</v>
      </c>
      <c r="DQ22" s="266">
        <f>+'WICHE Public Grads-RE PROJ'!FG23/'WICHE Public Grads-RE PROJ'!AN23</f>
        <v>0.10315551974361629</v>
      </c>
      <c r="DR22" s="266">
        <f>+'WICHE Public Grads-RE PROJ'!FH23/'WICHE Public Grads-RE PROJ'!AO23</f>
        <v>0.10609538321928551</v>
      </c>
      <c r="DS22" s="266">
        <f>+'WICHE Public Grads-RE PROJ'!FI23/'WICHE Public Grads-RE PROJ'!AP23</f>
        <v>0.10317771646606885</v>
      </c>
      <c r="DT22" s="282">
        <f>+'WICHE Public Grads-RE PROJ'!FJ23/'WICHE Public Grads-RE PROJ'!AQ23</f>
        <v>0.10861116067846398</v>
      </c>
      <c r="DU22" s="262">
        <f>+'WICHE Public Grads-RE PROJ'!FK23/'WICHE Public Grads-RE PROJ'!B23</f>
        <v>0.19934423942237259</v>
      </c>
      <c r="DV22" s="262">
        <f>+'WICHE Public Grads-RE PROJ'!FL23/'WICHE Public Grads-RE PROJ'!C23</f>
        <v>0.20850600547868231</v>
      </c>
      <c r="DW22" s="262">
        <f>+'WICHE Public Grads-RE PROJ'!FM23/'WICHE Public Grads-RE PROJ'!D23</f>
        <v>0.20837192732454579</v>
      </c>
      <c r="DX22" s="262">
        <f>+'WICHE Public Grads-RE PROJ'!FN23/'WICHE Public Grads-RE PROJ'!E23</f>
        <v>0.21402334363199452</v>
      </c>
      <c r="DY22" s="262">
        <f>+'WICHE Public Grads-RE PROJ'!FO23/'WICHE Public Grads-RE PROJ'!F23</f>
        <v>0.21756696351820651</v>
      </c>
      <c r="DZ22" s="262">
        <f>+'WICHE Public Grads-RE PROJ'!FP23/'WICHE Public Grads-RE PROJ'!G23</f>
        <v>0.22252298347830393</v>
      </c>
      <c r="EA22" s="267">
        <f>+'WICHE Public Grads-RE PROJ'!FQ23/'WICHE Public Grads-RE PROJ'!H23</f>
        <v>0.22938251139660173</v>
      </c>
      <c r="EB22" s="267">
        <f>+'WICHE Public Grads-RE PROJ'!FR23/'WICHE Public Grads-RE PROJ'!I23</f>
        <v>0.22915068493150684</v>
      </c>
      <c r="EC22" s="267">
        <f>+'WICHE Public Grads-RE PROJ'!FS23/'WICHE Public Grads-RE PROJ'!J23</f>
        <v>0.22931276297335204</v>
      </c>
      <c r="ED22" s="267">
        <f>+'WICHE Public Grads-RE PROJ'!FT23/'WICHE Public Grads-RE PROJ'!K23</f>
        <v>0.22598271451708116</v>
      </c>
      <c r="EE22" s="262">
        <f>+'WICHE Public Grads-RE PROJ'!FU23/'WICHE Public Grads-RE PROJ'!L23</f>
        <v>0.22676227844675959</v>
      </c>
      <c r="EF22" s="267">
        <f>+'WICHE Public Grads-RE PROJ'!FV23/'WICHE Public Grads-RE PROJ'!M23</f>
        <v>0.23163291885444801</v>
      </c>
      <c r="EG22" s="267">
        <f>+'WICHE Public Grads-RE PROJ'!FW23/'WICHE Public Grads-RE PROJ'!N23</f>
        <v>0.23251714277782404</v>
      </c>
      <c r="EH22" s="267">
        <f>+'WICHE Public Grads-RE PROJ'!FX23/'WICHE Public Grads-RE PROJ'!O23</f>
        <v>0.2313383197361098</v>
      </c>
      <c r="EI22" s="267">
        <f>+'WICHE Public Grads-RE PROJ'!FY23/'WICHE Public Grads-RE PROJ'!P23</f>
        <v>0.22664770033191087</v>
      </c>
      <c r="EJ22" s="267">
        <f>+'WICHE Public Grads-RE PROJ'!FZ23/'WICHE Public Grads-RE PROJ'!Q23</f>
        <v>0.22949579036987985</v>
      </c>
      <c r="EK22" s="267">
        <f>+'WICHE Public Grads-RE PROJ'!GA23/'WICHE Public Grads-RE PROJ'!R23</f>
        <v>0.23213431736225104</v>
      </c>
      <c r="EL22" s="267">
        <f>+'WICHE Public Grads-RE PROJ'!GB23/'WICHE Public Grads-RE PROJ'!S23</f>
        <v>0.23805099747649119</v>
      </c>
      <c r="EM22" s="267">
        <f>+'WICHE Public Grads-RE PROJ'!GC23/'WICHE Public Grads-RE PROJ'!T23</f>
        <v>0.240973610923679</v>
      </c>
      <c r="EN22" s="267">
        <f>+'WICHE Public Grads-RE PROJ'!GD23/'WICHE Public Grads-RE PROJ'!U23</f>
        <v>0.24498090409731657</v>
      </c>
      <c r="EO22" s="267">
        <f>+'WICHE Public Grads-RE PROJ'!GE23/'WICHE Public Grads-RE PROJ'!V23</f>
        <v>0.24260804899365795</v>
      </c>
      <c r="EP22" s="267">
        <f>+'WICHE Public Grads-RE PROJ'!GF23/'WICHE Public Grads-RE PROJ'!W23</f>
        <v>0.23331334879093527</v>
      </c>
      <c r="EQ22" s="268">
        <f>+'WICHE Public Grads-RE PROJ'!GG23/'WICHE Public Grads-RE PROJ'!Y23</f>
        <v>0.22857844150946866</v>
      </c>
      <c r="ER22" s="268">
        <f>+'WICHE Public Grads-RE PROJ'!GH23/'WICHE Public Grads-RE PROJ'!Z23</f>
        <v>0.22862567811763715</v>
      </c>
      <c r="ES22" s="268">
        <f>+'WICHE Public Grads-RE PROJ'!GI23/'WICHE Public Grads-RE PROJ'!AA23</f>
        <v>0.22993750918517897</v>
      </c>
      <c r="ET22" s="268">
        <f>+'WICHE Public Grads-RE PROJ'!GJ23/'WICHE Public Grads-RE PROJ'!AB23</f>
        <v>0.22471183057724603</v>
      </c>
      <c r="EU22" s="266">
        <f>+'WICHE Public Grads-RE PROJ'!GK23/'WICHE Public Grads-RE PROJ'!AC23</f>
        <v>0.22486476071890629</v>
      </c>
      <c r="EV22" s="266">
        <f>+'WICHE Public Grads-RE PROJ'!GL23/'WICHE Public Grads-RE PROJ'!AD23</f>
        <v>0.21944315164396314</v>
      </c>
      <c r="EW22" s="266">
        <f>+'WICHE Public Grads-RE PROJ'!GM23/'WICHE Public Grads-RE PROJ'!AE23</f>
        <v>0.21926051672145569</v>
      </c>
      <c r="EX22" s="266">
        <f>+'WICHE Public Grads-RE PROJ'!GN23/'WICHE Public Grads-RE PROJ'!AF23</f>
        <v>0.21544022224192669</v>
      </c>
      <c r="EY22" s="266">
        <f>+'WICHE Public Grads-RE PROJ'!GO23/'WICHE Public Grads-RE PROJ'!AG23</f>
        <v>0.2113927196085095</v>
      </c>
      <c r="EZ22" s="268">
        <f>+'WICHE Public Grads-RE PROJ'!GP23/'WICHE Public Grads-RE PROJ'!AH23</f>
        <v>0.21287211896067576</v>
      </c>
      <c r="FA22" s="266">
        <f>+'WICHE Public Grads-RE PROJ'!GQ23/'WICHE Public Grads-RE PROJ'!AI23</f>
        <v>0.21330945996499537</v>
      </c>
      <c r="FB22" s="266">
        <f>+'WICHE Public Grads-RE PROJ'!GR23/'WICHE Public Grads-RE PROJ'!AJ23</f>
        <v>0.21501780673005164</v>
      </c>
      <c r="FC22" s="266">
        <f>+'WICHE Public Grads-RE PROJ'!GS23/'WICHE Public Grads-RE PROJ'!AK23</f>
        <v>0.21589113709069904</v>
      </c>
      <c r="FD22" s="266">
        <f>+'WICHE Public Grads-RE PROJ'!GT23/'WICHE Public Grads-RE PROJ'!AL23</f>
        <v>0.21716448645921416</v>
      </c>
      <c r="FE22" s="266">
        <f>+'WICHE Public Grads-RE PROJ'!GU23/'WICHE Public Grads-RE PROJ'!AM23</f>
        <v>0.21491507043613048</v>
      </c>
      <c r="FF22" s="266">
        <f>+'WICHE Public Grads-RE PROJ'!GV23/'WICHE Public Grads-RE PROJ'!AN23</f>
        <v>0.21103316435707803</v>
      </c>
      <c r="FG22" s="266">
        <f>+'WICHE Public Grads-RE PROJ'!GW23/'WICHE Public Grads-RE PROJ'!AO23</f>
        <v>0.21070697357388884</v>
      </c>
      <c r="FH22" s="266">
        <f>+'WICHE Public Grads-RE PROJ'!GX23/'WICHE Public Grads-RE PROJ'!AP23</f>
        <v>0.21202515620287599</v>
      </c>
      <c r="FI22" s="282">
        <f>+'WICHE Public Grads-RE PROJ'!GY23/'WICHE Public Grads-RE PROJ'!AQ23</f>
        <v>0.2068324187722764</v>
      </c>
      <c r="FJ22" s="262">
        <f>+'WICHE Public Grads-RE PROJ'!GZ23/'WICHE Public Grads-RE PROJ'!B23</f>
        <v>1.9533293801667306E-2</v>
      </c>
      <c r="FK22" s="262">
        <f>+'WICHE Public Grads-RE PROJ'!HA23/'WICHE Public Grads-RE PROJ'!C23</f>
        <v>2.1493292126150171E-2</v>
      </c>
      <c r="FL22" s="262">
        <f>+'WICHE Public Grads-RE PROJ'!HB23/'WICHE Public Grads-RE PROJ'!D23</f>
        <v>2.4759529747060919E-2</v>
      </c>
      <c r="FM22" s="262">
        <f>+'WICHE Public Grads-RE PROJ'!HC23/'WICHE Public Grads-RE PROJ'!E23</f>
        <v>2.4150360453141093E-2</v>
      </c>
      <c r="FN22" s="262">
        <f>+'WICHE Public Grads-RE PROJ'!HD23/'WICHE Public Grads-RE PROJ'!F23</f>
        <v>2.7455902073376198E-2</v>
      </c>
      <c r="FO22" s="262">
        <f>+'WICHE Public Grads-RE PROJ'!HE23/'WICHE Public Grads-RE PROJ'!G23</f>
        <v>2.7811246637067358E-2</v>
      </c>
      <c r="FP22" s="267">
        <f>+'WICHE Public Grads-RE PROJ'!HF23/'WICHE Public Grads-RE PROJ'!H23</f>
        <v>2.6762089961426885E-2</v>
      </c>
      <c r="FQ22" s="267">
        <f>+'WICHE Public Grads-RE PROJ'!HG23/'WICHE Public Grads-RE PROJ'!I23</f>
        <v>2.9808219178082192E-2</v>
      </c>
      <c r="FR22" s="267">
        <f>+'WICHE Public Grads-RE PROJ'!HH23/'WICHE Public Grads-RE PROJ'!J23</f>
        <v>3.1084212451978781E-2</v>
      </c>
      <c r="FS22" s="267">
        <f>+'WICHE Public Grads-RE PROJ'!HI23/'WICHE Public Grads-RE PROJ'!K23</f>
        <v>3.5448862518352581E-2</v>
      </c>
      <c r="FT22" s="262">
        <f>+'WICHE Public Grads-RE PROJ'!HJ23/'WICHE Public Grads-RE PROJ'!L23</f>
        <v>3.6891715149055156E-2</v>
      </c>
      <c r="FU22" s="267">
        <f>+'WICHE Public Grads-RE PROJ'!HK23/'WICHE Public Grads-RE PROJ'!M23</f>
        <v>3.9674814581248372E-2</v>
      </c>
      <c r="FV22" s="267">
        <f>+'WICHE Public Grads-RE PROJ'!HL23/'WICHE Public Grads-RE PROJ'!N23</f>
        <v>4.1031620443630103E-2</v>
      </c>
      <c r="FW22" s="267">
        <f>+'WICHE Public Grads-RE PROJ'!HM23/'WICHE Public Grads-RE PROJ'!O23</f>
        <v>4.8271274790611808E-2</v>
      </c>
      <c r="FX22" s="267">
        <f>+'WICHE Public Grads-RE PROJ'!HN23/'WICHE Public Grads-RE PROJ'!P23</f>
        <v>5.0821156084313979E-2</v>
      </c>
      <c r="FY22" s="267">
        <f>+'WICHE Public Grads-RE PROJ'!HO23/'WICHE Public Grads-RE PROJ'!Q23</f>
        <v>5.292106436747436E-2</v>
      </c>
      <c r="FZ22" s="267">
        <f>+'WICHE Public Grads-RE PROJ'!HP23/'WICHE Public Grads-RE PROJ'!R23</f>
        <v>5.6792772298982795E-2</v>
      </c>
      <c r="GA22" s="267">
        <f>+'WICHE Public Grads-RE PROJ'!HQ23/'WICHE Public Grads-RE PROJ'!S23</f>
        <v>6.2271660117261554E-2</v>
      </c>
      <c r="GB22" s="267">
        <f>+'WICHE Public Grads-RE PROJ'!HR23/'WICHE Public Grads-RE PROJ'!T23</f>
        <v>6.7573701708971798E-2</v>
      </c>
      <c r="GC22" s="267">
        <f>+'WICHE Public Grads-RE PROJ'!HS23/'WICHE Public Grads-RE PROJ'!U23</f>
        <v>8.3249894444779537E-2</v>
      </c>
      <c r="GD22" s="267">
        <f>+'WICHE Public Grads-RE PROJ'!HT23/'WICHE Public Grads-RE PROJ'!V23</f>
        <v>9.0501103964673132E-2</v>
      </c>
      <c r="GE22" s="267">
        <f>+'WICHE Public Grads-RE PROJ'!HU23/'WICHE Public Grads-RE PROJ'!W23</f>
        <v>9.6723063437361159E-2</v>
      </c>
      <c r="GF22" s="268">
        <f>+'WICHE Public Grads-RE PROJ'!HV23/'WICHE Public Grads-RE PROJ'!Y23</f>
        <v>9.8115225805740752E-2</v>
      </c>
      <c r="GG22" s="268">
        <f>+'WICHE Public Grads-RE PROJ'!HW23/'WICHE Public Grads-RE PROJ'!Z23</f>
        <v>0.10563773868042096</v>
      </c>
      <c r="GH22" s="268">
        <f>+'WICHE Public Grads-RE PROJ'!HX23/'WICHE Public Grads-RE PROJ'!AA23</f>
        <v>0.1145308127616288</v>
      </c>
      <c r="GI22" s="268">
        <f>+'WICHE Public Grads-RE PROJ'!HY23/'WICHE Public Grads-RE PROJ'!AB23</f>
        <v>0.12267396050337537</v>
      </c>
      <c r="GJ22" s="266">
        <f>+'WICHE Public Grads-RE PROJ'!HZ23/'WICHE Public Grads-RE PROJ'!AC23</f>
        <v>0.12942779427537759</v>
      </c>
      <c r="GK22" s="266">
        <f>+'WICHE Public Grads-RE PROJ'!IA23/'WICHE Public Grads-RE PROJ'!AD23</f>
        <v>0.13789216386466882</v>
      </c>
      <c r="GL22" s="266">
        <f>+'WICHE Public Grads-RE PROJ'!IB23/'WICHE Public Grads-RE PROJ'!AE23</f>
        <v>0.15043570754589733</v>
      </c>
      <c r="GM22" s="266">
        <f>+'WICHE Public Grads-RE PROJ'!IC23/'WICHE Public Grads-RE PROJ'!AF23</f>
        <v>0.15723100520995403</v>
      </c>
      <c r="GN22" s="266">
        <f>+'WICHE Public Grads-RE PROJ'!ID23/'WICHE Public Grads-RE PROJ'!AG23</f>
        <v>0.16840665207068301</v>
      </c>
      <c r="GO22" s="268">
        <f>+'WICHE Public Grads-RE PROJ'!IE23/'WICHE Public Grads-RE PROJ'!AH23</f>
        <v>0.18106682183914102</v>
      </c>
      <c r="GP22" s="266">
        <f>+'WICHE Public Grads-RE PROJ'!IF23/'WICHE Public Grads-RE PROJ'!AI23</f>
        <v>0.19490423807140367</v>
      </c>
      <c r="GQ22" s="266">
        <f>+'WICHE Public Grads-RE PROJ'!IG23/'WICHE Public Grads-RE PROJ'!AJ23</f>
        <v>0.20691771219181099</v>
      </c>
      <c r="GR22" s="266">
        <f>+'WICHE Public Grads-RE PROJ'!IH23/'WICHE Public Grads-RE PROJ'!AK23</f>
        <v>0.19991343141296566</v>
      </c>
      <c r="GS22" s="266">
        <f>+'WICHE Public Grads-RE PROJ'!II23/'WICHE Public Grads-RE PROJ'!AL23</f>
        <v>0.19334934144707669</v>
      </c>
      <c r="GT22" s="266">
        <f>+'WICHE Public Grads-RE PROJ'!IJ23/'WICHE Public Grads-RE PROJ'!AM23</f>
        <v>0.17957989168180385</v>
      </c>
      <c r="GU22" s="266">
        <f>+'WICHE Public Grads-RE PROJ'!IK23/'WICHE Public Grads-RE PROJ'!AN23</f>
        <v>0.18009203464727916</v>
      </c>
      <c r="GV22" s="266">
        <f>+'WICHE Public Grads-RE PROJ'!IL23/'WICHE Public Grads-RE PROJ'!AO23</f>
        <v>0.18637924831426028</v>
      </c>
      <c r="GW22" s="266">
        <f>+'WICHE Public Grads-RE PROJ'!IM23/'WICHE Public Grads-RE PROJ'!AP23</f>
        <v>0.19016470457841109</v>
      </c>
      <c r="GX22" s="282">
        <f>+'WICHE Public Grads-RE PROJ'!IN23/'WICHE Public Grads-RE PROJ'!AQ23</f>
        <v>0.19382642577750683</v>
      </c>
      <c r="GY22" s="262">
        <f>+'WICHE Public Grads-RE PROJ'!IO23/'WICHE Public Grads-RE PROJ'!B23</f>
        <v>0.73445184694269072</v>
      </c>
      <c r="GZ22" s="262">
        <f>+'WICHE Public Grads-RE PROJ'!IP23/'WICHE Public Grads-RE PROJ'!C23</f>
        <v>0.72244854955397908</v>
      </c>
      <c r="HA22" s="262">
        <f>+'WICHE Public Grads-RE PROJ'!IQ23/'WICHE Public Grads-RE PROJ'!D23</f>
        <v>0.71841824011400068</v>
      </c>
      <c r="HB22" s="262">
        <f>+'WICHE Public Grads-RE PROJ'!IR23/'WICHE Public Grads-RE PROJ'!E23</f>
        <v>0.71472708547888775</v>
      </c>
      <c r="HC22" s="262">
        <f>+'WICHE Public Grads-RE PROJ'!IS23/'WICHE Public Grads-RE PROJ'!F23</f>
        <v>0.70828318949214319</v>
      </c>
      <c r="HD22" s="262">
        <f>+'WICHE Public Grads-RE PROJ'!IT23/'WICHE Public Grads-RE PROJ'!G23</f>
        <v>0.70287355373264893</v>
      </c>
      <c r="HE22" s="267">
        <f>+'WICHE Public Grads-RE PROJ'!IU23/'WICHE Public Grads-RE PROJ'!H23</f>
        <v>0.69799802352641138</v>
      </c>
      <c r="HF22" s="267">
        <f>+'WICHE Public Grads-RE PROJ'!IV23/'WICHE Public Grads-RE PROJ'!I23</f>
        <v>0.69288454011741685</v>
      </c>
      <c r="HG22" s="267">
        <f>+'WICHE Public Grads-RE PROJ'!IW23/'WICHE Public Grads-RE PROJ'!J23</f>
        <v>0.69031648271236046</v>
      </c>
      <c r="HH22" s="267">
        <f>+'WICHE Public Grads-RE PROJ'!IX23/'WICHE Public Grads-RE PROJ'!K23</f>
        <v>0.68625788971801349</v>
      </c>
      <c r="HI22" s="262">
        <f>+'WICHE Public Grads-RE PROJ'!IY23/'WICHE Public Grads-RE PROJ'!L23</f>
        <v>0.68378959395060057</v>
      </c>
      <c r="HJ22" s="267">
        <f>+'WICHE Public Grads-RE PROJ'!IZ23/'WICHE Public Grads-RE PROJ'!M23</f>
        <v>0.66634221241243163</v>
      </c>
      <c r="HK22" s="267">
        <f>+'WICHE Public Grads-RE PROJ'!JA23/'WICHE Public Grads-RE PROJ'!N23</f>
        <v>0.67044224202548508</v>
      </c>
      <c r="HL22" s="267">
        <f>+'WICHE Public Grads-RE PROJ'!JB23/'WICHE Public Grads-RE PROJ'!O23</f>
        <v>0.65739069053986177</v>
      </c>
      <c r="HM22" s="267">
        <f>+'WICHE Public Grads-RE PROJ'!JC23/'WICHE Public Grads-RE PROJ'!P23</f>
        <v>0.66109171372329267</v>
      </c>
      <c r="HN22" s="267">
        <f>+'WICHE Public Grads-RE PROJ'!JD23/'WICHE Public Grads-RE PROJ'!Q23</f>
        <v>0.64602619025095609</v>
      </c>
      <c r="HO22" s="267">
        <f>+'WICHE Public Grads-RE PROJ'!JE23/'WICHE Public Grads-RE PROJ'!R23</f>
        <v>0.63533198050898942</v>
      </c>
      <c r="HP22" s="267">
        <f>+'WICHE Public Grads-RE PROJ'!JF23/'WICHE Public Grads-RE PROJ'!S23</f>
        <v>0.621335576452273</v>
      </c>
      <c r="HQ22" s="267">
        <f>+'WICHE Public Grads-RE PROJ'!JG23/'WICHE Public Grads-RE PROJ'!T23</f>
        <v>0.61169658082958134</v>
      </c>
      <c r="HR22" s="267">
        <f>+'WICHE Public Grads-RE PROJ'!JH23/'WICHE Public Grads-RE PROJ'!U23</f>
        <v>0.60423219756454838</v>
      </c>
      <c r="HS22" s="267">
        <f>+'WICHE Public Grads-RE PROJ'!JI23/'WICHE Public Grads-RE PROJ'!V23</f>
        <v>0.60046850817122144</v>
      </c>
      <c r="HT22" s="267">
        <f>+'WICHE Public Grads-RE PROJ'!JJ23/'WICHE Public Grads-RE PROJ'!W23</f>
        <v>0.60028560031650369</v>
      </c>
      <c r="HU22" s="268">
        <f>+'WICHE Public Grads-RE PROJ'!JK23/'WICHE Public Grads-RE PROJ'!Y23</f>
        <v>0.59833386522715171</v>
      </c>
      <c r="HV22" s="268">
        <f>+'WICHE Public Grads-RE PROJ'!JL23/'WICHE Public Grads-RE PROJ'!Z23</f>
        <v>0.5929073844892957</v>
      </c>
      <c r="HW22" s="268">
        <f>+'WICHE Public Grads-RE PROJ'!JM23/'WICHE Public Grads-RE PROJ'!AA23</f>
        <v>0.58642035639537049</v>
      </c>
      <c r="HX22" s="268">
        <f>+'WICHE Public Grads-RE PROJ'!JN23/'WICHE Public Grads-RE PROJ'!AB23</f>
        <v>0.58648977649662115</v>
      </c>
      <c r="HY22" s="266">
        <f>+'WICHE Public Grads-RE PROJ'!JO23/'WICHE Public Grads-RE PROJ'!AC23</f>
        <v>0.57975770447090658</v>
      </c>
      <c r="HZ22" s="266">
        <f>+'WICHE Public Grads-RE PROJ'!JP23/'WICHE Public Grads-RE PROJ'!AD23</f>
        <v>0.5784379602192562</v>
      </c>
      <c r="IA22" s="266">
        <f>+'WICHE Public Grads-RE PROJ'!JQ23/'WICHE Public Grads-RE PROJ'!AE23</f>
        <v>0.56875106449115032</v>
      </c>
      <c r="IB22" s="266">
        <f>+'WICHE Public Grads-RE PROJ'!JR23/'WICHE Public Grads-RE PROJ'!AF23</f>
        <v>0.56983422627743552</v>
      </c>
      <c r="IC22" s="266">
        <f>+'WICHE Public Grads-RE PROJ'!JS23/'WICHE Public Grads-RE PROJ'!AG23</f>
        <v>0.56844725154018116</v>
      </c>
      <c r="ID22" s="268">
        <f>+'WICHE Public Grads-RE PROJ'!JT23/'WICHE Public Grads-RE PROJ'!AH23</f>
        <v>0.56052665940388025</v>
      </c>
      <c r="IE22" s="266">
        <f>+'WICHE Public Grads-RE PROJ'!JU23/'WICHE Public Grads-RE PROJ'!AI23</f>
        <v>0.55394889963782035</v>
      </c>
      <c r="IF22" s="266">
        <f>+'WICHE Public Grads-RE PROJ'!JV23/'WICHE Public Grads-RE PROJ'!AJ23</f>
        <v>0.54803843014898412</v>
      </c>
      <c r="IG22" s="266">
        <f>+'WICHE Public Grads-RE PROJ'!JW23/'WICHE Public Grads-RE PROJ'!AK23</f>
        <v>0.54580585061401365</v>
      </c>
      <c r="IH22" s="266">
        <f>+'WICHE Public Grads-RE PROJ'!JX23/'WICHE Public Grads-RE PROJ'!AL23</f>
        <v>0.54548625257034411</v>
      </c>
      <c r="II22" s="266">
        <f>+'WICHE Public Grads-RE PROJ'!JY23/'WICHE Public Grads-RE PROJ'!AM23</f>
        <v>0.55614076784163669</v>
      </c>
      <c r="IJ22" s="266">
        <f>+'WICHE Public Grads-RE PROJ'!JZ23/'WICHE Public Grads-RE PROJ'!AN23</f>
        <v>0.55841858055048321</v>
      </c>
      <c r="IK22" s="266">
        <f>+'WICHE Public Grads-RE PROJ'!KA23/'WICHE Public Grads-RE PROJ'!AO23</f>
        <v>0.55283652699105279</v>
      </c>
      <c r="IL22" s="266">
        <f>+'WICHE Public Grads-RE PROJ'!KB23/'WICHE Public Grads-RE PROJ'!AP23</f>
        <v>0.55024965436027951</v>
      </c>
      <c r="IM22" s="282">
        <f>+'WICHE Public Grads-RE PROJ'!KC23/'WICHE Public Grads-RE PROJ'!AQ23</f>
        <v>0.54970756562298606</v>
      </c>
      <c r="IN22" s="278">
        <f t="shared" si="5"/>
        <v>1</v>
      </c>
      <c r="IO22" s="278">
        <f t="shared" si="6"/>
        <v>1</v>
      </c>
      <c r="IP22" s="278">
        <f t="shared" si="7"/>
        <v>1</v>
      </c>
      <c r="IQ22" s="278">
        <f t="shared" si="8"/>
        <v>1</v>
      </c>
      <c r="IR22" s="278">
        <f t="shared" si="9"/>
        <v>1</v>
      </c>
      <c r="IS22" s="278">
        <f t="shared" si="10"/>
        <v>1</v>
      </c>
      <c r="IT22" s="278">
        <f t="shared" si="11"/>
        <v>1</v>
      </c>
      <c r="IU22" s="278">
        <f t="shared" si="12"/>
        <v>1</v>
      </c>
      <c r="IV22" s="278">
        <f t="shared" si="13"/>
        <v>1</v>
      </c>
      <c r="IW22" s="278">
        <f t="shared" si="14"/>
        <v>1</v>
      </c>
      <c r="IX22" s="278">
        <f t="shared" si="15"/>
        <v>1</v>
      </c>
      <c r="IY22" s="278">
        <f t="shared" si="16"/>
        <v>0.99064337907681344</v>
      </c>
      <c r="IZ22" s="278">
        <f t="shared" si="17"/>
        <v>0.99600233197301569</v>
      </c>
      <c r="JA22" s="278">
        <f t="shared" si="18"/>
        <v>0.99389143035551875</v>
      </c>
      <c r="JB22" s="278">
        <f t="shared" si="19"/>
        <v>1</v>
      </c>
      <c r="JC22" s="278">
        <f t="shared" si="20"/>
        <v>0.98913469464978299</v>
      </c>
      <c r="JD22" s="278">
        <f t="shared" si="21"/>
        <v>0.98744975377735278</v>
      </c>
      <c r="JE22" s="278">
        <f t="shared" si="22"/>
        <v>0.98440697543031463</v>
      </c>
      <c r="JF22" s="278">
        <f t="shared" si="23"/>
        <v>0.98440701255045338</v>
      </c>
      <c r="JG22" s="278">
        <f t="shared" si="24"/>
        <v>1</v>
      </c>
      <c r="JH22" s="278">
        <f t="shared" si="25"/>
        <v>1</v>
      </c>
      <c r="JI22" s="278">
        <f t="shared" si="26"/>
        <v>1</v>
      </c>
      <c r="JJ22" s="278">
        <f t="shared" si="27"/>
        <v>0.99949801179329034</v>
      </c>
      <c r="JK22" s="278">
        <f t="shared" si="28"/>
        <v>1.0013151864132741</v>
      </c>
      <c r="JL22" s="278">
        <f t="shared" si="29"/>
        <v>1.0068478351252086</v>
      </c>
      <c r="JM22" s="278">
        <f t="shared" si="30"/>
        <v>1.0109847851009195</v>
      </c>
      <c r="JN22" s="278">
        <f t="shared" si="31"/>
        <v>1.0153550015028978</v>
      </c>
      <c r="JO22" s="278">
        <f t="shared" si="32"/>
        <v>1.0208055100407765</v>
      </c>
      <c r="JP22" s="278">
        <f t="shared" si="33"/>
        <v>1.0277309523966573</v>
      </c>
      <c r="JQ22" s="278">
        <f t="shared" si="34"/>
        <v>1.0356832809994283</v>
      </c>
      <c r="JR22" s="278">
        <f t="shared" si="35"/>
        <v>1.0438572894520912</v>
      </c>
      <c r="JS22" s="278">
        <f t="shared" si="36"/>
        <v>1.0514550003643339</v>
      </c>
      <c r="JT22" s="278">
        <f t="shared" si="37"/>
        <v>1.0603787024039681</v>
      </c>
      <c r="JU22" s="278">
        <f t="shared" si="38"/>
        <v>1.0692059648360637</v>
      </c>
      <c r="JV22" s="278">
        <f t="shared" si="39"/>
        <v>1.062936588455007</v>
      </c>
      <c r="JW22" s="278">
        <f t="shared" si="40"/>
        <v>1.0616516966742791</v>
      </c>
      <c r="JX22" s="278">
        <f t="shared" si="41"/>
        <v>1.0575822628874729</v>
      </c>
      <c r="JY22" s="278">
        <f t="shared" si="42"/>
        <v>1.0555892186413236</v>
      </c>
      <c r="JZ22" s="278">
        <f t="shared" si="42"/>
        <v>1.0608856487607465</v>
      </c>
      <c r="KA22" s="278">
        <f t="shared" si="42"/>
        <v>1.0611770659901021</v>
      </c>
      <c r="KB22" s="278">
        <f t="shared" si="42"/>
        <v>1.0633845327916907</v>
      </c>
    </row>
    <row r="23" spans="1:288" s="17" customFormat="1">
      <c r="A23" s="174" t="s">
        <v>49</v>
      </c>
      <c r="B23" s="263">
        <f>+'WICHE Public Grads-RE PROJ'!AR24/'WICHE Public Grads-RE PROJ'!B24</f>
        <v>6.2830358033310061E-3</v>
      </c>
      <c r="C23" s="263">
        <f>+'WICHE Public Grads-RE PROJ'!AS24/'WICHE Public Grads-RE PROJ'!C24</f>
        <v>4.9930789005339137E-3</v>
      </c>
      <c r="D23" s="263">
        <f>+'WICHE Public Grads-RE PROJ'!AT24/'WICHE Public Grads-RE PROJ'!D24</f>
        <v>5.6829611748139205E-3</v>
      </c>
      <c r="E23" s="263">
        <f>+'WICHE Public Grads-RE PROJ'!AU24/'WICHE Public Grads-RE PROJ'!E24</f>
        <v>7.5505439372112659E-3</v>
      </c>
      <c r="F23" s="263">
        <f>+'WICHE Public Grads-RE PROJ'!AV24/'WICHE Public Grads-RE PROJ'!F24</f>
        <v>6.7643194316025111E-3</v>
      </c>
      <c r="G23" s="263">
        <f>+'WICHE Public Grads-RE PROJ'!AW24/'WICHE Public Grads-RE PROJ'!G24</f>
        <v>6.7439840596740406E-3</v>
      </c>
      <c r="H23" s="263">
        <f>+'WICHE Public Grads-RE PROJ'!AX24/'WICHE Public Grads-RE PROJ'!H24</f>
        <v>7.3894068637175162E-3</v>
      </c>
      <c r="I23" s="263">
        <f>+'WICHE Public Grads-RE PROJ'!AY24/'WICHE Public Grads-RE PROJ'!I24</f>
        <v>7.391020161898537E-3</v>
      </c>
      <c r="J23" s="263">
        <f>+'WICHE Public Grads-RE PROJ'!AZ24/'WICHE Public Grads-RE PROJ'!J24</f>
        <v>8.0773781962236967E-3</v>
      </c>
      <c r="K23" s="263">
        <f>+'WICHE Public Grads-RE PROJ'!BA24/'WICHE Public Grads-RE PROJ'!K24</f>
        <v>8.0260303687635579E-3</v>
      </c>
      <c r="L23" s="263">
        <f>+'WICHE Public Grads-RE PROJ'!BB24/'WICHE Public Grads-RE PROJ'!L24</f>
        <v>1.0333956095282579E-2</v>
      </c>
      <c r="M23" s="263">
        <f>+'WICHE Public Grads-RE PROJ'!BC24/'WICHE Public Grads-RE PROJ'!M24</f>
        <v>9.7761323537918672E-3</v>
      </c>
      <c r="N23" s="263">
        <f>+'WICHE Public Grads-RE PROJ'!BD24/'WICHE Public Grads-RE PROJ'!N24</f>
        <v>9.2854259184497381E-3</v>
      </c>
      <c r="O23" s="263">
        <f>+'WICHE Public Grads-RE PROJ'!BE24/'WICHE Public Grads-RE PROJ'!O24</f>
        <v>8.4028709809184799E-3</v>
      </c>
      <c r="P23" s="263">
        <f>+'WICHE Public Grads-RE PROJ'!BF24/'WICHE Public Grads-RE PROJ'!P24</f>
        <v>9.4255204915587899E-3</v>
      </c>
      <c r="Q23" s="263">
        <f>+'WICHE Public Grads-RE PROJ'!BG24/'WICHE Public Grads-RE PROJ'!Q24</f>
        <v>7.4682598954443615E-3</v>
      </c>
      <c r="R23" s="263">
        <f>+'WICHE Public Grads-RE PROJ'!BH24/'WICHE Public Grads-RE PROJ'!R24</f>
        <v>9.2057864943678892E-3</v>
      </c>
      <c r="S23" s="263">
        <f>+'WICHE Public Grads-RE PROJ'!BI24/'WICHE Public Grads-RE PROJ'!S24</f>
        <v>9.3273035613340872E-3</v>
      </c>
      <c r="T23" s="263">
        <f>+'WICHE Public Grads-RE PROJ'!BJ24/'WICHE Public Grads-RE PROJ'!T24</f>
        <v>9.3039692783519444E-3</v>
      </c>
      <c r="U23" s="263">
        <f>+'WICHE Public Grads-RE PROJ'!BK24/'WICHE Public Grads-RE PROJ'!U24</f>
        <v>8.5732422044534021E-3</v>
      </c>
      <c r="V23" s="263">
        <f>+'WICHE Public Grads-RE PROJ'!BL24/'WICHE Public Grads-RE PROJ'!V24</f>
        <v>8.1469775083982381E-3</v>
      </c>
      <c r="W23" s="263">
        <f>+'WICHE Public Grads-RE PROJ'!BM24/'WICHE Public Grads-RE PROJ'!W24</f>
        <v>8.4182206758494863E-3</v>
      </c>
      <c r="X23" s="269">
        <f>+'WICHE Public Grads-RE PROJ'!BN24/'WICHE Public Grads-RE PROJ'!Y24</f>
        <v>8.6928536712597756E-3</v>
      </c>
      <c r="Y23" s="269">
        <f>+'WICHE Public Grads-RE PROJ'!BO24/'WICHE Public Grads-RE PROJ'!Z24</f>
        <v>9.9046441340502316E-3</v>
      </c>
      <c r="Z23" s="269">
        <f>+'WICHE Public Grads-RE PROJ'!BP24/'WICHE Public Grads-RE PROJ'!AA24</f>
        <v>1.0490809569681998E-2</v>
      </c>
      <c r="AA23" s="269">
        <f>+'WICHE Public Grads-RE PROJ'!BQ24/'WICHE Public Grads-RE PROJ'!AB24</f>
        <v>9.4716400391044366E-3</v>
      </c>
      <c r="AB23" s="269">
        <f>+'WICHE Public Grads-RE PROJ'!BR24/'WICHE Public Grads-RE PROJ'!AC24</f>
        <v>1.0137076822116424E-2</v>
      </c>
      <c r="AC23" s="269">
        <f>+'WICHE Public Grads-RE PROJ'!BS24/'WICHE Public Grads-RE PROJ'!AD24</f>
        <v>9.1264397529330129E-3</v>
      </c>
      <c r="AD23" s="269">
        <f>+'WICHE Public Grads-RE PROJ'!BT24/'WICHE Public Grads-RE PROJ'!AE24</f>
        <v>9.3988194762661004E-3</v>
      </c>
      <c r="AE23" s="269">
        <f>+'WICHE Public Grads-RE PROJ'!BU24/'WICHE Public Grads-RE PROJ'!AF24</f>
        <v>9.5121786966840764E-3</v>
      </c>
      <c r="AF23" s="269">
        <f>+'WICHE Public Grads-RE PROJ'!BV24/'WICHE Public Grads-RE PROJ'!AG24</f>
        <v>9.5862195921971004E-3</v>
      </c>
      <c r="AG23" s="269">
        <f>+'WICHE Public Grads-RE PROJ'!BW24/'WICHE Public Grads-RE PROJ'!AH24</f>
        <v>9.3154093885452569E-3</v>
      </c>
      <c r="AH23" s="269">
        <f>+'WICHE Public Grads-RE PROJ'!BX24/'WICHE Public Grads-RE PROJ'!AI24</f>
        <v>9.8522757027083799E-3</v>
      </c>
      <c r="AI23" s="269">
        <f>+'WICHE Public Grads-RE PROJ'!BY24/'WICHE Public Grads-RE PROJ'!AJ24</f>
        <v>8.5294598617865133E-3</v>
      </c>
      <c r="AJ23" s="269">
        <f>+'WICHE Public Grads-RE PROJ'!BZ24/'WICHE Public Grads-RE PROJ'!AK24</f>
        <v>9.8489181777312411E-3</v>
      </c>
      <c r="AK23" s="269">
        <f>+'WICHE Public Grads-RE PROJ'!CA24/'WICHE Public Grads-RE PROJ'!AL24</f>
        <v>8.1033458857440108E-3</v>
      </c>
      <c r="AL23" s="269">
        <f>+'WICHE Public Grads-RE PROJ'!CB24/'WICHE Public Grads-RE PROJ'!AM24</f>
        <v>1.0577508247286526E-2</v>
      </c>
      <c r="AM23" s="269">
        <f>+'WICHE Public Grads-RE PROJ'!CC24/'WICHE Public Grads-RE PROJ'!AN24</f>
        <v>1.0036192978235705E-2</v>
      </c>
      <c r="AN23" s="269">
        <f>+'WICHE Public Grads-RE PROJ'!CD24/'WICHE Public Grads-RE PROJ'!AO24</f>
        <v>9.3892385652490883E-3</v>
      </c>
      <c r="AO23" s="269">
        <f>+'WICHE Public Grads-RE PROJ'!CE24/'WICHE Public Grads-RE PROJ'!AP24</f>
        <v>1.1443620654077478E-2</v>
      </c>
      <c r="AP23" s="283">
        <f>+'WICHE Public Grads-RE PROJ'!CF24/'WICHE Public Grads-RE PROJ'!AQ24</f>
        <v>1.0536221650026522E-2</v>
      </c>
      <c r="AQ23" s="263">
        <f>+'WICHE Public Grads-RE PROJ'!CG24/'WICHE Public Grads-RE PROJ'!B24</f>
        <v>3.4905754462950036E-4</v>
      </c>
      <c r="AR23" s="263">
        <f>+'WICHE Public Grads-RE PROJ'!CH24/'WICHE Public Grads-RE PROJ'!C24</f>
        <v>3.9549139806209217E-4</v>
      </c>
      <c r="AS23" s="263">
        <f>+'WICHE Public Grads-RE PROJ'!CI24/'WICHE Public Grads-RE PROJ'!D24</f>
        <v>6.5379199356266349E-4</v>
      </c>
      <c r="AT23" s="263">
        <f>+'WICHE Public Grads-RE PROJ'!CJ24/'WICHE Public Grads-RE PROJ'!E24</f>
        <v>1.3908896726441806E-3</v>
      </c>
      <c r="AU23" s="263">
        <f>+'WICHE Public Grads-RE PROJ'!CK24/'WICHE Public Grads-RE PROJ'!F24</f>
        <v>1.9465667429071974E-3</v>
      </c>
      <c r="AV23" s="263">
        <f>+'WICHE Public Grads-RE PROJ'!CL24/'WICHE Public Grads-RE PROJ'!G24</f>
        <v>1.3283604966024625E-3</v>
      </c>
      <c r="AW23" s="263">
        <f>+'WICHE Public Grads-RE PROJ'!CM24/'WICHE Public Grads-RE PROJ'!H24</f>
        <v>1.5869867089863122E-3</v>
      </c>
      <c r="AX23" s="263">
        <f>+'WICHE Public Grads-RE PROJ'!CN24/'WICHE Public Grads-RE PROJ'!I24</f>
        <v>1.1564181205691588E-3</v>
      </c>
      <c r="AY23" s="263">
        <f>+'WICHE Public Grads-RE PROJ'!CO24/'WICHE Public Grads-RE PROJ'!J24</f>
        <v>1.1833101816123887E-3</v>
      </c>
      <c r="AZ23" s="263">
        <f>+'WICHE Public Grads-RE PROJ'!CP24/'WICHE Public Grads-RE PROJ'!K24</f>
        <v>9.219088937093275E-4</v>
      </c>
      <c r="BA23" s="263">
        <f>+'WICHE Public Grads-RE PROJ'!CQ24/'WICHE Public Grads-RE PROJ'!L24</f>
        <v>1.693134049509575E-3</v>
      </c>
      <c r="BB23" s="263">
        <f>+'WICHE Public Grads-RE PROJ'!CR24/'WICHE Public Grads-RE PROJ'!M24</f>
        <v>7.520101810609128E-4</v>
      </c>
      <c r="BC23" s="263">
        <f>+'WICHE Public Grads-RE PROJ'!CS24/'WICHE Public Grads-RE PROJ'!N24</f>
        <v>6.9208143491550844E-4</v>
      </c>
      <c r="BD23" s="263">
        <f>+'WICHE Public Grads-RE PROJ'!CT24/'WICHE Public Grads-RE PROJ'!O24</f>
        <v>8.1694578981151894E-4</v>
      </c>
      <c r="BE23" s="263">
        <f>+'WICHE Public Grads-RE PROJ'!CU24/'WICHE Public Grads-RE PROJ'!P24</f>
        <v>1.2527590526755354E-3</v>
      </c>
      <c r="BF23" s="263">
        <f>+'WICHE Public Grads-RE PROJ'!CV24/'WICHE Public Grads-RE PROJ'!Q24</f>
        <v>9.1917044867007524E-4</v>
      </c>
      <c r="BG23" s="263">
        <f>+'WICHE Public Grads-RE PROJ'!CW24/'WICHE Public Grads-RE PROJ'!R24</f>
        <v>8.0050317342329465E-4</v>
      </c>
      <c r="BH23" s="263">
        <f>+'WICHE Public Grads-RE PROJ'!CX24/'WICHE Public Grads-RE PROJ'!S24</f>
        <v>9.0446579988694175E-4</v>
      </c>
      <c r="BI23" s="263">
        <f>+'WICHE Public Grads-RE PROJ'!CY24/'WICHE Public Grads-RE PROJ'!T24</f>
        <v>1.1910569004773854E-3</v>
      </c>
      <c r="BJ23" s="263">
        <f>+'WICHE Public Grads-RE PROJ'!CZ24/'WICHE Public Grads-RE PROJ'!U24</f>
        <v>9.8472564190831154E-4</v>
      </c>
      <c r="BK23" s="263">
        <f>+'WICHE Public Grads-RE PROJ'!DA24/'WICHE Public Grads-RE PROJ'!V24</f>
        <v>7.4112864073674965E-4</v>
      </c>
      <c r="BL23" s="263">
        <f>+'WICHE Public Grads-RE PROJ'!DB24/'WICHE Public Grads-RE PROJ'!W24</f>
        <v>1.0655343611614785E-3</v>
      </c>
      <c r="BM23" s="269">
        <f>+'WICHE Public Grads-RE PROJ'!DC24/'WICHE Public Grads-RE PROJ'!Y24</f>
        <v>8.0194366724256562E-4</v>
      </c>
      <c r="BN23" s="269">
        <f>+'WICHE Public Grads-RE PROJ'!DD24/'WICHE Public Grads-RE PROJ'!Z24</f>
        <v>1.2398394639701639E-3</v>
      </c>
      <c r="BO23" s="269">
        <f>+'WICHE Public Grads-RE PROJ'!DE24/'WICHE Public Grads-RE PROJ'!AA24</f>
        <v>1.3988921853485387E-3</v>
      </c>
      <c r="BP23" s="269">
        <f>+'WICHE Public Grads-RE PROJ'!DF24/'WICHE Public Grads-RE PROJ'!AB24</f>
        <v>1.1856170308699172E-3</v>
      </c>
      <c r="BQ23" s="269">
        <f>+'WICHE Public Grads-RE PROJ'!DG24/'WICHE Public Grads-RE PROJ'!AC24</f>
        <v>1.5781660260723617E-3</v>
      </c>
      <c r="BR23" s="269">
        <f>+'WICHE Public Grads-RE PROJ'!DH24/'WICHE Public Grads-RE PROJ'!AD24</f>
        <v>9.6960144214283629E-4</v>
      </c>
      <c r="BS23" s="269">
        <f>+'WICHE Public Grads-RE PROJ'!DI24/'WICHE Public Grads-RE PROJ'!AE24</f>
        <v>8.2623873860410504E-4</v>
      </c>
      <c r="BT23" s="269">
        <f>+'WICHE Public Grads-RE PROJ'!DJ24/'WICHE Public Grads-RE PROJ'!AF24</f>
        <v>1.1656064905198309E-3</v>
      </c>
      <c r="BU23" s="269">
        <f>+'WICHE Public Grads-RE PROJ'!DK24/'WICHE Public Grads-RE PROJ'!AG24</f>
        <v>1.2749797436924562E-3</v>
      </c>
      <c r="BV23" s="269">
        <f>+'WICHE Public Grads-RE PROJ'!DL24/'WICHE Public Grads-RE PROJ'!AH24</f>
        <v>1.0785409974932111E-3</v>
      </c>
      <c r="BW23" s="269">
        <f>+'WICHE Public Grads-RE PROJ'!DM24/'WICHE Public Grads-RE PROJ'!AI24</f>
        <v>1.1421171941291615E-3</v>
      </c>
      <c r="BX23" s="269">
        <f>+'WICHE Public Grads-RE PROJ'!DN24/'WICHE Public Grads-RE PROJ'!AJ24</f>
        <v>7.434331846200631E-4</v>
      </c>
      <c r="BY23" s="269">
        <f>+'WICHE Public Grads-RE PROJ'!DO24/'WICHE Public Grads-RE PROJ'!AK24</f>
        <v>1.1908614041449474E-3</v>
      </c>
      <c r="BZ23" s="269">
        <f>+'WICHE Public Grads-RE PROJ'!DP24/'WICHE Public Grads-RE PROJ'!AL24</f>
        <v>1.1278318060675219E-3</v>
      </c>
      <c r="CA23" s="269">
        <f>+'WICHE Public Grads-RE PROJ'!DQ24/'WICHE Public Grads-RE PROJ'!AM24</f>
        <v>1.2988772954980502E-3</v>
      </c>
      <c r="CB23" s="269">
        <f>+'WICHE Public Grads-RE PROJ'!DR24/'WICHE Public Grads-RE PROJ'!AN24</f>
        <v>1.0227184589666021E-3</v>
      </c>
      <c r="CC23" s="269">
        <f>+'WICHE Public Grads-RE PROJ'!DS24/'WICHE Public Grads-RE PROJ'!AO24</f>
        <v>5.1285011177415235E-4</v>
      </c>
      <c r="CD23" s="269">
        <f>+'WICHE Public Grads-RE PROJ'!DT24/'WICHE Public Grads-RE PROJ'!AP24</f>
        <v>5.2634695330855082E-4</v>
      </c>
      <c r="CE23" s="283">
        <f>+'WICHE Public Grads-RE PROJ'!DU24/'WICHE Public Grads-RE PROJ'!AQ24</f>
        <v>5.4478236313735943E-4</v>
      </c>
      <c r="CF23" s="263">
        <f>+'WICHE Public Grads-RE PROJ'!DV24/'WICHE Public Grads-RE PROJ'!B24</f>
        <v>5.9339782587015059E-3</v>
      </c>
      <c r="CG23" s="263">
        <f>+'WICHE Public Grads-RE PROJ'!DW24/'WICHE Public Grads-RE PROJ'!C24</f>
        <v>4.5975875024718213E-3</v>
      </c>
      <c r="CH23" s="263">
        <f>+'WICHE Public Grads-RE PROJ'!DX24/'WICHE Public Grads-RE PROJ'!D24</f>
        <v>5.0291691812512571E-3</v>
      </c>
      <c r="CI23" s="263">
        <f>+'WICHE Public Grads-RE PROJ'!DY24/'WICHE Public Grads-RE PROJ'!E24</f>
        <v>6.1596542645670858E-3</v>
      </c>
      <c r="CJ23" s="263">
        <f>+'WICHE Public Grads-RE PROJ'!DZ24/'WICHE Public Grads-RE PROJ'!F24</f>
        <v>4.8177526886953132E-3</v>
      </c>
      <c r="CK23" s="263">
        <f>+'WICHE Public Grads-RE PROJ'!EA24/'WICHE Public Grads-RE PROJ'!G24</f>
        <v>5.4156235630715786E-3</v>
      </c>
      <c r="CL23" s="263">
        <f>+'WICHE Public Grads-RE PROJ'!EB24/'WICHE Public Grads-RE PROJ'!H24</f>
        <v>5.8024201547312044E-3</v>
      </c>
      <c r="CM23" s="263">
        <f>+'WICHE Public Grads-RE PROJ'!EC24/'WICHE Public Grads-RE PROJ'!I24</f>
        <v>6.234602041329378E-3</v>
      </c>
      <c r="CN23" s="263">
        <f>+'WICHE Public Grads-RE PROJ'!ED24/'WICHE Public Grads-RE PROJ'!J24</f>
        <v>6.8940680146113084E-3</v>
      </c>
      <c r="CO23" s="263">
        <f>+'WICHE Public Grads-RE PROJ'!EE24/'WICHE Public Grads-RE PROJ'!K24</f>
        <v>7.10412147505423E-3</v>
      </c>
      <c r="CP23" s="263">
        <f>+'WICHE Public Grads-RE PROJ'!EF24/'WICHE Public Grads-RE PROJ'!L24</f>
        <v>8.6408220457730028E-3</v>
      </c>
      <c r="CQ23" s="263">
        <f>+'WICHE Public Grads-RE PROJ'!EG24/'WICHE Public Grads-RE PROJ'!M24</f>
        <v>9.0241221727309535E-3</v>
      </c>
      <c r="CR23" s="263">
        <f>+'WICHE Public Grads-RE PROJ'!EH24/'WICHE Public Grads-RE PROJ'!N24</f>
        <v>8.5933444835342293E-3</v>
      </c>
      <c r="CS23" s="263">
        <f>+'WICHE Public Grads-RE PROJ'!EI24/'WICHE Public Grads-RE PROJ'!O24</f>
        <v>7.5859251911069613E-3</v>
      </c>
      <c r="CT23" s="263">
        <f>+'WICHE Public Grads-RE PROJ'!EJ24/'WICHE Public Grads-RE PROJ'!P24</f>
        <v>8.172761438883255E-3</v>
      </c>
      <c r="CU23" s="263">
        <f>+'WICHE Public Grads-RE PROJ'!EK24/'WICHE Public Grads-RE PROJ'!Q24</f>
        <v>6.5490894467742861E-3</v>
      </c>
      <c r="CV23" s="263">
        <f>+'WICHE Public Grads-RE PROJ'!EL24/'WICHE Public Grads-RE PROJ'!R24</f>
        <v>8.4052833209445933E-3</v>
      </c>
      <c r="CW23" s="263">
        <f>+'WICHE Public Grads-RE PROJ'!EM24/'WICHE Public Grads-RE PROJ'!S24</f>
        <v>8.4228377614471456E-3</v>
      </c>
      <c r="CX23" s="263">
        <f>+'WICHE Public Grads-RE PROJ'!EN24/'WICHE Public Grads-RE PROJ'!T24</f>
        <v>8.1129123778745597E-3</v>
      </c>
      <c r="CY23" s="263">
        <f>+'WICHE Public Grads-RE PROJ'!EO24/'WICHE Public Grads-RE PROJ'!U24</f>
        <v>7.5885165625450912E-3</v>
      </c>
      <c r="CZ23" s="263">
        <f>+'WICHE Public Grads-RE PROJ'!EP24/'WICHE Public Grads-RE PROJ'!V24</f>
        <v>7.4058488676614891E-3</v>
      </c>
      <c r="DA23" s="263">
        <f>+'WICHE Public Grads-RE PROJ'!EQ24/'WICHE Public Grads-RE PROJ'!W24</f>
        <v>7.3526863146880081E-3</v>
      </c>
      <c r="DB23" s="269">
        <f>+'WICHE Public Grads-RE PROJ'!ER24/'WICHE Public Grads-RE PROJ'!Y24</f>
        <v>7.8909100040172112E-3</v>
      </c>
      <c r="DC23" s="269">
        <f>+'WICHE Public Grads-RE PROJ'!ES24/'WICHE Public Grads-RE PROJ'!Z24</f>
        <v>8.6648046700800677E-3</v>
      </c>
      <c r="DD23" s="269">
        <f>+'WICHE Public Grads-RE PROJ'!ET24/'WICHE Public Grads-RE PROJ'!AA24</f>
        <v>9.0919173843334606E-3</v>
      </c>
      <c r="DE23" s="269">
        <f>+'WICHE Public Grads-RE PROJ'!EU24/'WICHE Public Grads-RE PROJ'!AB24</f>
        <v>8.286023008234519E-3</v>
      </c>
      <c r="DF23" s="269">
        <f>+'WICHE Public Grads-RE PROJ'!EV24/'WICHE Public Grads-RE PROJ'!AC24</f>
        <v>8.5589107960440617E-3</v>
      </c>
      <c r="DG23" s="269">
        <f>+'WICHE Public Grads-RE PROJ'!EW24/'WICHE Public Grads-RE PROJ'!AD24</f>
        <v>8.1568383107901762E-3</v>
      </c>
      <c r="DH23" s="269">
        <f>+'WICHE Public Grads-RE PROJ'!EX24/'WICHE Public Grads-RE PROJ'!AE24</f>
        <v>8.5725807376619955E-3</v>
      </c>
      <c r="DI23" s="269">
        <f>+'WICHE Public Grads-RE PROJ'!EY24/'WICHE Public Grads-RE PROJ'!AF24</f>
        <v>8.3465722061642454E-3</v>
      </c>
      <c r="DJ23" s="269">
        <f>+'WICHE Public Grads-RE PROJ'!EZ24/'WICHE Public Grads-RE PROJ'!AG24</f>
        <v>8.3112398485046448E-3</v>
      </c>
      <c r="DK23" s="269">
        <f>+'WICHE Public Grads-RE PROJ'!FA24/'WICHE Public Grads-RE PROJ'!AH24</f>
        <v>8.2368683910520463E-3</v>
      </c>
      <c r="DL23" s="269">
        <f>+'WICHE Public Grads-RE PROJ'!FB24/'WICHE Public Grads-RE PROJ'!AI24</f>
        <v>8.7101585085792178E-3</v>
      </c>
      <c r="DM23" s="269">
        <f>+'WICHE Public Grads-RE PROJ'!FC24/'WICHE Public Grads-RE PROJ'!AJ24</f>
        <v>7.7860266771664502E-3</v>
      </c>
      <c r="DN23" s="269">
        <f>+'WICHE Public Grads-RE PROJ'!FD24/'WICHE Public Grads-RE PROJ'!AK24</f>
        <v>8.658056773586293E-3</v>
      </c>
      <c r="DO23" s="269">
        <f>+'WICHE Public Grads-RE PROJ'!FE24/'WICHE Public Grads-RE PROJ'!AL24</f>
        <v>6.9755140796764889E-3</v>
      </c>
      <c r="DP23" s="269">
        <f>+'WICHE Public Grads-RE PROJ'!FF24/'WICHE Public Grads-RE PROJ'!AM24</f>
        <v>9.2786309517884739E-3</v>
      </c>
      <c r="DQ23" s="269">
        <f>+'WICHE Public Grads-RE PROJ'!FG24/'WICHE Public Grads-RE PROJ'!AN24</f>
        <v>9.0134745192691022E-3</v>
      </c>
      <c r="DR23" s="269">
        <f>+'WICHE Public Grads-RE PROJ'!FH24/'WICHE Public Grads-RE PROJ'!AO24</f>
        <v>8.8763884534749371E-3</v>
      </c>
      <c r="DS23" s="269">
        <f>+'WICHE Public Grads-RE PROJ'!FI24/'WICHE Public Grads-RE PROJ'!AP24</f>
        <v>1.0917273700768927E-2</v>
      </c>
      <c r="DT23" s="283">
        <f>+'WICHE Public Grads-RE PROJ'!FJ24/'WICHE Public Grads-RE PROJ'!AQ24</f>
        <v>9.9914392868891647E-3</v>
      </c>
      <c r="DU23" s="263">
        <f>+'WICHE Public Grads-RE PROJ'!FK24/'WICHE Public Grads-RE PROJ'!B24</f>
        <v>3.3260197466839531E-2</v>
      </c>
      <c r="DV23" s="263">
        <f>+'WICHE Public Grads-RE PROJ'!FL24/'WICHE Public Grads-RE PROJ'!C24</f>
        <v>3.1837057543998418E-2</v>
      </c>
      <c r="DW23" s="263">
        <f>+'WICHE Public Grads-RE PROJ'!FM24/'WICHE Public Grads-RE PROJ'!D24</f>
        <v>3.4349225507946085E-2</v>
      </c>
      <c r="DX23" s="263">
        <f>+'WICHE Public Grads-RE PROJ'!FN24/'WICHE Public Grads-RE PROJ'!E24</f>
        <v>3.4672892553772788E-2</v>
      </c>
      <c r="DY23" s="263">
        <f>+'WICHE Public Grads-RE PROJ'!FO24/'WICHE Public Grads-RE PROJ'!F24</f>
        <v>3.8104043992408389E-2</v>
      </c>
      <c r="DZ23" s="263">
        <f>+'WICHE Public Grads-RE PROJ'!FP24/'WICHE Public Grads-RE PROJ'!G24</f>
        <v>3.5303734736626985E-2</v>
      </c>
      <c r="EA23" s="263">
        <f>+'WICHE Public Grads-RE PROJ'!FQ24/'WICHE Public Grads-RE PROJ'!H24</f>
        <v>3.3574687561991667E-2</v>
      </c>
      <c r="EB23" s="263">
        <f>+'WICHE Public Grads-RE PROJ'!FR24/'WICHE Public Grads-RE PROJ'!I24</f>
        <v>3.5245613152999143E-2</v>
      </c>
      <c r="EC23" s="263">
        <f>+'WICHE Public Grads-RE PROJ'!FS24/'WICHE Public Grads-RE PROJ'!J24</f>
        <v>3.4881926223182591E-2</v>
      </c>
      <c r="ED23" s="263">
        <f>+'WICHE Public Grads-RE PROJ'!FT24/'WICHE Public Grads-RE PROJ'!K24</f>
        <v>3.6062906724511928E-2</v>
      </c>
      <c r="EE23" s="263">
        <f>+'WICHE Public Grads-RE PROJ'!FU24/'WICHE Public Grads-RE PROJ'!L24</f>
        <v>3.503035964502569E-2</v>
      </c>
      <c r="EF23" s="263">
        <f>+'WICHE Public Grads-RE PROJ'!FV24/'WICHE Public Grads-RE PROJ'!M24</f>
        <v>3.8988835541158097E-2</v>
      </c>
      <c r="EG23" s="263">
        <f>+'WICHE Public Grads-RE PROJ'!FW24/'WICHE Public Grads-RE PROJ'!N24</f>
        <v>3.6680316050521945E-2</v>
      </c>
      <c r="EH23" s="263">
        <f>+'WICHE Public Grads-RE PROJ'!FX24/'WICHE Public Grads-RE PROJ'!O24</f>
        <v>3.8454805391842213E-2</v>
      </c>
      <c r="EI23" s="263">
        <f>+'WICHE Public Grads-RE PROJ'!FY24/'WICHE Public Grads-RE PROJ'!P24</f>
        <v>3.7582771580266065E-2</v>
      </c>
      <c r="EJ23" s="263">
        <f>+'WICHE Public Grads-RE PROJ'!FZ24/'WICHE Public Grads-RE PROJ'!Q24</f>
        <v>4.1075429424943986E-2</v>
      </c>
      <c r="EK23" s="263">
        <f>+'WICHE Public Grads-RE PROJ'!GA24/'WICHE Public Grads-RE PROJ'!R24</f>
        <v>4.1397449825604664E-2</v>
      </c>
      <c r="EL23" s="263">
        <f>+'WICHE Public Grads-RE PROJ'!GB24/'WICHE Public Grads-RE PROJ'!S24</f>
        <v>4.1888072357263988E-2</v>
      </c>
      <c r="EM23" s="263">
        <f>+'WICHE Public Grads-RE PROJ'!GC24/'WICHE Public Grads-RE PROJ'!T24</f>
        <v>4.8215961876322301E-2</v>
      </c>
      <c r="EN23" s="263">
        <f>+'WICHE Public Grads-RE PROJ'!GD24/'WICHE Public Grads-RE PROJ'!U24</f>
        <v>4.9512547385690719E-2</v>
      </c>
      <c r="EO23" s="263">
        <f>+'WICHE Public Grads-RE PROJ'!GE24/'WICHE Public Grads-RE PROJ'!V24</f>
        <v>5.2284911509015916E-2</v>
      </c>
      <c r="EP23" s="263">
        <f>+'WICHE Public Grads-RE PROJ'!GF24/'WICHE Public Grads-RE PROJ'!W24</f>
        <v>5.1462628580043669E-2</v>
      </c>
      <c r="EQ23" s="269">
        <f>+'WICHE Public Grads-RE PROJ'!GG24/'WICHE Public Grads-RE PROJ'!Y24</f>
        <v>5.0568980721721585E-2</v>
      </c>
      <c r="ER23" s="269">
        <f>+'WICHE Public Grads-RE PROJ'!GH24/'WICHE Public Grads-RE PROJ'!Z24</f>
        <v>4.8713156816082598E-2</v>
      </c>
      <c r="ES23" s="269">
        <f>+'WICHE Public Grads-RE PROJ'!GI24/'WICHE Public Grads-RE PROJ'!AA24</f>
        <v>4.9619881696382644E-2</v>
      </c>
      <c r="ET23" s="269">
        <f>+'WICHE Public Grads-RE PROJ'!GJ24/'WICHE Public Grads-RE PROJ'!AB24</f>
        <v>5.0210566918986538E-2</v>
      </c>
      <c r="EU23" s="269">
        <f>+'WICHE Public Grads-RE PROJ'!GK24/'WICHE Public Grads-RE PROJ'!AC24</f>
        <v>4.7434975374735767E-2</v>
      </c>
      <c r="EV23" s="269">
        <f>+'WICHE Public Grads-RE PROJ'!GL24/'WICHE Public Grads-RE PROJ'!AD24</f>
        <v>4.691507524319774E-2</v>
      </c>
      <c r="EW23" s="269">
        <f>+'WICHE Public Grads-RE PROJ'!GM24/'WICHE Public Grads-RE PROJ'!AE24</f>
        <v>4.514232536370763E-2</v>
      </c>
      <c r="EX23" s="269">
        <f>+'WICHE Public Grads-RE PROJ'!GN24/'WICHE Public Grads-RE PROJ'!AF24</f>
        <v>4.31073684450166E-2</v>
      </c>
      <c r="EY23" s="269">
        <f>+'WICHE Public Grads-RE PROJ'!GO24/'WICHE Public Grads-RE PROJ'!AG24</f>
        <v>3.9307192483619018E-2</v>
      </c>
      <c r="EZ23" s="269">
        <f>+'WICHE Public Grads-RE PROJ'!GP24/'WICHE Public Grads-RE PROJ'!AH24</f>
        <v>3.744991086008452E-2</v>
      </c>
      <c r="FA23" s="269">
        <f>+'WICHE Public Grads-RE PROJ'!GQ24/'WICHE Public Grads-RE PROJ'!AI24</f>
        <v>3.7550933022102537E-2</v>
      </c>
      <c r="FB23" s="269">
        <f>+'WICHE Public Grads-RE PROJ'!GR24/'WICHE Public Grads-RE PROJ'!AJ24</f>
        <v>3.2632221033258656E-2</v>
      </c>
      <c r="FC23" s="269">
        <f>+'WICHE Public Grads-RE PROJ'!GS24/'WICHE Public Grads-RE PROJ'!AK24</f>
        <v>4.1301762054905523E-2</v>
      </c>
      <c r="FD23" s="269">
        <f>+'WICHE Public Grads-RE PROJ'!GT24/'WICHE Public Grads-RE PROJ'!AL24</f>
        <v>4.2654429710304857E-2</v>
      </c>
      <c r="FE23" s="269">
        <f>+'WICHE Public Grads-RE PROJ'!GU24/'WICHE Public Grads-RE PROJ'!AM24</f>
        <v>3.9152889135599826E-2</v>
      </c>
      <c r="FF23" s="269">
        <f>+'WICHE Public Grads-RE PROJ'!GV24/'WICHE Public Grads-RE PROJ'!AN24</f>
        <v>3.7243548206560118E-2</v>
      </c>
      <c r="FG23" s="269">
        <f>+'WICHE Public Grads-RE PROJ'!GW24/'WICHE Public Grads-RE PROJ'!AO24</f>
        <v>3.990516200424829E-2</v>
      </c>
      <c r="FH23" s="269">
        <f>+'WICHE Public Grads-RE PROJ'!GX24/'WICHE Public Grads-RE PROJ'!AP24</f>
        <v>3.8316821811043927E-2</v>
      </c>
      <c r="FI23" s="283">
        <f>+'WICHE Public Grads-RE PROJ'!GY24/'WICHE Public Grads-RE PROJ'!AQ24</f>
        <v>4.0076180295090254E-2</v>
      </c>
      <c r="FJ23" s="263">
        <f>+'WICHE Public Grads-RE PROJ'!GZ24/'WICHE Public Grads-RE PROJ'!B24</f>
        <v>1.7951530866660017E-3</v>
      </c>
      <c r="FK23" s="263">
        <f>+'WICHE Public Grads-RE PROJ'!HA24/'WICHE Public Grads-RE PROJ'!C24</f>
        <v>2.6695669369191221E-3</v>
      </c>
      <c r="FL23" s="263">
        <f>+'WICHE Public Grads-RE PROJ'!HB24/'WICHE Public Grads-RE PROJ'!D24</f>
        <v>2.9169181251257293E-3</v>
      </c>
      <c r="FM23" s="263">
        <f>+'WICHE Public Grads-RE PROJ'!HC24/'WICHE Public Grads-RE PROJ'!E24</f>
        <v>2.9804778699518155E-3</v>
      </c>
      <c r="FN23" s="263">
        <f>+'WICHE Public Grads-RE PROJ'!HD24/'WICHE Public Grads-RE PROJ'!F24</f>
        <v>3.2118351257968756E-3</v>
      </c>
      <c r="FO23" s="263">
        <f>+'WICHE Public Grads-RE PROJ'!HE24/'WICHE Public Grads-RE PROJ'!G24</f>
        <v>3.1165380881827006E-3</v>
      </c>
      <c r="FP23" s="263">
        <f>+'WICHE Public Grads-RE PROJ'!HF24/'WICHE Public Grads-RE PROJ'!H24</f>
        <v>3.4715334259075581E-3</v>
      </c>
      <c r="FQ23" s="263">
        <f>+'WICHE Public Grads-RE PROJ'!HG24/'WICHE Public Grads-RE PROJ'!I24</f>
        <v>3.4189753129870784E-3</v>
      </c>
      <c r="FR23" s="263">
        <f>+'WICHE Public Grads-RE PROJ'!HH24/'WICHE Public Grads-RE PROJ'!J24</f>
        <v>3.7557236199001905E-3</v>
      </c>
      <c r="FS23" s="263">
        <f>+'WICHE Public Grads-RE PROJ'!HI24/'WICHE Public Grads-RE PROJ'!K24</f>
        <v>2.9284164859002169E-3</v>
      </c>
      <c r="FT23" s="263">
        <f>+'WICHE Public Grads-RE PROJ'!HJ24/'WICHE Public Grads-RE PROJ'!L24</f>
        <v>4.086875291919664E-3</v>
      </c>
      <c r="FU23" s="263">
        <f>+'WICHE Public Grads-RE PROJ'!HK24/'WICHE Public Grads-RE PROJ'!M24</f>
        <v>3.7022039682998785E-3</v>
      </c>
      <c r="FV23" s="263">
        <f>+'WICHE Public Grads-RE PROJ'!HL24/'WICHE Public Grads-RE PROJ'!N24</f>
        <v>4.6138762327700561E-3</v>
      </c>
      <c r="FW23" s="263">
        <f>+'WICHE Public Grads-RE PROJ'!HM24/'WICHE Public Grads-RE PROJ'!O24</f>
        <v>4.960028009569936E-3</v>
      </c>
      <c r="FX23" s="263">
        <f>+'WICHE Public Grads-RE PROJ'!HN24/'WICHE Public Grads-RE PROJ'!P24</f>
        <v>7.0989679651613669E-3</v>
      </c>
      <c r="FY23" s="263">
        <f>+'WICHE Public Grads-RE PROJ'!HO24/'WICHE Public Grads-RE PROJ'!Q24</f>
        <v>4.9979893146435339E-3</v>
      </c>
      <c r="FZ23" s="263">
        <f>+'WICHE Public Grads-RE PROJ'!HP24/'WICHE Public Grads-RE PROJ'!R24</f>
        <v>6.5755617816913485E-3</v>
      </c>
      <c r="GA23" s="263">
        <f>+'WICHE Public Grads-RE PROJ'!HQ24/'WICHE Public Grads-RE PROJ'!S24</f>
        <v>7.9140757490107402E-3</v>
      </c>
      <c r="GB23" s="263">
        <f>+'WICHE Public Grads-RE PROJ'!HR24/'WICHE Public Grads-RE PROJ'!T24</f>
        <v>7.7615999093535778E-3</v>
      </c>
      <c r="GC23" s="263">
        <f>+'WICHE Public Grads-RE PROJ'!HS24/'WICHE Public Grads-RE PROJ'!U24</f>
        <v>8.4339437351972739E-3</v>
      </c>
      <c r="GD23" s="263">
        <f>+'WICHE Public Grads-RE PROJ'!HT24/'WICHE Public Grads-RE PROJ'!V24</f>
        <v>9.3165937624268592E-3</v>
      </c>
      <c r="GE23" s="263">
        <f>+'WICHE Public Grads-RE PROJ'!HU24/'WICHE Public Grads-RE PROJ'!W24</f>
        <v>9.7076545413970101E-3</v>
      </c>
      <c r="GF23" s="269">
        <f>+'WICHE Public Grads-RE PROJ'!HV24/'WICHE Public Grads-RE PROJ'!Y24</f>
        <v>1.0808254282288635E-2</v>
      </c>
      <c r="GG23" s="269">
        <f>+'WICHE Public Grads-RE PROJ'!HW24/'WICHE Public Grads-RE PROJ'!Z24</f>
        <v>1.1382528355474323E-2</v>
      </c>
      <c r="GH23" s="269">
        <f>+'WICHE Public Grads-RE PROJ'!HX24/'WICHE Public Grads-RE PROJ'!AA24</f>
        <v>1.2017738507071187E-2</v>
      </c>
      <c r="GI23" s="269">
        <f>+'WICHE Public Grads-RE PROJ'!HY24/'WICHE Public Grads-RE PROJ'!AB24</f>
        <v>1.2764830564124474E-2</v>
      </c>
      <c r="GJ23" s="269">
        <f>+'WICHE Public Grads-RE PROJ'!HZ24/'WICHE Public Grads-RE PROJ'!AC24</f>
        <v>1.4097656136092516E-2</v>
      </c>
      <c r="GK23" s="269">
        <f>+'WICHE Public Grads-RE PROJ'!IA24/'WICHE Public Grads-RE PROJ'!AD24</f>
        <v>1.607906553263928E-2</v>
      </c>
      <c r="GL23" s="269">
        <f>+'WICHE Public Grads-RE PROJ'!IB24/'WICHE Public Grads-RE PROJ'!AE24</f>
        <v>1.3805799219516628E-2</v>
      </c>
      <c r="GM23" s="269">
        <f>+'WICHE Public Grads-RE PROJ'!IC24/'WICHE Public Grads-RE PROJ'!AF24</f>
        <v>1.5919239980899818E-2</v>
      </c>
      <c r="GN23" s="269">
        <f>+'WICHE Public Grads-RE PROJ'!ID24/'WICHE Public Grads-RE PROJ'!AG24</f>
        <v>1.8194862606774821E-2</v>
      </c>
      <c r="GO23" s="269">
        <f>+'WICHE Public Grads-RE PROJ'!IE24/'WICHE Public Grads-RE PROJ'!AH24</f>
        <v>2.1568111188515884E-2</v>
      </c>
      <c r="GP23" s="269">
        <f>+'WICHE Public Grads-RE PROJ'!IF24/'WICHE Public Grads-RE PROJ'!AI24</f>
        <v>2.149365398576434E-2</v>
      </c>
      <c r="GQ23" s="269">
        <f>+'WICHE Public Grads-RE PROJ'!IG24/'WICHE Public Grads-RE PROJ'!AJ24</f>
        <v>2.3050473229712768E-2</v>
      </c>
      <c r="GR23" s="269">
        <f>+'WICHE Public Grads-RE PROJ'!IH24/'WICHE Public Grads-RE PROJ'!AK24</f>
        <v>2.5384411362249691E-2</v>
      </c>
      <c r="GS23" s="269">
        <f>+'WICHE Public Grads-RE PROJ'!II24/'WICHE Public Grads-RE PROJ'!AL24</f>
        <v>2.523802201586095E-2</v>
      </c>
      <c r="GT23" s="269">
        <f>+'WICHE Public Grads-RE PROJ'!IJ24/'WICHE Public Grads-RE PROJ'!AM24</f>
        <v>2.3442016564289563E-2</v>
      </c>
      <c r="GU23" s="269">
        <f>+'WICHE Public Grads-RE PROJ'!IK24/'WICHE Public Grads-RE PROJ'!AN24</f>
        <v>2.2252124169898087E-2</v>
      </c>
      <c r="GV23" s="269">
        <f>+'WICHE Public Grads-RE PROJ'!IL24/'WICHE Public Grads-RE PROJ'!AO24</f>
        <v>2.083403713549559E-2</v>
      </c>
      <c r="GW23" s="269">
        <f>+'WICHE Public Grads-RE PROJ'!IM24/'WICHE Public Grads-RE PROJ'!AP24</f>
        <v>2.4012249860272398E-2</v>
      </c>
      <c r="GX23" s="283">
        <f>+'WICHE Public Grads-RE PROJ'!IN24/'WICHE Public Grads-RE PROJ'!AQ24</f>
        <v>3.9155486862987234E-2</v>
      </c>
      <c r="GY23" s="263">
        <f>+'WICHE Public Grads-RE PROJ'!IO24/'WICHE Public Grads-RE PROJ'!B24</f>
        <v>0.95866161364316349</v>
      </c>
      <c r="GZ23" s="263">
        <f>+'WICHE Public Grads-RE PROJ'!IP24/'WICHE Public Grads-RE PROJ'!C24</f>
        <v>0.96050029661854852</v>
      </c>
      <c r="HA23" s="263">
        <f>+'WICHE Public Grads-RE PROJ'!IQ24/'WICHE Public Grads-RE PROJ'!D24</f>
        <v>0.95705089519211428</v>
      </c>
      <c r="HB23" s="263">
        <f>+'WICHE Public Grads-RE PROJ'!IR24/'WICHE Public Grads-RE PROJ'!E24</f>
        <v>0.95479608563906415</v>
      </c>
      <c r="HC23" s="263">
        <f>+'WICHE Public Grads-RE PROJ'!IS24/'WICHE Public Grads-RE PROJ'!F24</f>
        <v>0.95191980145019217</v>
      </c>
      <c r="HD23" s="263">
        <f>+'WICHE Public Grads-RE PROJ'!IT24/'WICHE Public Grads-RE PROJ'!G24</f>
        <v>0.95483574311551622</v>
      </c>
      <c r="HE23" s="263">
        <f>+'WICHE Public Grads-RE PROJ'!IU24/'WICHE Public Grads-RE PROJ'!H24</f>
        <v>0.9555643721483833</v>
      </c>
      <c r="HF23" s="263">
        <f>+'WICHE Public Grads-RE PROJ'!IV24/'WICHE Public Grads-RE PROJ'!I24</f>
        <v>0.95394439137211529</v>
      </c>
      <c r="HG23" s="263">
        <f>+'WICHE Public Grads-RE PROJ'!IW24/'WICHE Public Grads-RE PROJ'!J24</f>
        <v>0.95328497196069351</v>
      </c>
      <c r="HH23" s="263">
        <f>+'WICHE Public Grads-RE PROJ'!IX24/'WICHE Public Grads-RE PROJ'!K24</f>
        <v>0.95298264642082431</v>
      </c>
      <c r="HI23" s="263">
        <f>+'WICHE Public Grads-RE PROJ'!IY24/'WICHE Public Grads-RE PROJ'!L24</f>
        <v>0.95054880896777205</v>
      </c>
      <c r="HJ23" s="263">
        <f>+'WICHE Public Grads-RE PROJ'!IZ24/'WICHE Public Grads-RE PROJ'!M24</f>
        <v>0.9475328281367501</v>
      </c>
      <c r="HK23" s="263">
        <f>+'WICHE Public Grads-RE PROJ'!JA24/'WICHE Public Grads-RE PROJ'!N24</f>
        <v>0.94942038179825827</v>
      </c>
      <c r="HL23" s="263">
        <f>+'WICHE Public Grads-RE PROJ'!JB24/'WICHE Public Grads-RE PROJ'!O24</f>
        <v>0.94818229561766942</v>
      </c>
      <c r="HM23" s="263">
        <f>+'WICHE Public Grads-RE PROJ'!JC24/'WICHE Public Grads-RE PROJ'!P24</f>
        <v>0.94589273996301382</v>
      </c>
      <c r="HN23" s="263">
        <f>+'WICHE Public Grads-RE PROJ'!JD24/'WICHE Public Grads-RE PROJ'!Q24</f>
        <v>0.9464583213649681</v>
      </c>
      <c r="HO23" s="263">
        <f>+'WICHE Public Grads-RE PROJ'!JE24/'WICHE Public Grads-RE PROJ'!R24</f>
        <v>0.94282120189833607</v>
      </c>
      <c r="HP23" s="263">
        <f>+'WICHE Public Grads-RE PROJ'!JF24/'WICHE Public Grads-RE PROJ'!S24</f>
        <v>0.94087054833239114</v>
      </c>
      <c r="HQ23" s="263">
        <f>+'WICHE Public Grads-RE PROJ'!JG24/'WICHE Public Grads-RE PROJ'!T24</f>
        <v>0.93471846893597221</v>
      </c>
      <c r="HR23" s="263">
        <f>+'WICHE Public Grads-RE PROJ'!JH24/'WICHE Public Grads-RE PROJ'!U24</f>
        <v>0.93313366624718475</v>
      </c>
      <c r="HS23" s="263">
        <f>+'WICHE Public Grads-RE PROJ'!JI24/'WICHE Public Grads-RE PROJ'!V24</f>
        <v>0.92991066622885066</v>
      </c>
      <c r="HT23" s="263">
        <f>+'WICHE Public Grads-RE PROJ'!JJ24/'WICHE Public Grads-RE PROJ'!W24</f>
        <v>0.9300767494943859</v>
      </c>
      <c r="HU23" s="269">
        <f>+'WICHE Public Grads-RE PROJ'!JK24/'WICHE Public Grads-RE PROJ'!Y24</f>
        <v>0.92967209699995645</v>
      </c>
      <c r="HV23" s="269">
        <f>+'WICHE Public Grads-RE PROJ'!JL24/'WICHE Public Grads-RE PROJ'!Z24</f>
        <v>0.92978036673727116</v>
      </c>
      <c r="HW23" s="269">
        <f>+'WICHE Public Grads-RE PROJ'!JM24/'WICHE Public Grads-RE PROJ'!AA24</f>
        <v>0.92777784097296112</v>
      </c>
      <c r="HX23" s="269">
        <f>+'WICHE Public Grads-RE PROJ'!JN24/'WICHE Public Grads-RE PROJ'!AB24</f>
        <v>0.92743483557114592</v>
      </c>
      <c r="HY23" s="269">
        <f>+'WICHE Public Grads-RE PROJ'!JO24/'WICHE Public Grads-RE PROJ'!AC24</f>
        <v>0.92867781093430435</v>
      </c>
      <c r="HZ23" s="269">
        <f>+'WICHE Public Grads-RE PROJ'!JP24/'WICHE Public Grads-RE PROJ'!AD24</f>
        <v>0.92857993901242408</v>
      </c>
      <c r="IA23" s="269">
        <f>+'WICHE Public Grads-RE PROJ'!JQ24/'WICHE Public Grads-RE PROJ'!AE24</f>
        <v>0.9322723764349935</v>
      </c>
      <c r="IB23" s="269">
        <f>+'WICHE Public Grads-RE PROJ'!JR24/'WICHE Public Grads-RE PROJ'!AF24</f>
        <v>0.93271962344669845</v>
      </c>
      <c r="IC23" s="269">
        <f>+'WICHE Public Grads-RE PROJ'!JS24/'WICHE Public Grads-RE PROJ'!AG24</f>
        <v>0.93535790813379649</v>
      </c>
      <c r="ID23" s="269">
        <f>+'WICHE Public Grads-RE PROJ'!JT24/'WICHE Public Grads-RE PROJ'!AH24</f>
        <v>0.93543953617300046</v>
      </c>
      <c r="IE23" s="269">
        <f>+'WICHE Public Grads-RE PROJ'!JU24/'WICHE Public Grads-RE PROJ'!AI24</f>
        <v>0.93498635896730542</v>
      </c>
      <c r="IF23" s="269">
        <f>+'WICHE Public Grads-RE PROJ'!JV24/'WICHE Public Grads-RE PROJ'!AJ24</f>
        <v>0.94149241018141583</v>
      </c>
      <c r="IG23" s="269">
        <f>+'WICHE Public Grads-RE PROJ'!JW24/'WICHE Public Grads-RE PROJ'!AK24</f>
        <v>0.93121276894749694</v>
      </c>
      <c r="IH23" s="269">
        <f>+'WICHE Public Grads-RE PROJ'!JX24/'WICHE Public Grads-RE PROJ'!AL24</f>
        <v>0.93143661709171033</v>
      </c>
      <c r="II23" s="269">
        <f>+'WICHE Public Grads-RE PROJ'!JY24/'WICHE Public Grads-RE PROJ'!AM24</f>
        <v>0.93290247638406743</v>
      </c>
      <c r="IJ23" s="269">
        <f>+'WICHE Public Grads-RE PROJ'!JZ24/'WICHE Public Grads-RE PROJ'!AN24</f>
        <v>0.93162387430417715</v>
      </c>
      <c r="IK23" s="269">
        <f>+'WICHE Public Grads-RE PROJ'!KA24/'WICHE Public Grads-RE PROJ'!AO24</f>
        <v>0.93401046038060198</v>
      </c>
      <c r="IL23" s="269">
        <f>+'WICHE Public Grads-RE PROJ'!KB24/'WICHE Public Grads-RE PROJ'!AP24</f>
        <v>0.93213947067018854</v>
      </c>
      <c r="IM23" s="283">
        <f>+'WICHE Public Grads-RE PROJ'!KC24/'WICHE Public Grads-RE PROJ'!AQ24</f>
        <v>0.91937183269876999</v>
      </c>
      <c r="IN23" s="448">
        <f t="shared" si="5"/>
        <v>1</v>
      </c>
      <c r="IO23" s="449">
        <f t="shared" si="6"/>
        <v>1</v>
      </c>
      <c r="IP23" s="449">
        <f t="shared" si="7"/>
        <v>1</v>
      </c>
      <c r="IQ23" s="449">
        <f t="shared" si="8"/>
        <v>1</v>
      </c>
      <c r="IR23" s="449">
        <f t="shared" si="9"/>
        <v>1</v>
      </c>
      <c r="IS23" s="449">
        <f t="shared" si="10"/>
        <v>1</v>
      </c>
      <c r="IT23" s="449">
        <f t="shared" si="11"/>
        <v>1</v>
      </c>
      <c r="IU23" s="449">
        <f t="shared" si="12"/>
        <v>1</v>
      </c>
      <c r="IV23" s="449">
        <f t="shared" si="13"/>
        <v>1</v>
      </c>
      <c r="IW23" s="449">
        <f t="shared" si="14"/>
        <v>1</v>
      </c>
      <c r="IX23" s="449">
        <f t="shared" si="15"/>
        <v>1</v>
      </c>
      <c r="IY23" s="449">
        <f t="shared" si="16"/>
        <v>1</v>
      </c>
      <c r="IZ23" s="449">
        <f t="shared" si="17"/>
        <v>1</v>
      </c>
      <c r="JA23" s="449">
        <f t="shared" si="18"/>
        <v>1</v>
      </c>
      <c r="JB23" s="449">
        <f t="shared" si="19"/>
        <v>1</v>
      </c>
      <c r="JC23" s="449">
        <f t="shared" si="20"/>
        <v>1</v>
      </c>
      <c r="JD23" s="449">
        <f t="shared" si="21"/>
        <v>1</v>
      </c>
      <c r="JE23" s="449">
        <f t="shared" si="22"/>
        <v>1</v>
      </c>
      <c r="JF23" s="449">
        <f t="shared" si="23"/>
        <v>1</v>
      </c>
      <c r="JG23" s="449">
        <f t="shared" si="24"/>
        <v>0.99965339957252608</v>
      </c>
      <c r="JH23" s="449">
        <f t="shared" si="25"/>
        <v>0.99965914900869168</v>
      </c>
      <c r="JI23" s="449">
        <f t="shared" si="26"/>
        <v>0.9996652532916761</v>
      </c>
      <c r="JJ23" s="449">
        <f t="shared" si="27"/>
        <v>0.99974218567522644</v>
      </c>
      <c r="JK23" s="449">
        <f t="shared" si="28"/>
        <v>0.99978069604287834</v>
      </c>
      <c r="JL23" s="449">
        <f t="shared" si="29"/>
        <v>0.99990627074609695</v>
      </c>
      <c r="JM23" s="449">
        <f t="shared" si="30"/>
        <v>0.99988187309336141</v>
      </c>
      <c r="JN23" s="449">
        <f t="shared" si="31"/>
        <v>1.0003475192672491</v>
      </c>
      <c r="JO23" s="449">
        <f t="shared" si="32"/>
        <v>1.0007005195411942</v>
      </c>
      <c r="JP23" s="449">
        <f t="shared" si="33"/>
        <v>1.0006193204944838</v>
      </c>
      <c r="JQ23" s="449">
        <f t="shared" si="34"/>
        <v>1.001258410569299</v>
      </c>
      <c r="JR23" s="449">
        <f t="shared" si="35"/>
        <v>1.0024461828163873</v>
      </c>
      <c r="JS23" s="449">
        <f t="shared" si="36"/>
        <v>1.0037729676101461</v>
      </c>
      <c r="JT23" s="449">
        <f t="shared" si="37"/>
        <v>1.0038832216778806</v>
      </c>
      <c r="JU23" s="449">
        <f t="shared" si="38"/>
        <v>1.0057045643061737</v>
      </c>
      <c r="JV23" s="449">
        <f t="shared" si="39"/>
        <v>1.0077478605423833</v>
      </c>
      <c r="JW23" s="449">
        <f t="shared" si="40"/>
        <v>1.0074324147036202</v>
      </c>
      <c r="JX23" s="449">
        <f t="shared" si="41"/>
        <v>1.0060748903312433</v>
      </c>
      <c r="JY23" s="449">
        <f t="shared" si="42"/>
        <v>1.0011557396588711</v>
      </c>
      <c r="JZ23" s="449">
        <f t="shared" si="42"/>
        <v>1.004138898085595</v>
      </c>
      <c r="KA23" s="449">
        <f t="shared" si="42"/>
        <v>1.0059121629955823</v>
      </c>
      <c r="KB23" s="449">
        <f t="shared" si="42"/>
        <v>1.009139721506874</v>
      </c>
    </row>
    <row r="24" spans="1:288" s="17" customFormat="1">
      <c r="A24" s="113" t="s">
        <v>50</v>
      </c>
      <c r="B24" s="262">
        <f>+'WICHE Public Grads-RE PROJ'!AR26/'WICHE Public Grads-RE PROJ'!B26</f>
        <v>0.1321000886861847</v>
      </c>
      <c r="C24" s="262">
        <f>+'WICHE Public Grads-RE PROJ'!AS26/'WICHE Public Grads-RE PROJ'!C26</f>
        <v>0.1332188589461438</v>
      </c>
      <c r="D24" s="262">
        <f>+'WICHE Public Grads-RE PROJ'!AT26/'WICHE Public Grads-RE PROJ'!D26</f>
        <v>0.13345357747861425</v>
      </c>
      <c r="E24" s="262">
        <f>+'WICHE Public Grads-RE PROJ'!AU26/'WICHE Public Grads-RE PROJ'!E26</f>
        <v>0.12905101147172471</v>
      </c>
      <c r="F24" s="262">
        <f>+'WICHE Public Grads-RE PROJ'!AV26/'WICHE Public Grads-RE PROJ'!F26</f>
        <v>0.12863262485821933</v>
      </c>
      <c r="G24" s="262">
        <f>+'WICHE Public Grads-RE PROJ'!AW26/'WICHE Public Grads-RE PROJ'!G26</f>
        <v>0.1257556395580178</v>
      </c>
      <c r="H24" s="267">
        <f>+'WICHE Public Grads-RE PROJ'!AX26/'WICHE Public Grads-RE PROJ'!H26</f>
        <v>0.12912019463293811</v>
      </c>
      <c r="I24" s="267">
        <f>+'WICHE Public Grads-RE PROJ'!AY26/'WICHE Public Grads-RE PROJ'!I26</f>
        <v>0.12799939337616145</v>
      </c>
      <c r="J24" s="267">
        <f>+'WICHE Public Grads-RE PROJ'!AZ26/'WICHE Public Grads-RE PROJ'!J26</f>
        <v>0.12861456365552743</v>
      </c>
      <c r="K24" s="267">
        <f>+'WICHE Public Grads-RE PROJ'!BA26/'WICHE Public Grads-RE PROJ'!K26</f>
        <v>0.12993937648454673</v>
      </c>
      <c r="L24" s="262">
        <f>+'WICHE Public Grads-RE PROJ'!BB26/'WICHE Public Grads-RE PROJ'!L26</f>
        <v>0.13050839688849611</v>
      </c>
      <c r="M24" s="267">
        <f>+'WICHE Public Grads-RE PROJ'!BC26/'WICHE Public Grads-RE PROJ'!M26</f>
        <v>0.12701140251212084</v>
      </c>
      <c r="N24" s="267">
        <f>+'WICHE Public Grads-RE PROJ'!BD26/'WICHE Public Grads-RE PROJ'!N26</f>
        <v>0.1278640785789863</v>
      </c>
      <c r="O24" s="267">
        <f>+'WICHE Public Grads-RE PROJ'!BE26/'WICHE Public Grads-RE PROJ'!O26</f>
        <v>0.12850555029816893</v>
      </c>
      <c r="P24" s="267">
        <f>+'WICHE Public Grads-RE PROJ'!BF26/'WICHE Public Grads-RE PROJ'!P26</f>
        <v>0.135006703664104</v>
      </c>
      <c r="Q24" s="267">
        <f>+'WICHE Public Grads-RE PROJ'!BG26/'WICHE Public Grads-RE PROJ'!Q26</f>
        <v>0.13326332213154105</v>
      </c>
      <c r="R24" s="267">
        <f>+'WICHE Public Grads-RE PROJ'!BH26/'WICHE Public Grads-RE PROJ'!R26</f>
        <v>0.13261021040004023</v>
      </c>
      <c r="S24" s="267">
        <f>+'WICHE Public Grads-RE PROJ'!BI26/'WICHE Public Grads-RE PROJ'!S26</f>
        <v>0.1394074099360563</v>
      </c>
      <c r="T24" s="267">
        <f>+'WICHE Public Grads-RE PROJ'!BJ26/'WICHE Public Grads-RE PROJ'!T26</f>
        <v>0.13186398679096642</v>
      </c>
      <c r="U24" s="267">
        <f>+'WICHE Public Grads-RE PROJ'!BK26/'WICHE Public Grads-RE PROJ'!U26</f>
        <v>0.12956445542543005</v>
      </c>
      <c r="V24" s="267">
        <f>+'WICHE Public Grads-RE PROJ'!BL26/'WICHE Public Grads-RE PROJ'!V26</f>
        <v>0.13051548079774594</v>
      </c>
      <c r="W24" s="267">
        <f>+'WICHE Public Grads-RE PROJ'!BM26/'WICHE Public Grads-RE PROJ'!W26</f>
        <v>0.13015632581797804</v>
      </c>
      <c r="X24" s="268">
        <f>+'WICHE Public Grads-RE PROJ'!BN26/'WICHE Public Grads-RE PROJ'!Y26</f>
        <v>0.12715963633370994</v>
      </c>
      <c r="Y24" s="268">
        <f>+'WICHE Public Grads-RE PROJ'!BO26/'WICHE Public Grads-RE PROJ'!Z26</f>
        <v>0.12580716433358055</v>
      </c>
      <c r="Z24" s="268">
        <f>+'WICHE Public Grads-RE PROJ'!BP26/'WICHE Public Grads-RE PROJ'!AA26</f>
        <v>0.12278269021057268</v>
      </c>
      <c r="AA24" s="268">
        <f>+'WICHE Public Grads-RE PROJ'!BQ26/'WICHE Public Grads-RE PROJ'!AB26</f>
        <v>0.12269406052977107</v>
      </c>
      <c r="AB24" s="268">
        <f>+'WICHE Public Grads-RE PROJ'!BR26/'WICHE Public Grads-RE PROJ'!AC26</f>
        <v>0.12469590302195303</v>
      </c>
      <c r="AC24" s="268">
        <f>+'WICHE Public Grads-RE PROJ'!BS26/'WICHE Public Grads-RE PROJ'!AD26</f>
        <v>0.12152067816692645</v>
      </c>
      <c r="AD24" s="268">
        <f>+'WICHE Public Grads-RE PROJ'!BT26/'WICHE Public Grads-RE PROJ'!AE26</f>
        <v>0.12089442053465126</v>
      </c>
      <c r="AE24" s="268">
        <f>+'WICHE Public Grads-RE PROJ'!BU26/'WICHE Public Grads-RE PROJ'!AF26</f>
        <v>0.12146483393670698</v>
      </c>
      <c r="AF24" s="268">
        <f>+'WICHE Public Grads-RE PROJ'!BV26/'WICHE Public Grads-RE PROJ'!AG26</f>
        <v>0.12044396801076712</v>
      </c>
      <c r="AG24" s="268">
        <f>+'WICHE Public Grads-RE PROJ'!BW26/'WICHE Public Grads-RE PROJ'!AH26</f>
        <v>0.11718891175934187</v>
      </c>
      <c r="AH24" s="268">
        <f>+'WICHE Public Grads-RE PROJ'!BX26/'WICHE Public Grads-RE PROJ'!AI26</f>
        <v>0.11164829269558364</v>
      </c>
      <c r="AI24" s="268">
        <f>+'WICHE Public Grads-RE PROJ'!BY26/'WICHE Public Grads-RE PROJ'!AJ26</f>
        <v>0.10919286814063443</v>
      </c>
      <c r="AJ24" s="268">
        <f>+'WICHE Public Grads-RE PROJ'!BZ26/'WICHE Public Grads-RE PROJ'!AK26</f>
        <v>0.11828836427747404</v>
      </c>
      <c r="AK24" s="266">
        <f>+'WICHE Public Grads-RE PROJ'!CA26/'WICHE Public Grads-RE PROJ'!AL26</f>
        <v>0.1205864928352582</v>
      </c>
      <c r="AL24" s="266">
        <f>+'WICHE Public Grads-RE PROJ'!CB26/'WICHE Public Grads-RE PROJ'!AM26</f>
        <v>0.11992595393631951</v>
      </c>
      <c r="AM24" s="266">
        <f>+'WICHE Public Grads-RE PROJ'!CC26/'WICHE Public Grads-RE PROJ'!AN26</f>
        <v>0.11872015506533291</v>
      </c>
      <c r="AN24" s="266">
        <f>+'WICHE Public Grads-RE PROJ'!CD26/'WICHE Public Grads-RE PROJ'!AO26</f>
        <v>0.12688719278666161</v>
      </c>
      <c r="AO24" s="266">
        <f>+'WICHE Public Grads-RE PROJ'!CE26/'WICHE Public Grads-RE PROJ'!AP26</f>
        <v>0.12769737979305654</v>
      </c>
      <c r="AP24" s="282">
        <f>+'WICHE Public Grads-RE PROJ'!CF26/'WICHE Public Grads-RE PROJ'!AQ26</f>
        <v>0.13326442568910307</v>
      </c>
      <c r="AQ24" s="262">
        <f>+'WICHE Public Grads-RE PROJ'!CG26/'WICHE Public Grads-RE PROJ'!B26</f>
        <v>1.9885937525512234E-2</v>
      </c>
      <c r="AR24" s="262">
        <f>+'WICHE Public Grads-RE PROJ'!CH26/'WICHE Public Grads-RE PROJ'!C26</f>
        <v>1.8968218810791831E-2</v>
      </c>
      <c r="AS24" s="262">
        <f>+'WICHE Public Grads-RE PROJ'!CI26/'WICHE Public Grads-RE PROJ'!D26</f>
        <v>1.8510604808397356E-2</v>
      </c>
      <c r="AT24" s="262">
        <f>+'WICHE Public Grads-RE PROJ'!CJ26/'WICHE Public Grads-RE PROJ'!E26</f>
        <v>1.8573152386255412E-2</v>
      </c>
      <c r="AU24" s="262">
        <f>+'WICHE Public Grads-RE PROJ'!CK26/'WICHE Public Grads-RE PROJ'!F26</f>
        <v>1.7779459084451513E-2</v>
      </c>
      <c r="AV24" s="262">
        <f>+'WICHE Public Grads-RE PROJ'!CL26/'WICHE Public Grads-RE PROJ'!G26</f>
        <v>1.9413241100670321E-2</v>
      </c>
      <c r="AW24" s="267">
        <f>+'WICHE Public Grads-RE PROJ'!CM26/'WICHE Public Grads-RE PROJ'!H26</f>
        <v>1.9525582213363427E-2</v>
      </c>
      <c r="AX24" s="267">
        <f>+'WICHE Public Grads-RE PROJ'!CN26/'WICHE Public Grads-RE PROJ'!I26</f>
        <v>1.9350242385019211E-2</v>
      </c>
      <c r="AY24" s="267">
        <f>+'WICHE Public Grads-RE PROJ'!CO26/'WICHE Public Grads-RE PROJ'!J26</f>
        <v>1.9343866634757859E-2</v>
      </c>
      <c r="AZ24" s="267">
        <f>+'WICHE Public Grads-RE PROJ'!CP26/'WICHE Public Grads-RE PROJ'!K26</f>
        <v>2.0421831942729448E-2</v>
      </c>
      <c r="BA24" s="262">
        <f>+'WICHE Public Grads-RE PROJ'!CQ26/'WICHE Public Grads-RE PROJ'!L26</f>
        <v>2.0384158624864836E-2</v>
      </c>
      <c r="BB24" s="267">
        <f>+'WICHE Public Grads-RE PROJ'!CR26/'WICHE Public Grads-RE PROJ'!M26</f>
        <v>1.9621835982860238E-2</v>
      </c>
      <c r="BC24" s="267">
        <f>+'WICHE Public Grads-RE PROJ'!CS26/'WICHE Public Grads-RE PROJ'!N26</f>
        <v>1.987415376836428E-2</v>
      </c>
      <c r="BD24" s="267">
        <f>+'WICHE Public Grads-RE PROJ'!CT26/'WICHE Public Grads-RE PROJ'!O26</f>
        <v>2.1187268111696935E-2</v>
      </c>
      <c r="BE24" s="267">
        <f>+'WICHE Public Grads-RE PROJ'!CU26/'WICHE Public Grads-RE PROJ'!P26</f>
        <v>2.0094021010471294E-2</v>
      </c>
      <c r="BF24" s="267">
        <f>+'WICHE Public Grads-RE PROJ'!CV26/'WICHE Public Grads-RE PROJ'!Q26</f>
        <v>2.0619299087854058E-2</v>
      </c>
      <c r="BG24" s="267">
        <f>+'WICHE Public Grads-RE PROJ'!CW26/'WICHE Public Grads-RE PROJ'!R26</f>
        <v>2.1062990711940868E-2</v>
      </c>
      <c r="BH24" s="267">
        <f>+'WICHE Public Grads-RE PROJ'!CX26/'WICHE Public Grads-RE PROJ'!S26</f>
        <v>2.0545793065424485E-2</v>
      </c>
      <c r="BI24" s="267">
        <f>+'WICHE Public Grads-RE PROJ'!CY26/'WICHE Public Grads-RE PROJ'!T26</f>
        <v>2.0519132758058754E-2</v>
      </c>
      <c r="BJ24" s="267">
        <f>+'WICHE Public Grads-RE PROJ'!CZ26/'WICHE Public Grads-RE PROJ'!U26</f>
        <v>1.9060928209550007E-2</v>
      </c>
      <c r="BK24" s="267">
        <f>+'WICHE Public Grads-RE PROJ'!DA26/'WICHE Public Grads-RE PROJ'!V26</f>
        <v>1.9005694559222935E-2</v>
      </c>
      <c r="BL24" s="267">
        <f>+'WICHE Public Grads-RE PROJ'!DB26/'WICHE Public Grads-RE PROJ'!W26</f>
        <v>1.7645609362900615E-2</v>
      </c>
      <c r="BM24" s="268">
        <f>+'WICHE Public Grads-RE PROJ'!DC26/'WICHE Public Grads-RE PROJ'!Y26</f>
        <v>1.7284816462949541E-2</v>
      </c>
      <c r="BN24" s="268">
        <f>+'WICHE Public Grads-RE PROJ'!DD26/'WICHE Public Grads-RE PROJ'!Z26</f>
        <v>1.6806797595869689E-2</v>
      </c>
      <c r="BO24" s="268">
        <f>+'WICHE Public Grads-RE PROJ'!DE26/'WICHE Public Grads-RE PROJ'!AA26</f>
        <v>1.6731725371841963E-2</v>
      </c>
      <c r="BP24" s="268">
        <f>+'WICHE Public Grads-RE PROJ'!DF26/'WICHE Public Grads-RE PROJ'!AB26</f>
        <v>1.65256670876807E-2</v>
      </c>
      <c r="BQ24" s="268">
        <f>+'WICHE Public Grads-RE PROJ'!DG26/'WICHE Public Grads-RE PROJ'!AC26</f>
        <v>1.5899810682461737E-2</v>
      </c>
      <c r="BR24" s="268">
        <f>+'WICHE Public Grads-RE PROJ'!DH26/'WICHE Public Grads-RE PROJ'!AD26</f>
        <v>1.5403579730482309E-2</v>
      </c>
      <c r="BS24" s="268">
        <f>+'WICHE Public Grads-RE PROJ'!DI26/'WICHE Public Grads-RE PROJ'!AE26</f>
        <v>1.526069218755872E-2</v>
      </c>
      <c r="BT24" s="268">
        <f>+'WICHE Public Grads-RE PROJ'!DJ26/'WICHE Public Grads-RE PROJ'!AF26</f>
        <v>1.4678614188160364E-2</v>
      </c>
      <c r="BU24" s="268">
        <f>+'WICHE Public Grads-RE PROJ'!DK26/'WICHE Public Grads-RE PROJ'!AG26</f>
        <v>1.4648517052468682E-2</v>
      </c>
      <c r="BV24" s="268">
        <f>+'WICHE Public Grads-RE PROJ'!DL26/'WICHE Public Grads-RE PROJ'!AH26</f>
        <v>1.4274164623487301E-2</v>
      </c>
      <c r="BW24" s="268">
        <f>+'WICHE Public Grads-RE PROJ'!DM26/'WICHE Public Grads-RE PROJ'!AI26</f>
        <v>1.3928225550219043E-2</v>
      </c>
      <c r="BX24" s="268">
        <f>+'WICHE Public Grads-RE PROJ'!DN26/'WICHE Public Grads-RE PROJ'!AJ26</f>
        <v>1.3917628632525117E-2</v>
      </c>
      <c r="BY24" s="268">
        <f>+'WICHE Public Grads-RE PROJ'!DO26/'WICHE Public Grads-RE PROJ'!AK26</f>
        <v>1.457125015824509E-2</v>
      </c>
      <c r="BZ24" s="266">
        <f>+'WICHE Public Grads-RE PROJ'!DP26/'WICHE Public Grads-RE PROJ'!AL26</f>
        <v>1.4722446094793428E-2</v>
      </c>
      <c r="CA24" s="266">
        <f>+'WICHE Public Grads-RE PROJ'!DQ26/'WICHE Public Grads-RE PROJ'!AM26</f>
        <v>1.4327135248288587E-2</v>
      </c>
      <c r="CB24" s="266">
        <f>+'WICHE Public Grads-RE PROJ'!DR26/'WICHE Public Grads-RE PROJ'!AN26</f>
        <v>1.411924539229522E-2</v>
      </c>
      <c r="CC24" s="266">
        <f>+'WICHE Public Grads-RE PROJ'!DS26/'WICHE Public Grads-RE PROJ'!AO26</f>
        <v>1.4028344294175392E-2</v>
      </c>
      <c r="CD24" s="266">
        <f>+'WICHE Public Grads-RE PROJ'!DT26/'WICHE Public Grads-RE PROJ'!AP26</f>
        <v>1.3975476793074676E-2</v>
      </c>
      <c r="CE24" s="282">
        <f>+'WICHE Public Grads-RE PROJ'!DU26/'WICHE Public Grads-RE PROJ'!AQ26</f>
        <v>1.3133409147303165E-2</v>
      </c>
      <c r="CF24" s="262">
        <f>+'WICHE Public Grads-RE PROJ'!DV26/'WICHE Public Grads-RE PROJ'!B26</f>
        <v>0.11221415116067246</v>
      </c>
      <c r="CG24" s="262">
        <f>+'WICHE Public Grads-RE PROJ'!DW26/'WICHE Public Grads-RE PROJ'!C26</f>
        <v>0.11425064013535198</v>
      </c>
      <c r="CH24" s="262">
        <f>+'WICHE Public Grads-RE PROJ'!DX26/'WICHE Public Grads-RE PROJ'!D26</f>
        <v>0.1149429726702169</v>
      </c>
      <c r="CI24" s="262">
        <f>+'WICHE Public Grads-RE PROJ'!DY26/'WICHE Public Grads-RE PROJ'!E26</f>
        <v>0.1104778590854693</v>
      </c>
      <c r="CJ24" s="262">
        <f>+'WICHE Public Grads-RE PROJ'!DZ26/'WICHE Public Grads-RE PROJ'!F26</f>
        <v>0.11085316577376782</v>
      </c>
      <c r="CK24" s="262">
        <f>+'WICHE Public Grads-RE PROJ'!EA26/'WICHE Public Grads-RE PROJ'!G26</f>
        <v>0.1063423984573475</v>
      </c>
      <c r="CL24" s="267">
        <f>+'WICHE Public Grads-RE PROJ'!EB26/'WICHE Public Grads-RE PROJ'!H26</f>
        <v>0.10959461241957467</v>
      </c>
      <c r="CM24" s="267">
        <f>+'WICHE Public Grads-RE PROJ'!EC26/'WICHE Public Grads-RE PROJ'!I26</f>
        <v>0.10864915099114224</v>
      </c>
      <c r="CN24" s="267">
        <f>+'WICHE Public Grads-RE PROJ'!ED26/'WICHE Public Grads-RE PROJ'!J26</f>
        <v>0.10927069702076958</v>
      </c>
      <c r="CO24" s="267">
        <f>+'WICHE Public Grads-RE PROJ'!EE26/'WICHE Public Grads-RE PROJ'!K26</f>
        <v>0.10951754454181728</v>
      </c>
      <c r="CP24" s="262">
        <f>+'WICHE Public Grads-RE PROJ'!EF26/'WICHE Public Grads-RE PROJ'!L26</f>
        <v>0.11012423826363126</v>
      </c>
      <c r="CQ24" s="267">
        <f>+'WICHE Public Grads-RE PROJ'!EG26/'WICHE Public Grads-RE PROJ'!M26</f>
        <v>0.1073895665292606</v>
      </c>
      <c r="CR24" s="267">
        <f>+'WICHE Public Grads-RE PROJ'!EH26/'WICHE Public Grads-RE PROJ'!N26</f>
        <v>0.10798992481062201</v>
      </c>
      <c r="CS24" s="267">
        <f>+'WICHE Public Grads-RE PROJ'!EI26/'WICHE Public Grads-RE PROJ'!O26</f>
        <v>0.10731828218647199</v>
      </c>
      <c r="CT24" s="267">
        <f>+'WICHE Public Grads-RE PROJ'!EJ26/'WICHE Public Grads-RE PROJ'!P26</f>
        <v>0.11491268265363271</v>
      </c>
      <c r="CU24" s="267">
        <f>+'WICHE Public Grads-RE PROJ'!EK26/'WICHE Public Grads-RE PROJ'!Q26</f>
        <v>0.11264402304368699</v>
      </c>
      <c r="CV24" s="267">
        <f>+'WICHE Public Grads-RE PROJ'!EL26/'WICHE Public Grads-RE PROJ'!R26</f>
        <v>0.11154721968809936</v>
      </c>
      <c r="CW24" s="267">
        <f>+'WICHE Public Grads-RE PROJ'!EM26/'WICHE Public Grads-RE PROJ'!S26</f>
        <v>0.11886161687063182</v>
      </c>
      <c r="CX24" s="267">
        <f>+'WICHE Public Grads-RE PROJ'!EN26/'WICHE Public Grads-RE PROJ'!T26</f>
        <v>0.11134485403290766</v>
      </c>
      <c r="CY24" s="267">
        <f>+'WICHE Public Grads-RE PROJ'!EO26/'WICHE Public Grads-RE PROJ'!U26</f>
        <v>0.11050352721588005</v>
      </c>
      <c r="CZ24" s="267">
        <f>+'WICHE Public Grads-RE PROJ'!EP26/'WICHE Public Grads-RE PROJ'!V26</f>
        <v>0.11150978623852303</v>
      </c>
      <c r="DA24" s="267">
        <f>+'WICHE Public Grads-RE PROJ'!EQ26/'WICHE Public Grads-RE PROJ'!W26</f>
        <v>0.1125107164550774</v>
      </c>
      <c r="DB24" s="268">
        <f>+'WICHE Public Grads-RE PROJ'!ER26/'WICHE Public Grads-RE PROJ'!Y26</f>
        <v>0.10987481987076039</v>
      </c>
      <c r="DC24" s="268">
        <f>+'WICHE Public Grads-RE PROJ'!ES26/'WICHE Public Grads-RE PROJ'!Z26</f>
        <v>0.10900036673771088</v>
      </c>
      <c r="DD24" s="268">
        <f>+'WICHE Public Grads-RE PROJ'!ET26/'WICHE Public Grads-RE PROJ'!AA26</f>
        <v>0.10605096483873072</v>
      </c>
      <c r="DE24" s="268">
        <f>+'WICHE Public Grads-RE PROJ'!EU26/'WICHE Public Grads-RE PROJ'!AB26</f>
        <v>0.10616839344209035</v>
      </c>
      <c r="DF24" s="268">
        <f>+'WICHE Public Grads-RE PROJ'!EV26/'WICHE Public Grads-RE PROJ'!AC26</f>
        <v>0.10879609233949132</v>
      </c>
      <c r="DG24" s="268">
        <f>+'WICHE Public Grads-RE PROJ'!EW26/'WICHE Public Grads-RE PROJ'!AD26</f>
        <v>0.10611709843644415</v>
      </c>
      <c r="DH24" s="268">
        <f>+'WICHE Public Grads-RE PROJ'!EX26/'WICHE Public Grads-RE PROJ'!AE26</f>
        <v>0.10563372834709253</v>
      </c>
      <c r="DI24" s="268">
        <f>+'WICHE Public Grads-RE PROJ'!EY26/'WICHE Public Grads-RE PROJ'!AF26</f>
        <v>0.10678621974854664</v>
      </c>
      <c r="DJ24" s="268">
        <f>+'WICHE Public Grads-RE PROJ'!EZ26/'WICHE Public Grads-RE PROJ'!AG26</f>
        <v>0.10579545095829844</v>
      </c>
      <c r="DK24" s="268">
        <f>+'WICHE Public Grads-RE PROJ'!FA26/'WICHE Public Grads-RE PROJ'!AH26</f>
        <v>0.10291474713585456</v>
      </c>
      <c r="DL24" s="268">
        <f>+'WICHE Public Grads-RE PROJ'!FB26/'WICHE Public Grads-RE PROJ'!AI26</f>
        <v>9.7720067145364589E-2</v>
      </c>
      <c r="DM24" s="268">
        <f>+'WICHE Public Grads-RE PROJ'!FC26/'WICHE Public Grads-RE PROJ'!AJ26</f>
        <v>9.5275239508109316E-2</v>
      </c>
      <c r="DN24" s="268">
        <f>+'WICHE Public Grads-RE PROJ'!FD26/'WICHE Public Grads-RE PROJ'!AK26</f>
        <v>0.10371711411922895</v>
      </c>
      <c r="DO24" s="266">
        <f>+'WICHE Public Grads-RE PROJ'!FE26/'WICHE Public Grads-RE PROJ'!AL26</f>
        <v>0.10586404674046479</v>
      </c>
      <c r="DP24" s="266">
        <f>+'WICHE Public Grads-RE PROJ'!FF26/'WICHE Public Grads-RE PROJ'!AM26</f>
        <v>0.10559881868803093</v>
      </c>
      <c r="DQ24" s="266">
        <f>+'WICHE Public Grads-RE PROJ'!FG26/'WICHE Public Grads-RE PROJ'!AN26</f>
        <v>0.10460090967303767</v>
      </c>
      <c r="DR24" s="266">
        <f>+'WICHE Public Grads-RE PROJ'!FH26/'WICHE Public Grads-RE PROJ'!AO26</f>
        <v>0.1128588484924862</v>
      </c>
      <c r="DS24" s="266">
        <f>+'WICHE Public Grads-RE PROJ'!FI26/'WICHE Public Grads-RE PROJ'!AP26</f>
        <v>0.11372190299998186</v>
      </c>
      <c r="DT24" s="282">
        <f>+'WICHE Public Grads-RE PROJ'!FJ26/'WICHE Public Grads-RE PROJ'!AQ26</f>
        <v>0.1201310165417999</v>
      </c>
      <c r="DU24" s="262">
        <f>+'WICHE Public Grads-RE PROJ'!FK26/'WICHE Public Grads-RE PROJ'!B26</f>
        <v>5.3731831905474051E-2</v>
      </c>
      <c r="DV24" s="262">
        <f>+'WICHE Public Grads-RE PROJ'!FL26/'WICHE Public Grads-RE PROJ'!C26</f>
        <v>5.4254359970332337E-2</v>
      </c>
      <c r="DW24" s="262">
        <f>+'WICHE Public Grads-RE PROJ'!FM26/'WICHE Public Grads-RE PROJ'!D26</f>
        <v>5.4111735160674454E-2</v>
      </c>
      <c r="DX24" s="262">
        <f>+'WICHE Public Grads-RE PROJ'!FN26/'WICHE Public Grads-RE PROJ'!E26</f>
        <v>5.2899683708428853E-2</v>
      </c>
      <c r="DY24" s="262">
        <f>+'WICHE Public Grads-RE PROJ'!FO26/'WICHE Public Grads-RE PROJ'!F26</f>
        <v>5.4190383737393287E-2</v>
      </c>
      <c r="DZ24" s="262">
        <f>+'WICHE Public Grads-RE PROJ'!FP26/'WICHE Public Grads-RE PROJ'!G26</f>
        <v>5.3753711242386211E-2</v>
      </c>
      <c r="EA24" s="267">
        <f>+'WICHE Public Grads-RE PROJ'!FQ26/'WICHE Public Grads-RE PROJ'!H26</f>
        <v>5.2886517858451436E-2</v>
      </c>
      <c r="EB24" s="267">
        <f>+'WICHE Public Grads-RE PROJ'!FR26/'WICHE Public Grads-RE PROJ'!I26</f>
        <v>5.2982596596910805E-2</v>
      </c>
      <c r="EC24" s="267">
        <f>+'WICHE Public Grads-RE PROJ'!FS26/'WICHE Public Grads-RE PROJ'!J26</f>
        <v>5.2663112568506344E-2</v>
      </c>
      <c r="ED24" s="267">
        <f>+'WICHE Public Grads-RE PROJ'!FT26/'WICHE Public Grads-RE PROJ'!K26</f>
        <v>5.2231836586963155E-2</v>
      </c>
      <c r="EE24" s="262">
        <f>+'WICHE Public Grads-RE PROJ'!FU26/'WICHE Public Grads-RE PROJ'!L26</f>
        <v>5.277175137202722E-2</v>
      </c>
      <c r="EF24" s="267">
        <f>+'WICHE Public Grads-RE PROJ'!FV26/'WICHE Public Grads-RE PROJ'!M26</f>
        <v>5.4497622781236404E-2</v>
      </c>
      <c r="EG24" s="267">
        <f>+'WICHE Public Grads-RE PROJ'!FW26/'WICHE Public Grads-RE PROJ'!N26</f>
        <v>5.5182573792647106E-2</v>
      </c>
      <c r="EH24" s="267">
        <f>+'WICHE Public Grads-RE PROJ'!FX26/'WICHE Public Grads-RE PROJ'!O26</f>
        <v>5.6495876706773016E-2</v>
      </c>
      <c r="EI24" s="267">
        <f>+'WICHE Public Grads-RE PROJ'!FY26/'WICHE Public Grads-RE PROJ'!P26</f>
        <v>5.608089448016132E-2</v>
      </c>
      <c r="EJ24" s="267">
        <f>+'WICHE Public Grads-RE PROJ'!FZ26/'WICHE Public Grads-RE PROJ'!Q26</f>
        <v>5.6131481036965913E-2</v>
      </c>
      <c r="EK24" s="267">
        <f>+'WICHE Public Grads-RE PROJ'!GA26/'WICHE Public Grads-RE PROJ'!R26</f>
        <v>5.521690096328595E-2</v>
      </c>
      <c r="EL24" s="267">
        <f>+'WICHE Public Grads-RE PROJ'!GB26/'WICHE Public Grads-RE PROJ'!S26</f>
        <v>5.6249653833382436E-2</v>
      </c>
      <c r="EM24" s="267">
        <f>+'WICHE Public Grads-RE PROJ'!GC26/'WICHE Public Grads-RE PROJ'!T26</f>
        <v>5.7649213604972271E-2</v>
      </c>
      <c r="EN24" s="267">
        <f>+'WICHE Public Grads-RE PROJ'!GD26/'WICHE Public Grads-RE PROJ'!U26</f>
        <v>5.6472407983622137E-2</v>
      </c>
      <c r="EO24" s="267">
        <f>+'WICHE Public Grads-RE PROJ'!GE26/'WICHE Public Grads-RE PROJ'!V26</f>
        <v>5.6593665058816779E-2</v>
      </c>
      <c r="EP24" s="267">
        <f>+'WICHE Public Grads-RE PROJ'!GF26/'WICHE Public Grads-RE PROJ'!W26</f>
        <v>5.4974814747627866E-2</v>
      </c>
      <c r="EQ24" s="268">
        <f>+'WICHE Public Grads-RE PROJ'!GG26/'WICHE Public Grads-RE PROJ'!Y26</f>
        <v>5.3275381697803853E-2</v>
      </c>
      <c r="ER24" s="268">
        <f>+'WICHE Public Grads-RE PROJ'!GH26/'WICHE Public Grads-RE PROJ'!Z26</f>
        <v>5.1898135440718744E-2</v>
      </c>
      <c r="ES24" s="268">
        <f>+'WICHE Public Grads-RE PROJ'!GI26/'WICHE Public Grads-RE PROJ'!AA26</f>
        <v>5.0739650354204135E-2</v>
      </c>
      <c r="ET24" s="268">
        <f>+'WICHE Public Grads-RE PROJ'!GJ26/'WICHE Public Grads-RE PROJ'!AB26</f>
        <v>4.945594355049622E-2</v>
      </c>
      <c r="EU24" s="268">
        <f>+'WICHE Public Grads-RE PROJ'!GK26/'WICHE Public Grads-RE PROJ'!AC26</f>
        <v>4.8174308987165154E-2</v>
      </c>
      <c r="EV24" s="268">
        <f>+'WICHE Public Grads-RE PROJ'!GL26/'WICHE Public Grads-RE PROJ'!AD26</f>
        <v>4.7124106914814903E-2</v>
      </c>
      <c r="EW24" s="268">
        <f>+'WICHE Public Grads-RE PROJ'!GM26/'WICHE Public Grads-RE PROJ'!AE26</f>
        <v>4.567715429734804E-2</v>
      </c>
      <c r="EX24" s="268">
        <f>+'WICHE Public Grads-RE PROJ'!GN26/'WICHE Public Grads-RE PROJ'!AF26</f>
        <v>4.439415982665005E-2</v>
      </c>
      <c r="EY24" s="268">
        <f>+'WICHE Public Grads-RE PROJ'!GO26/'WICHE Public Grads-RE PROJ'!AG26</f>
        <v>4.3033161936319689E-2</v>
      </c>
      <c r="EZ24" s="268">
        <f>+'WICHE Public Grads-RE PROJ'!GP26/'WICHE Public Grads-RE PROJ'!AH26</f>
        <v>4.2335012293617177E-2</v>
      </c>
      <c r="FA24" s="268">
        <f>+'WICHE Public Grads-RE PROJ'!GQ26/'WICHE Public Grads-RE PROJ'!AI26</f>
        <v>4.1808494938635081E-2</v>
      </c>
      <c r="FB24" s="268">
        <f>+'WICHE Public Grads-RE PROJ'!GR26/'WICHE Public Grads-RE PROJ'!AJ26</f>
        <v>4.1340547362064065E-2</v>
      </c>
      <c r="FC24" s="268">
        <f>+'WICHE Public Grads-RE PROJ'!GS26/'WICHE Public Grads-RE PROJ'!AK26</f>
        <v>4.4106583300460224E-2</v>
      </c>
      <c r="FD24" s="266">
        <f>+'WICHE Public Grads-RE PROJ'!GT26/'WICHE Public Grads-RE PROJ'!AL26</f>
        <v>4.4975253525436694E-2</v>
      </c>
      <c r="FE24" s="266">
        <f>+'WICHE Public Grads-RE PROJ'!GU26/'WICHE Public Grads-RE PROJ'!AM26</f>
        <v>4.5422094069572296E-2</v>
      </c>
      <c r="FF24" s="266">
        <f>+'WICHE Public Grads-RE PROJ'!GV26/'WICHE Public Grads-RE PROJ'!AN26</f>
        <v>4.4698341582186038E-2</v>
      </c>
      <c r="FG24" s="266">
        <f>+'WICHE Public Grads-RE PROJ'!GW26/'WICHE Public Grads-RE PROJ'!AO26</f>
        <v>4.4155921761970737E-2</v>
      </c>
      <c r="FH24" s="266">
        <f>+'WICHE Public Grads-RE PROJ'!GX26/'WICHE Public Grads-RE PROJ'!AP26</f>
        <v>4.4756426036063411E-2</v>
      </c>
      <c r="FI24" s="282">
        <f>+'WICHE Public Grads-RE PROJ'!GY26/'WICHE Public Grads-RE PROJ'!AQ26</f>
        <v>4.3789572071242254E-2</v>
      </c>
      <c r="FJ24" s="262">
        <f>+'WICHE Public Grads-RE PROJ'!GZ26/'WICHE Public Grads-RE PROJ'!B26</f>
        <v>0.20277894102981098</v>
      </c>
      <c r="FK24" s="262">
        <f>+'WICHE Public Grads-RE PROJ'!HA26/'WICHE Public Grads-RE PROJ'!C26</f>
        <v>0.2134500749475077</v>
      </c>
      <c r="FL24" s="262">
        <f>+'WICHE Public Grads-RE PROJ'!HB26/'WICHE Public Grads-RE PROJ'!D26</f>
        <v>0.21368423270531595</v>
      </c>
      <c r="FM24" s="262">
        <f>+'WICHE Public Grads-RE PROJ'!HC26/'WICHE Public Grads-RE PROJ'!E26</f>
        <v>0.21361846837961515</v>
      </c>
      <c r="FN24" s="262">
        <f>+'WICHE Public Grads-RE PROJ'!HD26/'WICHE Public Grads-RE PROJ'!F26</f>
        <v>0.21622329030560272</v>
      </c>
      <c r="FO24" s="262">
        <f>+'WICHE Public Grads-RE PROJ'!HE26/'WICHE Public Grads-RE PROJ'!G26</f>
        <v>0.21011753542897371</v>
      </c>
      <c r="FP24" s="267">
        <f>+'WICHE Public Grads-RE PROJ'!HF26/'WICHE Public Grads-RE PROJ'!H26</f>
        <v>0.21659326405885887</v>
      </c>
      <c r="FQ24" s="267">
        <f>+'WICHE Public Grads-RE PROJ'!HG26/'WICHE Public Grads-RE PROJ'!I26</f>
        <v>0.22382832545368939</v>
      </c>
      <c r="FR24" s="267">
        <f>+'WICHE Public Grads-RE PROJ'!HH26/'WICHE Public Grads-RE PROJ'!J26</f>
        <v>0.2280240809669048</v>
      </c>
      <c r="FS24" s="267">
        <f>+'WICHE Public Grads-RE PROJ'!HI26/'WICHE Public Grads-RE PROJ'!K26</f>
        <v>0.23421893065977445</v>
      </c>
      <c r="FT24" s="262">
        <f>+'WICHE Public Grads-RE PROJ'!HJ26/'WICHE Public Grads-RE PROJ'!L26</f>
        <v>0.23894587750982565</v>
      </c>
      <c r="FU24" s="267">
        <f>+'WICHE Public Grads-RE PROJ'!HK26/'WICHE Public Grads-RE PROJ'!M26</f>
        <v>0.24631053769902753</v>
      </c>
      <c r="FV24" s="267">
        <f>+'WICHE Public Grads-RE PROJ'!HL26/'WICHE Public Grads-RE PROJ'!N26</f>
        <v>0.2568112088042423</v>
      </c>
      <c r="FW24" s="267">
        <f>+'WICHE Public Grads-RE PROJ'!HM26/'WICHE Public Grads-RE PROJ'!O26</f>
        <v>0.26659005903294131</v>
      </c>
      <c r="FX24" s="267">
        <f>+'WICHE Public Grads-RE PROJ'!HN26/'WICHE Public Grads-RE PROJ'!P26</f>
        <v>0.26700794411196122</v>
      </c>
      <c r="FY24" s="267">
        <f>+'WICHE Public Grads-RE PROJ'!HO26/'WICHE Public Grads-RE PROJ'!Q26</f>
        <v>0.26826842294767161</v>
      </c>
      <c r="FZ24" s="267">
        <f>+'WICHE Public Grads-RE PROJ'!HP26/'WICHE Public Grads-RE PROJ'!R26</f>
        <v>0.28600182456846085</v>
      </c>
      <c r="GA24" s="267">
        <f>+'WICHE Public Grads-RE PROJ'!HQ26/'WICHE Public Grads-RE PROJ'!S26</f>
        <v>0.2985422057706259</v>
      </c>
      <c r="GB24" s="267">
        <f>+'WICHE Public Grads-RE PROJ'!HR26/'WICHE Public Grads-RE PROJ'!T26</f>
        <v>0.32587215273348397</v>
      </c>
      <c r="GC24" s="267">
        <f>+'WICHE Public Grads-RE PROJ'!HS26/'WICHE Public Grads-RE PROJ'!U26</f>
        <v>0.34475961435801072</v>
      </c>
      <c r="GD24" s="267">
        <f>+'WICHE Public Grads-RE PROJ'!HT26/'WICHE Public Grads-RE PROJ'!V26</f>
        <v>0.35744404286348364</v>
      </c>
      <c r="GE24" s="267">
        <f>+'WICHE Public Grads-RE PROJ'!HU26/'WICHE Public Grads-RE PROJ'!W26</f>
        <v>0.36528207525859308</v>
      </c>
      <c r="GF24" s="268">
        <f>+'WICHE Public Grads-RE PROJ'!HV26/'WICHE Public Grads-RE PROJ'!Y26</f>
        <v>0.3706597382404162</v>
      </c>
      <c r="GG24" s="268">
        <f>+'WICHE Public Grads-RE PROJ'!HW26/'WICHE Public Grads-RE PROJ'!Z26</f>
        <v>0.37834410583502931</v>
      </c>
      <c r="GH24" s="268">
        <f>+'WICHE Public Grads-RE PROJ'!HX26/'WICHE Public Grads-RE PROJ'!AA26</f>
        <v>0.38411330779866004</v>
      </c>
      <c r="GI24" s="268">
        <f>+'WICHE Public Grads-RE PROJ'!HY26/'WICHE Public Grads-RE PROJ'!AB26</f>
        <v>0.38539439459375768</v>
      </c>
      <c r="GJ24" s="268">
        <f>+'WICHE Public Grads-RE PROJ'!HZ26/'WICHE Public Grads-RE PROJ'!AC26</f>
        <v>0.39364210720533011</v>
      </c>
      <c r="GK24" s="268">
        <f>+'WICHE Public Grads-RE PROJ'!IA26/'WICHE Public Grads-RE PROJ'!AD26</f>
        <v>0.40044962148827606</v>
      </c>
      <c r="GL24" s="268">
        <f>+'WICHE Public Grads-RE PROJ'!IB26/'WICHE Public Grads-RE PROJ'!AE26</f>
        <v>0.40544635599809808</v>
      </c>
      <c r="GM24" s="268">
        <f>+'WICHE Public Grads-RE PROJ'!IC26/'WICHE Public Grads-RE PROJ'!AF26</f>
        <v>0.40702200415158063</v>
      </c>
      <c r="GN24" s="268">
        <f>+'WICHE Public Grads-RE PROJ'!ID26/'WICHE Public Grads-RE PROJ'!AG26</f>
        <v>0.41229746630467545</v>
      </c>
      <c r="GO24" s="268">
        <f>+'WICHE Public Grads-RE PROJ'!IE26/'WICHE Public Grads-RE PROJ'!AH26</f>
        <v>0.42179723163361488</v>
      </c>
      <c r="GP24" s="268">
        <f>+'WICHE Public Grads-RE PROJ'!IF26/'WICHE Public Grads-RE PROJ'!AI26</f>
        <v>0.42897765715831815</v>
      </c>
      <c r="GQ24" s="268">
        <f>+'WICHE Public Grads-RE PROJ'!IG26/'WICHE Public Grads-RE PROJ'!AJ26</f>
        <v>0.42884316564777225</v>
      </c>
      <c r="GR24" s="268">
        <f>+'WICHE Public Grads-RE PROJ'!IH26/'WICHE Public Grads-RE PROJ'!AK26</f>
        <v>0.42346916505069471</v>
      </c>
      <c r="GS24" s="266">
        <f>+'WICHE Public Grads-RE PROJ'!II26/'WICHE Public Grads-RE PROJ'!AL26</f>
        <v>0.41446971249155018</v>
      </c>
      <c r="GT24" s="266">
        <f>+'WICHE Public Grads-RE PROJ'!IJ26/'WICHE Public Grads-RE PROJ'!AM26</f>
        <v>0.40588543877545474</v>
      </c>
      <c r="GU24" s="266">
        <f>+'WICHE Public Grads-RE PROJ'!IK26/'WICHE Public Grads-RE PROJ'!AN26</f>
        <v>0.39862674422598365</v>
      </c>
      <c r="GV24" s="266">
        <f>+'WICHE Public Grads-RE PROJ'!IL26/'WICHE Public Grads-RE PROJ'!AO26</f>
        <v>0.39082067858866748</v>
      </c>
      <c r="GW24" s="266">
        <f>+'WICHE Public Grads-RE PROJ'!IM26/'WICHE Public Grads-RE PROJ'!AP26</f>
        <v>0.38797459627714698</v>
      </c>
      <c r="GX24" s="282">
        <f>+'WICHE Public Grads-RE PROJ'!IN26/'WICHE Public Grads-RE PROJ'!AQ26</f>
        <v>0.38319230679727473</v>
      </c>
      <c r="GY24" s="262">
        <f>+'WICHE Public Grads-RE PROJ'!IO26/'WICHE Public Grads-RE PROJ'!B26</f>
        <v>0.61138913837853015</v>
      </c>
      <c r="GZ24" s="262">
        <f>+'WICHE Public Grads-RE PROJ'!IP26/'WICHE Public Grads-RE PROJ'!C26</f>
        <v>0.59907670613601616</v>
      </c>
      <c r="HA24" s="262">
        <f>+'WICHE Public Grads-RE PROJ'!IQ26/'WICHE Public Grads-RE PROJ'!D26</f>
        <v>0.59875045465539534</v>
      </c>
      <c r="HB24" s="262">
        <f>+'WICHE Public Grads-RE PROJ'!IR26/'WICHE Public Grads-RE PROJ'!E26</f>
        <v>0.60443083644023132</v>
      </c>
      <c r="HC24" s="262">
        <f>+'WICHE Public Grads-RE PROJ'!IS26/'WICHE Public Grads-RE PROJ'!F26</f>
        <v>0.60095370109878465</v>
      </c>
      <c r="HD24" s="262">
        <f>+'WICHE Public Grads-RE PROJ'!IT26/'WICHE Public Grads-RE PROJ'!G26</f>
        <v>0.61037311377062231</v>
      </c>
      <c r="HE24" s="267">
        <f>+'WICHE Public Grads-RE PROJ'!IU26/'WICHE Public Grads-RE PROJ'!H26</f>
        <v>0.60140002344975163</v>
      </c>
      <c r="HF24" s="267">
        <f>+'WICHE Public Grads-RE PROJ'!IV26/'WICHE Public Grads-RE PROJ'!I26</f>
        <v>0.5951896845732384</v>
      </c>
      <c r="HG24" s="267">
        <f>+'WICHE Public Grads-RE PROJ'!IW26/'WICHE Public Grads-RE PROJ'!J26</f>
        <v>0.59069824280906147</v>
      </c>
      <c r="HH24" s="267">
        <f>+'WICHE Public Grads-RE PROJ'!IX26/'WICHE Public Grads-RE PROJ'!K26</f>
        <v>0.58326491318932383</v>
      </c>
      <c r="HI24" s="262">
        <f>+'WICHE Public Grads-RE PROJ'!IY26/'WICHE Public Grads-RE PROJ'!L26</f>
        <v>0.57441512986668208</v>
      </c>
      <c r="HJ24" s="267">
        <f>+'WICHE Public Grads-RE PROJ'!IZ26/'WICHE Public Grads-RE PROJ'!M26</f>
        <v>0.56691581296499749</v>
      </c>
      <c r="HK24" s="267">
        <f>+'WICHE Public Grads-RE PROJ'!JA26/'WICHE Public Grads-RE PROJ'!N26</f>
        <v>0.55383890309028661</v>
      </c>
      <c r="HL24" s="267">
        <f>+'WICHE Public Grads-RE PROJ'!JB26/'WICHE Public Grads-RE PROJ'!O26</f>
        <v>0.53999519324651135</v>
      </c>
      <c r="HM24" s="267">
        <f>+'WICHE Public Grads-RE PROJ'!JC26/'WICHE Public Grads-RE PROJ'!P26</f>
        <v>0.5418458296112183</v>
      </c>
      <c r="HN24" s="267">
        <f>+'WICHE Public Grads-RE PROJ'!JD26/'WICHE Public Grads-RE PROJ'!Q26</f>
        <v>0.52734337493999039</v>
      </c>
      <c r="HO24" s="267">
        <f>+'WICHE Public Grads-RE PROJ'!JE26/'WICHE Public Grads-RE PROJ'!R26</f>
        <v>0.51178426992119874</v>
      </c>
      <c r="HP24" s="267">
        <f>+'WICHE Public Grads-RE PROJ'!JF26/'WICHE Public Grads-RE PROJ'!S26</f>
        <v>0.50707458670268779</v>
      </c>
      <c r="HQ24" s="267">
        <f>+'WICHE Public Grads-RE PROJ'!JG26/'WICHE Public Grads-RE PROJ'!T26</f>
        <v>0.47940524372898974</v>
      </c>
      <c r="HR24" s="267">
        <f>+'WICHE Public Grads-RE PROJ'!JH26/'WICHE Public Grads-RE PROJ'!U26</f>
        <v>0.46920352223293704</v>
      </c>
      <c r="HS24" s="267">
        <f>+'WICHE Public Grads-RE PROJ'!JI26/'WICHE Public Grads-RE PROJ'!V26</f>
        <v>0.45544681127995368</v>
      </c>
      <c r="HT24" s="267">
        <f>+'WICHE Public Grads-RE PROJ'!JJ26/'WICHE Public Grads-RE PROJ'!W26</f>
        <v>0.44958678417580106</v>
      </c>
      <c r="HU24" s="268">
        <f>+'WICHE Public Grads-RE PROJ'!JK26/'WICHE Public Grads-RE PROJ'!Y26</f>
        <v>0.44418152806342581</v>
      </c>
      <c r="HV24" s="268">
        <f>+'WICHE Public Grads-RE PROJ'!JL26/'WICHE Public Grads-RE PROJ'!Z26</f>
        <v>0.43874394461597005</v>
      </c>
      <c r="HW24" s="268">
        <f>+'WICHE Public Grads-RE PROJ'!JM26/'WICHE Public Grads-RE PROJ'!AA26</f>
        <v>0.43728398539721958</v>
      </c>
      <c r="HX24" s="268">
        <f>+'WICHE Public Grads-RE PROJ'!JN26/'WICHE Public Grads-RE PROJ'!AB26</f>
        <v>0.43714557781786412</v>
      </c>
      <c r="HY24" s="268">
        <f>+'WICHE Public Grads-RE PROJ'!JO26/'WICHE Public Grads-RE PROJ'!AC26</f>
        <v>0.42793765140825635</v>
      </c>
      <c r="HZ24" s="268">
        <f>+'WICHE Public Grads-RE PROJ'!JP26/'WICHE Public Grads-RE PROJ'!AD26</f>
        <v>0.42445955986674211</v>
      </c>
      <c r="IA24" s="268">
        <f>+'WICHE Public Grads-RE PROJ'!JQ26/'WICHE Public Grads-RE PROJ'!AE26</f>
        <v>0.42128704929568556</v>
      </c>
      <c r="IB24" s="268">
        <f>+'WICHE Public Grads-RE PROJ'!JR26/'WICHE Public Grads-RE PROJ'!AF26</f>
        <v>0.42082133897808888</v>
      </c>
      <c r="IC24" s="268">
        <f>+'WICHE Public Grads-RE PROJ'!JS26/'WICHE Public Grads-RE PROJ'!AG26</f>
        <v>0.41791250715093781</v>
      </c>
      <c r="ID24" s="268">
        <f>+'WICHE Public Grads-RE PROJ'!JT26/'WICHE Public Grads-RE PROJ'!AH26</f>
        <v>0.41216471024876983</v>
      </c>
      <c r="IE24" s="268">
        <f>+'WICHE Public Grads-RE PROJ'!JU26/'WICHE Public Grads-RE PROJ'!AI26</f>
        <v>0.41080807361051813</v>
      </c>
      <c r="IF24" s="268">
        <f>+'WICHE Public Grads-RE PROJ'!JV26/'WICHE Public Grads-RE PROJ'!AJ26</f>
        <v>0.41366927294269423</v>
      </c>
      <c r="IG24" s="268">
        <f>+'WICHE Public Grads-RE PROJ'!JW26/'WICHE Public Grads-RE PROJ'!AK26</f>
        <v>0.40790308369107398</v>
      </c>
      <c r="IH24" s="266">
        <f>+'WICHE Public Grads-RE PROJ'!JX26/'WICHE Public Grads-RE PROJ'!AL26</f>
        <v>0.4126747063579847</v>
      </c>
      <c r="II24" s="266">
        <f>+'WICHE Public Grads-RE PROJ'!JY26/'WICHE Public Grads-RE PROJ'!AM26</f>
        <v>0.42027748091212341</v>
      </c>
      <c r="IJ24" s="266">
        <f>+'WICHE Public Grads-RE PROJ'!JZ26/'WICHE Public Grads-RE PROJ'!AN26</f>
        <v>0.41642765237732471</v>
      </c>
      <c r="IK24" s="266">
        <f>+'WICHE Public Grads-RE PROJ'!KA26/'WICHE Public Grads-RE PROJ'!AO26</f>
        <v>0.41223100110661831</v>
      </c>
      <c r="IL24" s="266">
        <f>+'WICHE Public Grads-RE PROJ'!KB26/'WICHE Public Grads-RE PROJ'!AP26</f>
        <v>0.41630673803473794</v>
      </c>
      <c r="IM24" s="282">
        <f>+'WICHE Public Grads-RE PROJ'!KC26/'WICHE Public Grads-RE PROJ'!AQ26</f>
        <v>0.41371295918880935</v>
      </c>
      <c r="IN24" s="278">
        <f t="shared" si="5"/>
        <v>0.99999999999999989</v>
      </c>
      <c r="IO24" s="278">
        <f t="shared" si="6"/>
        <v>1</v>
      </c>
      <c r="IP24" s="278">
        <f t="shared" si="7"/>
        <v>1</v>
      </c>
      <c r="IQ24" s="278">
        <f t="shared" si="8"/>
        <v>1</v>
      </c>
      <c r="IR24" s="278">
        <f t="shared" si="9"/>
        <v>1</v>
      </c>
      <c r="IS24" s="278">
        <f t="shared" si="10"/>
        <v>1</v>
      </c>
      <c r="IT24" s="278">
        <f t="shared" si="11"/>
        <v>1</v>
      </c>
      <c r="IU24" s="278">
        <f t="shared" si="12"/>
        <v>1</v>
      </c>
      <c r="IV24" s="278">
        <f t="shared" si="13"/>
        <v>1</v>
      </c>
      <c r="IW24" s="278">
        <f t="shared" si="14"/>
        <v>0.99965505692060819</v>
      </c>
      <c r="IX24" s="278">
        <f t="shared" si="15"/>
        <v>0.99664115563703104</v>
      </c>
      <c r="IY24" s="278">
        <f t="shared" si="16"/>
        <v>0.99473537595738226</v>
      </c>
      <c r="IZ24" s="278">
        <f t="shared" si="17"/>
        <v>0.99369676426616227</v>
      </c>
      <c r="JA24" s="278">
        <f t="shared" si="18"/>
        <v>0.99158667928439459</v>
      </c>
      <c r="JB24" s="278">
        <f t="shared" si="19"/>
        <v>0.99994137186744481</v>
      </c>
      <c r="JC24" s="278">
        <f t="shared" si="20"/>
        <v>0.985006601056169</v>
      </c>
      <c r="JD24" s="278">
        <f t="shared" si="21"/>
        <v>0.98561320585298584</v>
      </c>
      <c r="JE24" s="278">
        <f t="shared" si="22"/>
        <v>1.0012738562427526</v>
      </c>
      <c r="JF24" s="278">
        <f t="shared" si="23"/>
        <v>0.99479059685841242</v>
      </c>
      <c r="JG24" s="278">
        <f t="shared" si="24"/>
        <v>0.99999999999999989</v>
      </c>
      <c r="JH24" s="278">
        <f t="shared" si="25"/>
        <v>1</v>
      </c>
      <c r="JI24" s="278">
        <f t="shared" si="26"/>
        <v>1</v>
      </c>
      <c r="JJ24" s="278">
        <f t="shared" si="27"/>
        <v>0.99527628433535575</v>
      </c>
      <c r="JK24" s="278">
        <f t="shared" si="28"/>
        <v>0.99479335022529858</v>
      </c>
      <c r="JL24" s="278">
        <f t="shared" si="29"/>
        <v>0.9949196337606564</v>
      </c>
      <c r="JM24" s="278">
        <f t="shared" si="30"/>
        <v>0.99468997649188906</v>
      </c>
      <c r="JN24" s="278">
        <f t="shared" si="31"/>
        <v>0.99444997062270468</v>
      </c>
      <c r="JO24" s="278">
        <f t="shared" si="32"/>
        <v>0.99355396643675953</v>
      </c>
      <c r="JP24" s="278">
        <f t="shared" si="33"/>
        <v>0.99330498012578294</v>
      </c>
      <c r="JQ24" s="278">
        <f t="shared" si="34"/>
        <v>0.99370233689302645</v>
      </c>
      <c r="JR24" s="278">
        <f t="shared" si="35"/>
        <v>0.99368710340269994</v>
      </c>
      <c r="JS24" s="278">
        <f t="shared" si="36"/>
        <v>0.99348586593534383</v>
      </c>
      <c r="JT24" s="278">
        <f t="shared" si="37"/>
        <v>0.99324251840305511</v>
      </c>
      <c r="JU24" s="278">
        <f t="shared" si="38"/>
        <v>0.99304585409316504</v>
      </c>
      <c r="JV24" s="278">
        <f t="shared" si="39"/>
        <v>0.99376719631970301</v>
      </c>
      <c r="JW24" s="278">
        <f t="shared" si="40"/>
        <v>0.99270616521022981</v>
      </c>
      <c r="JX24" s="278">
        <f t="shared" si="41"/>
        <v>0.99151096769346991</v>
      </c>
      <c r="JY24" s="278">
        <f t="shared" ref="JY24:KB24" si="43">+AM24+FF24+GU24+IJ24</f>
        <v>0.97847289325082731</v>
      </c>
      <c r="JZ24" s="278">
        <f t="shared" si="43"/>
        <v>0.97409479424391821</v>
      </c>
      <c r="KA24" s="278">
        <f t="shared" si="43"/>
        <v>0.97673514014100482</v>
      </c>
      <c r="KB24" s="278">
        <f t="shared" si="43"/>
        <v>0.97395926374642938</v>
      </c>
    </row>
    <row r="25" spans="1:288" s="17" customFormat="1">
      <c r="A25" s="113"/>
      <c r="B25" s="262"/>
      <c r="C25" s="262"/>
      <c r="D25" s="262"/>
      <c r="E25" s="262"/>
      <c r="F25" s="262"/>
      <c r="G25" s="262"/>
      <c r="H25" s="267"/>
      <c r="I25" s="267"/>
      <c r="J25" s="267"/>
      <c r="K25" s="267"/>
      <c r="L25" s="262"/>
      <c r="M25" s="267"/>
      <c r="N25" s="267"/>
      <c r="O25" s="267"/>
      <c r="P25" s="267"/>
      <c r="Q25" s="267"/>
      <c r="R25" s="267"/>
      <c r="S25" s="267"/>
      <c r="T25" s="267"/>
      <c r="U25" s="267"/>
      <c r="V25" s="267"/>
      <c r="W25" s="267"/>
      <c r="X25" s="268"/>
      <c r="Y25" s="268"/>
      <c r="Z25" s="268"/>
      <c r="AA25" s="268"/>
      <c r="AB25" s="266"/>
      <c r="AC25" s="266"/>
      <c r="AD25" s="266"/>
      <c r="AE25" s="266"/>
      <c r="AF25" s="266"/>
      <c r="AG25" s="268"/>
      <c r="AH25" s="266"/>
      <c r="AI25" s="266"/>
      <c r="AJ25" s="266"/>
      <c r="AK25" s="266"/>
      <c r="AL25" s="266"/>
      <c r="AM25" s="266"/>
      <c r="AN25" s="266"/>
      <c r="AO25" s="266"/>
      <c r="AP25" s="282"/>
      <c r="AQ25" s="262"/>
      <c r="AR25" s="262"/>
      <c r="AS25" s="262"/>
      <c r="AT25" s="262"/>
      <c r="AU25" s="262"/>
      <c r="AV25" s="262"/>
      <c r="AW25" s="267"/>
      <c r="AX25" s="267"/>
      <c r="AY25" s="267"/>
      <c r="AZ25" s="267"/>
      <c r="BA25" s="262"/>
      <c r="BB25" s="267"/>
      <c r="BC25" s="267"/>
      <c r="BD25" s="267"/>
      <c r="BE25" s="267"/>
      <c r="BF25" s="267"/>
      <c r="BG25" s="267"/>
      <c r="BH25" s="267"/>
      <c r="BI25" s="267"/>
      <c r="BJ25" s="267"/>
      <c r="BK25" s="267"/>
      <c r="BL25" s="267"/>
      <c r="BM25" s="268"/>
      <c r="BN25" s="268"/>
      <c r="BO25" s="268"/>
      <c r="BP25" s="268"/>
      <c r="BQ25" s="266"/>
      <c r="BR25" s="266"/>
      <c r="BS25" s="266"/>
      <c r="BT25" s="266"/>
      <c r="BU25" s="266"/>
      <c r="BV25" s="268"/>
      <c r="BW25" s="266"/>
      <c r="BX25" s="266"/>
      <c r="BY25" s="266"/>
      <c r="BZ25" s="266"/>
      <c r="CA25" s="266"/>
      <c r="CB25" s="266"/>
      <c r="CC25" s="266"/>
      <c r="CD25" s="266"/>
      <c r="CE25" s="282"/>
      <c r="CF25" s="262"/>
      <c r="CG25" s="262"/>
      <c r="CH25" s="262"/>
      <c r="CI25" s="262"/>
      <c r="CJ25" s="262"/>
      <c r="CK25" s="262"/>
      <c r="CL25" s="267"/>
      <c r="CM25" s="267"/>
      <c r="CN25" s="267"/>
      <c r="CO25" s="267"/>
      <c r="CP25" s="262"/>
      <c r="CQ25" s="267"/>
      <c r="CR25" s="267"/>
      <c r="CS25" s="267"/>
      <c r="CT25" s="267"/>
      <c r="CU25" s="267"/>
      <c r="CV25" s="267"/>
      <c r="CW25" s="267"/>
      <c r="CX25" s="267"/>
      <c r="CY25" s="267"/>
      <c r="CZ25" s="267"/>
      <c r="DA25" s="267"/>
      <c r="DB25" s="268"/>
      <c r="DC25" s="268"/>
      <c r="DD25" s="268"/>
      <c r="DE25" s="268"/>
      <c r="DF25" s="266"/>
      <c r="DG25" s="266"/>
      <c r="DH25" s="266"/>
      <c r="DI25" s="266"/>
      <c r="DJ25" s="266"/>
      <c r="DK25" s="268"/>
      <c r="DL25" s="266"/>
      <c r="DM25" s="266"/>
      <c r="DN25" s="266"/>
      <c r="DO25" s="266"/>
      <c r="DP25" s="266"/>
      <c r="DQ25" s="266"/>
      <c r="DR25" s="266"/>
      <c r="DS25" s="266"/>
      <c r="DT25" s="282"/>
      <c r="DU25" s="262"/>
      <c r="DV25" s="262"/>
      <c r="DW25" s="262"/>
      <c r="DX25" s="262"/>
      <c r="DY25" s="262"/>
      <c r="DZ25" s="262"/>
      <c r="EA25" s="267"/>
      <c r="EB25" s="267"/>
      <c r="EC25" s="267"/>
      <c r="ED25" s="267"/>
      <c r="EE25" s="262"/>
      <c r="EF25" s="267"/>
      <c r="EG25" s="267"/>
      <c r="EH25" s="267"/>
      <c r="EI25" s="267"/>
      <c r="EJ25" s="267"/>
      <c r="EK25" s="267"/>
      <c r="EL25" s="267"/>
      <c r="EM25" s="267"/>
      <c r="EN25" s="267"/>
      <c r="EO25" s="267"/>
      <c r="EP25" s="267"/>
      <c r="EQ25" s="268"/>
      <c r="ER25" s="268"/>
      <c r="ES25" s="268"/>
      <c r="ET25" s="268"/>
      <c r="EU25" s="266"/>
      <c r="EV25" s="266"/>
      <c r="EW25" s="266"/>
      <c r="EX25" s="266"/>
      <c r="EY25" s="266"/>
      <c r="EZ25" s="268"/>
      <c r="FA25" s="266"/>
      <c r="FB25" s="266"/>
      <c r="FC25" s="266"/>
      <c r="FD25" s="266"/>
      <c r="FE25" s="266"/>
      <c r="FF25" s="266"/>
      <c r="FG25" s="266"/>
      <c r="FH25" s="266"/>
      <c r="FI25" s="282"/>
      <c r="FJ25" s="262"/>
      <c r="FK25" s="262"/>
      <c r="FL25" s="262"/>
      <c r="FM25" s="262"/>
      <c r="FN25" s="262"/>
      <c r="FO25" s="262"/>
      <c r="FP25" s="267"/>
      <c r="FQ25" s="267"/>
      <c r="FR25" s="267"/>
      <c r="FS25" s="267"/>
      <c r="FT25" s="262"/>
      <c r="FU25" s="267"/>
      <c r="FV25" s="267"/>
      <c r="FW25" s="267"/>
      <c r="FX25" s="267"/>
      <c r="FY25" s="267"/>
      <c r="FZ25" s="267"/>
      <c r="GA25" s="267"/>
      <c r="GB25" s="267"/>
      <c r="GC25" s="267"/>
      <c r="GD25" s="267"/>
      <c r="GE25" s="267"/>
      <c r="GF25" s="268"/>
      <c r="GG25" s="268"/>
      <c r="GH25" s="268"/>
      <c r="GI25" s="268"/>
      <c r="GJ25" s="266"/>
      <c r="GK25" s="266"/>
      <c r="GL25" s="266"/>
      <c r="GM25" s="266"/>
      <c r="GN25" s="266"/>
      <c r="GO25" s="268"/>
      <c r="GP25" s="266"/>
      <c r="GQ25" s="266"/>
      <c r="GR25" s="266"/>
      <c r="GS25" s="266"/>
      <c r="GT25" s="266"/>
      <c r="GU25" s="266"/>
      <c r="GV25" s="266"/>
      <c r="GW25" s="266"/>
      <c r="GX25" s="282"/>
      <c r="GY25" s="262"/>
      <c r="GZ25" s="262"/>
      <c r="HA25" s="262"/>
      <c r="HB25" s="262"/>
      <c r="HC25" s="262"/>
      <c r="HD25" s="262"/>
      <c r="HE25" s="267"/>
      <c r="HF25" s="267"/>
      <c r="HG25" s="267"/>
      <c r="HH25" s="267"/>
      <c r="HI25" s="262"/>
      <c r="HJ25" s="267"/>
      <c r="HK25" s="267"/>
      <c r="HL25" s="267"/>
      <c r="HM25" s="267"/>
      <c r="HN25" s="267"/>
      <c r="HO25" s="267"/>
      <c r="HP25" s="267"/>
      <c r="HQ25" s="267"/>
      <c r="HR25" s="267"/>
      <c r="HS25" s="267"/>
      <c r="HT25" s="267"/>
      <c r="HU25" s="268"/>
      <c r="HV25" s="268"/>
      <c r="HW25" s="268"/>
      <c r="HX25" s="268"/>
      <c r="HY25" s="266"/>
      <c r="HZ25" s="266"/>
      <c r="IA25" s="266"/>
      <c r="IB25" s="266"/>
      <c r="IC25" s="266"/>
      <c r="ID25" s="268"/>
      <c r="IE25" s="266"/>
      <c r="IF25" s="266"/>
      <c r="IG25" s="266"/>
      <c r="IH25" s="266"/>
      <c r="II25" s="266"/>
      <c r="IJ25" s="266"/>
      <c r="IK25" s="266"/>
      <c r="IL25" s="266"/>
      <c r="IM25" s="282"/>
      <c r="IN25" s="278"/>
      <c r="IO25" s="278"/>
      <c r="IP25" s="278"/>
      <c r="IQ25" s="278"/>
      <c r="IR25" s="278"/>
      <c r="IS25" s="278"/>
      <c r="IT25" s="278"/>
      <c r="IU25" s="278"/>
      <c r="IV25" s="278"/>
      <c r="IW25" s="278"/>
      <c r="IX25" s="278"/>
      <c r="IY25" s="278"/>
      <c r="IZ25" s="278"/>
      <c r="JA25" s="278"/>
      <c r="JB25" s="278"/>
      <c r="JC25" s="278"/>
      <c r="JD25" s="278"/>
      <c r="JE25" s="278"/>
      <c r="JF25" s="278"/>
      <c r="JG25" s="278"/>
      <c r="JH25" s="278"/>
      <c r="JI25" s="278"/>
      <c r="JJ25" s="278"/>
      <c r="JK25" s="278"/>
      <c r="JL25" s="278"/>
      <c r="JM25" s="278"/>
      <c r="JN25" s="278"/>
      <c r="JO25" s="278"/>
      <c r="JP25" s="278"/>
      <c r="JQ25" s="278"/>
      <c r="JR25" s="278"/>
      <c r="JS25" s="278"/>
      <c r="JT25" s="278"/>
      <c r="JU25" s="278"/>
      <c r="JV25" s="278"/>
      <c r="JW25" s="278"/>
      <c r="JX25" s="278"/>
      <c r="JY25" s="278"/>
      <c r="JZ25" s="278"/>
      <c r="KA25" s="278"/>
      <c r="KB25" s="278"/>
    </row>
    <row r="26" spans="1:288" s="17" customFormat="1">
      <c r="A26" s="175" t="s">
        <v>51</v>
      </c>
      <c r="B26" s="262">
        <f>+'WICHE Public Grads-RE PROJ'!AR28/'WICHE Public Grads-RE PROJ'!B28</f>
        <v>0.22999096657633242</v>
      </c>
      <c r="C26" s="262">
        <f>+'WICHE Public Grads-RE PROJ'!AS28/'WICHE Public Grads-RE PROJ'!C28</f>
        <v>0.23324299909665763</v>
      </c>
      <c r="D26" s="262">
        <f>+'WICHE Public Grads-RE PROJ'!AT28/'WICHE Public Grads-RE PROJ'!D28</f>
        <v>0.23821124064729424</v>
      </c>
      <c r="E26" s="262">
        <f>+'WICHE Public Grads-RE PROJ'!AU28/'WICHE Public Grads-RE PROJ'!E28</f>
        <v>0.23555941023417173</v>
      </c>
      <c r="F26" s="262">
        <f>+'WICHE Public Grads-RE PROJ'!AV28/'WICHE Public Grads-RE PROJ'!F28</f>
        <v>0.22977291841883937</v>
      </c>
      <c r="G26" s="262">
        <f>+'WICHE Public Grads-RE PROJ'!AW28/'WICHE Public Grads-RE PROJ'!G28</f>
        <v>0.24115441056579162</v>
      </c>
      <c r="H26" s="267">
        <f>+'WICHE Public Grads-RE PROJ'!AX28/'WICHE Public Grads-RE PROJ'!H28</f>
        <v>0.22268647477561127</v>
      </c>
      <c r="I26" s="267">
        <f>+'WICHE Public Grads-RE PROJ'!AY28/'WICHE Public Grads-RE PROJ'!I28</f>
        <v>0.23127753303964757</v>
      </c>
      <c r="J26" s="267">
        <f>+'WICHE Public Grads-RE PROJ'!AZ28/'WICHE Public Grads-RE PROJ'!J28</f>
        <v>0.24247921390778535</v>
      </c>
      <c r="K26" s="267">
        <f>+'WICHE Public Grads-RE PROJ'!BA28/'WICHE Public Grads-RE PROJ'!K28</f>
        <v>0.25176159718144453</v>
      </c>
      <c r="L26" s="262">
        <f>+'WICHE Public Grads-RE PROJ'!BB28/'WICHE Public Grads-RE PROJ'!L28</f>
        <v>0.25370770338372928</v>
      </c>
      <c r="M26" s="267">
        <f>+'WICHE Public Grads-RE PROJ'!BC28/'WICHE Public Grads-RE PROJ'!M28</f>
        <v>0.24818418528162259</v>
      </c>
      <c r="N26" s="267">
        <f>+'WICHE Public Grads-RE PROJ'!BD28/'WICHE Public Grads-RE PROJ'!N28</f>
        <v>0.24682144831398561</v>
      </c>
      <c r="O26" s="267">
        <f>+'WICHE Public Grads-RE PROJ'!BE28/'WICHE Public Grads-RE PROJ'!O28</f>
        <v>0.24750325662179765</v>
      </c>
      <c r="P26" s="267">
        <f>+'WICHE Public Grads-RE PROJ'!BF28/'WICHE Public Grads-RE PROJ'!P28</f>
        <v>0.26762668115745142</v>
      </c>
      <c r="Q26" s="267">
        <f>+'WICHE Public Grads-RE PROJ'!BG28/'WICHE Public Grads-RE PROJ'!Q28</f>
        <v>0.28867727628489431</v>
      </c>
      <c r="R26" s="267">
        <f>+'WICHE Public Grads-RE PROJ'!BH28/'WICHE Public Grads-RE PROJ'!R28</f>
        <v>0.26709102482495228</v>
      </c>
      <c r="S26" s="267">
        <f>+'WICHE Public Grads-RE PROJ'!BI28/'WICHE Public Grads-RE PROJ'!S28</f>
        <v>0.29115315515593065</v>
      </c>
      <c r="T26" s="267">
        <f>+'WICHE Public Grads-RE PROJ'!BJ28/'WICHE Public Grads-RE PROJ'!T28</f>
        <v>0.29171230399880488</v>
      </c>
      <c r="U26" s="267">
        <f>+'WICHE Public Grads-RE PROJ'!BK28/'WICHE Public Grads-RE PROJ'!U28</f>
        <v>0.28519321354323479</v>
      </c>
      <c r="V26" s="267">
        <f>+'WICHE Public Grads-RE PROJ'!BL28/'WICHE Public Grads-RE PROJ'!V28</f>
        <v>0.29750421077026878</v>
      </c>
      <c r="W26" s="267">
        <f>+'WICHE Public Grads-RE PROJ'!BM28/'WICHE Public Grads-RE PROJ'!W28</f>
        <v>0.30069268290792156</v>
      </c>
      <c r="X26" s="268">
        <f>+'WICHE Public Grads-RE PROJ'!BN28/'WICHE Public Grads-RE PROJ'!Y28</f>
        <v>0.29588682193857119</v>
      </c>
      <c r="Y26" s="268">
        <f>+'WICHE Public Grads-RE PROJ'!BO28/'WICHE Public Grads-RE PROJ'!Z28</f>
        <v>0.30190853107252663</v>
      </c>
      <c r="Z26" s="268">
        <f>+'WICHE Public Grads-RE PROJ'!BP28/'WICHE Public Grads-RE PROJ'!AA28</f>
        <v>0.30724914770618617</v>
      </c>
      <c r="AA26" s="268">
        <f>+'WICHE Public Grads-RE PROJ'!BQ28/'WICHE Public Grads-RE PROJ'!AB28</f>
        <v>0.3078514698014842</v>
      </c>
      <c r="AB26" s="266">
        <f>+'WICHE Public Grads-RE PROJ'!BR28/'WICHE Public Grads-RE PROJ'!AC28</f>
        <v>0.31690182244935938</v>
      </c>
      <c r="AC26" s="266">
        <f>+'WICHE Public Grads-RE PROJ'!BS28/'WICHE Public Grads-RE PROJ'!AD28</f>
        <v>0.32372259797719216</v>
      </c>
      <c r="AD26" s="266">
        <f>+'WICHE Public Grads-RE PROJ'!BT28/'WICHE Public Grads-RE PROJ'!AE28</f>
        <v>0.31440698780899168</v>
      </c>
      <c r="AE26" s="266">
        <f>+'WICHE Public Grads-RE PROJ'!BU28/'WICHE Public Grads-RE PROJ'!AF28</f>
        <v>0.31531589033108898</v>
      </c>
      <c r="AF26" s="266">
        <f>+'WICHE Public Grads-RE PROJ'!BV28/'WICHE Public Grads-RE PROJ'!AG28</f>
        <v>0.31336796842013925</v>
      </c>
      <c r="AG26" s="268">
        <f>+'WICHE Public Grads-RE PROJ'!BW28/'WICHE Public Grads-RE PROJ'!AH28</f>
        <v>0.32104800496799374</v>
      </c>
      <c r="AH26" s="266">
        <f>+'WICHE Public Grads-RE PROJ'!BX28/'WICHE Public Grads-RE PROJ'!AI28</f>
        <v>0.31374165837755669</v>
      </c>
      <c r="AI26" s="266">
        <f>+'WICHE Public Grads-RE PROJ'!BY28/'WICHE Public Grads-RE PROJ'!AJ28</f>
        <v>0.32465514426964598</v>
      </c>
      <c r="AJ26" s="266">
        <f>+'WICHE Public Grads-RE PROJ'!BZ28/'WICHE Public Grads-RE PROJ'!AK28</f>
        <v>0.34046830773534587</v>
      </c>
      <c r="AK26" s="266">
        <f>+'WICHE Public Grads-RE PROJ'!CA28/'WICHE Public Grads-RE PROJ'!AL28</f>
        <v>0.34723228330461808</v>
      </c>
      <c r="AL26" s="266">
        <f>+'WICHE Public Grads-RE PROJ'!CB28/'WICHE Public Grads-RE PROJ'!AM28</f>
        <v>0.34741268340546178</v>
      </c>
      <c r="AM26" s="266">
        <f>+'WICHE Public Grads-RE PROJ'!CC28/'WICHE Public Grads-RE PROJ'!AN28</f>
        <v>0.33163684786210079</v>
      </c>
      <c r="AN26" s="266">
        <f>+'WICHE Public Grads-RE PROJ'!CD28/'WICHE Public Grads-RE PROJ'!AO28</f>
        <v>0.33666849220374534</v>
      </c>
      <c r="AO26" s="266">
        <f>+'WICHE Public Grads-RE PROJ'!CE28/'WICHE Public Grads-RE PROJ'!AP28</f>
        <v>0.30645891067851438</v>
      </c>
      <c r="AP26" s="282">
        <f>+'WICHE Public Grads-RE PROJ'!CF28/'WICHE Public Grads-RE PROJ'!AQ28</f>
        <v>0.30925339272263502</v>
      </c>
      <c r="AQ26" s="262">
        <f>+'WICHE Public Grads-RE PROJ'!CG28/'WICHE Public Grads-RE PROJ'!B28</f>
        <v>0.18717253839205059</v>
      </c>
      <c r="AR26" s="262">
        <f>+'WICHE Public Grads-RE PROJ'!CH28/'WICHE Public Grads-RE PROJ'!C28</f>
        <v>0.18373983739837399</v>
      </c>
      <c r="AS26" s="262">
        <f>+'WICHE Public Grads-RE PROJ'!CI28/'WICHE Public Grads-RE PROJ'!D28</f>
        <v>0.18862014964329216</v>
      </c>
      <c r="AT26" s="262">
        <f>+'WICHE Public Grads-RE PROJ'!CJ28/'WICHE Public Grads-RE PROJ'!E28</f>
        <v>0.19254119687771032</v>
      </c>
      <c r="AU26" s="262">
        <f>+'WICHE Public Grads-RE PROJ'!CK28/'WICHE Public Grads-RE PROJ'!F28</f>
        <v>0.18116063919259881</v>
      </c>
      <c r="AV26" s="262">
        <f>+'WICHE Public Grads-RE PROJ'!CL28/'WICHE Public Grads-RE PROJ'!G28</f>
        <v>0.18767324311103864</v>
      </c>
      <c r="AW26" s="267">
        <f>+'WICHE Public Grads-RE PROJ'!CM28/'WICHE Public Grads-RE PROJ'!H28</f>
        <v>0.17517796347879913</v>
      </c>
      <c r="AX26" s="267">
        <f>+'WICHE Public Grads-RE PROJ'!CN28/'WICHE Public Grads-RE PROJ'!I28</f>
        <v>0.1776798825256975</v>
      </c>
      <c r="AY26" s="267">
        <f>+'WICHE Public Grads-RE PROJ'!CO28/'WICHE Public Grads-RE PROJ'!J28</f>
        <v>0.19002267573696144</v>
      </c>
      <c r="AZ26" s="267">
        <f>+'WICHE Public Grads-RE PROJ'!CP28/'WICHE Public Grads-RE PROJ'!K28</f>
        <v>0.18878449794480329</v>
      </c>
      <c r="BA26" s="262">
        <f>+'WICHE Public Grads-RE PROJ'!CQ28/'WICHE Public Grads-RE PROJ'!L28</f>
        <v>0.1929445644348452</v>
      </c>
      <c r="BB26" s="267">
        <f>+'WICHE Public Grads-RE PROJ'!CR28/'WICHE Public Grads-RE PROJ'!M28</f>
        <v>0.18404823900232972</v>
      </c>
      <c r="BC26" s="267">
        <f>+'WICHE Public Grads-RE PROJ'!CS28/'WICHE Public Grads-RE PROJ'!N28</f>
        <v>0.18311221669430625</v>
      </c>
      <c r="BD26" s="267">
        <f>+'WICHE Public Grads-RE PROJ'!CT28/'WICHE Public Grads-RE PROJ'!O28</f>
        <v>0.17846287451150672</v>
      </c>
      <c r="BE26" s="267">
        <f>+'WICHE Public Grads-RE PROJ'!CU28/'WICHE Public Grads-RE PROJ'!P28</f>
        <v>0.19589729656296698</v>
      </c>
      <c r="BF26" s="267">
        <f>+'WICHE Public Grads-RE PROJ'!CV28/'WICHE Public Grads-RE PROJ'!Q28</f>
        <v>0.22084529089486044</v>
      </c>
      <c r="BG26" s="267">
        <f>+'WICHE Public Grads-RE PROJ'!CW28/'WICHE Public Grads-RE PROJ'!R28</f>
        <v>0.19388924252068745</v>
      </c>
      <c r="BH26" s="267">
        <f>+'WICHE Public Grads-RE PROJ'!CX28/'WICHE Public Grads-RE PROJ'!S28</f>
        <v>0.19884666126803455</v>
      </c>
      <c r="BI26" s="267">
        <f>+'WICHE Public Grads-RE PROJ'!CY28/'WICHE Public Grads-RE PROJ'!T28</f>
        <v>0.20705019640602185</v>
      </c>
      <c r="BJ26" s="267">
        <f>+'WICHE Public Grads-RE PROJ'!CZ28/'WICHE Public Grads-RE PROJ'!U28</f>
        <v>0.1916839281036162</v>
      </c>
      <c r="BK26" s="267">
        <f>+'WICHE Public Grads-RE PROJ'!DA28/'WICHE Public Grads-RE PROJ'!V28</f>
        <v>0.1997499565639623</v>
      </c>
      <c r="BL26" s="267">
        <f>+'WICHE Public Grads-RE PROJ'!DB28/'WICHE Public Grads-RE PROJ'!W28</f>
        <v>0.20246393459279963</v>
      </c>
      <c r="BM26" s="268">
        <f>+'WICHE Public Grads-RE PROJ'!DC28/'WICHE Public Grads-RE PROJ'!Y28</f>
        <v>0.20685844241263929</v>
      </c>
      <c r="BN26" s="268">
        <f>+'WICHE Public Grads-RE PROJ'!DD28/'WICHE Public Grads-RE PROJ'!Z28</f>
        <v>0.20377229642563305</v>
      </c>
      <c r="BO26" s="268">
        <f>+'WICHE Public Grads-RE PROJ'!DE28/'WICHE Public Grads-RE PROJ'!AA28</f>
        <v>0.21256407405084221</v>
      </c>
      <c r="BP26" s="268">
        <f>+'WICHE Public Grads-RE PROJ'!DF28/'WICHE Public Grads-RE PROJ'!AB28</f>
        <v>0.21137703124880655</v>
      </c>
      <c r="BQ26" s="266">
        <f>+'WICHE Public Grads-RE PROJ'!DG28/'WICHE Public Grads-RE PROJ'!AC28</f>
        <v>0.22187662722179191</v>
      </c>
      <c r="BR26" s="266">
        <f>+'WICHE Public Grads-RE PROJ'!DH28/'WICHE Public Grads-RE PROJ'!AD28</f>
        <v>0.22364620353655945</v>
      </c>
      <c r="BS26" s="266">
        <f>+'WICHE Public Grads-RE PROJ'!DI28/'WICHE Public Grads-RE PROJ'!AE28</f>
        <v>0.22073644493669664</v>
      </c>
      <c r="BT26" s="266">
        <f>+'WICHE Public Grads-RE PROJ'!DJ28/'WICHE Public Grads-RE PROJ'!AF28</f>
        <v>0.21856462251112183</v>
      </c>
      <c r="BU26" s="266">
        <f>+'WICHE Public Grads-RE PROJ'!DK28/'WICHE Public Grads-RE PROJ'!AG28</f>
        <v>0.22244061931895076</v>
      </c>
      <c r="BV26" s="268">
        <f>+'WICHE Public Grads-RE PROJ'!DL28/'WICHE Public Grads-RE PROJ'!AH28</f>
        <v>0.23010768028137193</v>
      </c>
      <c r="BW26" s="266">
        <f>+'WICHE Public Grads-RE PROJ'!DM28/'WICHE Public Grads-RE PROJ'!AI28</f>
        <v>0.23041985178632748</v>
      </c>
      <c r="BX26" s="266">
        <f>+'WICHE Public Grads-RE PROJ'!DN28/'WICHE Public Grads-RE PROJ'!AJ28</f>
        <v>0.2393071615296688</v>
      </c>
      <c r="BY26" s="266">
        <f>+'WICHE Public Grads-RE PROJ'!DO28/'WICHE Public Grads-RE PROJ'!AK28</f>
        <v>0.23795534049820533</v>
      </c>
      <c r="BZ26" s="266">
        <f>+'WICHE Public Grads-RE PROJ'!DP28/'WICHE Public Grads-RE PROJ'!AL28</f>
        <v>0.24552978642916715</v>
      </c>
      <c r="CA26" s="266">
        <f>+'WICHE Public Grads-RE PROJ'!DQ28/'WICHE Public Grads-RE PROJ'!AM28</f>
        <v>0.23856292704913809</v>
      </c>
      <c r="CB26" s="266">
        <f>+'WICHE Public Grads-RE PROJ'!DR28/'WICHE Public Grads-RE PROJ'!AN28</f>
        <v>0.22938782718138728</v>
      </c>
      <c r="CC26" s="266">
        <f>+'WICHE Public Grads-RE PROJ'!DS28/'WICHE Public Grads-RE PROJ'!AO28</f>
        <v>0.22653314135422231</v>
      </c>
      <c r="CD26" s="266">
        <f>+'WICHE Public Grads-RE PROJ'!DT28/'WICHE Public Grads-RE PROJ'!AP28</f>
        <v>0.19886504235353017</v>
      </c>
      <c r="CE26" s="282">
        <f>+'WICHE Public Grads-RE PROJ'!DU28/'WICHE Public Grads-RE PROJ'!AQ28</f>
        <v>0.19684273193871593</v>
      </c>
      <c r="CF26" s="262">
        <f>+'WICHE Public Grads-RE PROJ'!DV28/'WICHE Public Grads-RE PROJ'!B28</f>
        <v>4.2818428184281845E-2</v>
      </c>
      <c r="CG26" s="262">
        <f>+'WICHE Public Grads-RE PROJ'!DW28/'WICHE Public Grads-RE PROJ'!C28</f>
        <v>4.950316169828365E-2</v>
      </c>
      <c r="CH26" s="262">
        <f>+'WICHE Public Grads-RE PROJ'!DX28/'WICHE Public Grads-RE PROJ'!D28</f>
        <v>4.9591091004002087E-2</v>
      </c>
      <c r="CI26" s="262">
        <f>+'WICHE Public Grads-RE PROJ'!DY28/'WICHE Public Grads-RE PROJ'!E28</f>
        <v>4.3018213356461402E-2</v>
      </c>
      <c r="CJ26" s="262">
        <f>+'WICHE Public Grads-RE PROJ'!DZ28/'WICHE Public Grads-RE PROJ'!F28</f>
        <v>4.8612279226240541E-2</v>
      </c>
      <c r="CK26" s="262">
        <f>+'WICHE Public Grads-RE PROJ'!EA28/'WICHE Public Grads-RE PROJ'!G28</f>
        <v>5.3481167454752974E-2</v>
      </c>
      <c r="CL26" s="267">
        <f>+'WICHE Public Grads-RE PROJ'!EB28/'WICHE Public Grads-RE PROJ'!H28</f>
        <v>4.7508511296812134E-2</v>
      </c>
      <c r="CM26" s="267">
        <f>+'WICHE Public Grads-RE PROJ'!EC28/'WICHE Public Grads-RE PROJ'!I28</f>
        <v>5.3597650513950074E-2</v>
      </c>
      <c r="CN26" s="267">
        <f>+'WICHE Public Grads-RE PROJ'!ED28/'WICHE Public Grads-RE PROJ'!J28</f>
        <v>5.2456538170823887E-2</v>
      </c>
      <c r="CO26" s="267">
        <f>+'WICHE Public Grads-RE PROJ'!EE28/'WICHE Public Grads-RE PROJ'!K28</f>
        <v>6.2977099236641215E-2</v>
      </c>
      <c r="CP26" s="262">
        <f>+'WICHE Public Grads-RE PROJ'!EF28/'WICHE Public Grads-RE PROJ'!L28</f>
        <v>6.0763138948884091E-2</v>
      </c>
      <c r="CQ26" s="267">
        <f>+'WICHE Public Grads-RE PROJ'!EG28/'WICHE Public Grads-RE PROJ'!M28</f>
        <v>6.4135946279292866E-2</v>
      </c>
      <c r="CR26" s="267">
        <f>+'WICHE Public Grads-RE PROJ'!EH28/'WICHE Public Grads-RE PROJ'!N28</f>
        <v>6.3709231619679382E-2</v>
      </c>
      <c r="CS26" s="267">
        <f>+'WICHE Public Grads-RE PROJ'!EI28/'WICHE Public Grads-RE PROJ'!O28</f>
        <v>6.9040382110290927E-2</v>
      </c>
      <c r="CT26" s="267">
        <f>+'WICHE Public Grads-RE PROJ'!EJ28/'WICHE Public Grads-RE PROJ'!P28</f>
        <v>7.1729384594484441E-2</v>
      </c>
      <c r="CU26" s="267">
        <f>+'WICHE Public Grads-RE PROJ'!EK28/'WICHE Public Grads-RE PROJ'!Q28</f>
        <v>6.7831985390033919E-2</v>
      </c>
      <c r="CV26" s="267">
        <f>+'WICHE Public Grads-RE PROJ'!EL28/'WICHE Public Grads-RE PROJ'!R28</f>
        <v>7.3201782304264801E-2</v>
      </c>
      <c r="CW26" s="267">
        <f>+'WICHE Public Grads-RE PROJ'!EM28/'WICHE Public Grads-RE PROJ'!S28</f>
        <v>9.2306493887896093E-2</v>
      </c>
      <c r="CX26" s="267">
        <f>+'WICHE Public Grads-RE PROJ'!EN28/'WICHE Public Grads-RE PROJ'!T28</f>
        <v>8.466210759278299E-2</v>
      </c>
      <c r="CY26" s="267">
        <f>+'WICHE Public Grads-RE PROJ'!EO28/'WICHE Public Grads-RE PROJ'!U28</f>
        <v>9.3509285439618617E-2</v>
      </c>
      <c r="CZ26" s="267">
        <f>+'WICHE Public Grads-RE PROJ'!EP28/'WICHE Public Grads-RE PROJ'!V28</f>
        <v>9.7754254206306485E-2</v>
      </c>
      <c r="DA26" s="267">
        <f>+'WICHE Public Grads-RE PROJ'!EQ28/'WICHE Public Grads-RE PROJ'!W28</f>
        <v>9.8228748315121905E-2</v>
      </c>
      <c r="DB26" s="268">
        <f>+'WICHE Public Grads-RE PROJ'!ER28/'WICHE Public Grads-RE PROJ'!Y28</f>
        <v>8.9028379525931872E-2</v>
      </c>
      <c r="DC26" s="268">
        <f>+'WICHE Public Grads-RE PROJ'!ES28/'WICHE Public Grads-RE PROJ'!Z28</f>
        <v>9.8136234646893611E-2</v>
      </c>
      <c r="DD26" s="268">
        <f>+'WICHE Public Grads-RE PROJ'!ET28/'WICHE Public Grads-RE PROJ'!AA28</f>
        <v>9.4685073655343968E-2</v>
      </c>
      <c r="DE26" s="268">
        <f>+'WICHE Public Grads-RE PROJ'!EU28/'WICHE Public Grads-RE PROJ'!AB28</f>
        <v>9.6474438552677649E-2</v>
      </c>
      <c r="DF26" s="266">
        <f>+'WICHE Public Grads-RE PROJ'!EV28/'WICHE Public Grads-RE PROJ'!AC28</f>
        <v>9.5025195227567513E-2</v>
      </c>
      <c r="DG26" s="266">
        <f>+'WICHE Public Grads-RE PROJ'!EW28/'WICHE Public Grads-RE PROJ'!AD28</f>
        <v>0.10007639444063268</v>
      </c>
      <c r="DH26" s="266">
        <f>+'WICHE Public Grads-RE PROJ'!EX28/'WICHE Public Grads-RE PROJ'!AE28</f>
        <v>9.3670542872295037E-2</v>
      </c>
      <c r="DI26" s="266">
        <f>+'WICHE Public Grads-RE PROJ'!EY28/'WICHE Public Grads-RE PROJ'!AF28</f>
        <v>9.6751267819967152E-2</v>
      </c>
      <c r="DJ26" s="266">
        <f>+'WICHE Public Grads-RE PROJ'!EZ28/'WICHE Public Grads-RE PROJ'!AG28</f>
        <v>9.0927349101188465E-2</v>
      </c>
      <c r="DK26" s="268">
        <f>+'WICHE Public Grads-RE PROJ'!FA28/'WICHE Public Grads-RE PROJ'!AH28</f>
        <v>9.0940324686621804E-2</v>
      </c>
      <c r="DL26" s="266">
        <f>+'WICHE Public Grads-RE PROJ'!FB28/'WICHE Public Grads-RE PROJ'!AI28</f>
        <v>8.3321806591229217E-2</v>
      </c>
      <c r="DM26" s="266">
        <f>+'WICHE Public Grads-RE PROJ'!FC28/'WICHE Public Grads-RE PROJ'!AJ28</f>
        <v>8.5347982739977152E-2</v>
      </c>
      <c r="DN26" s="266">
        <f>+'WICHE Public Grads-RE PROJ'!FD28/'WICHE Public Grads-RE PROJ'!AK28</f>
        <v>0.10251296723714051</v>
      </c>
      <c r="DO26" s="266">
        <f>+'WICHE Public Grads-RE PROJ'!FE28/'WICHE Public Grads-RE PROJ'!AL28</f>
        <v>0.10170249687545095</v>
      </c>
      <c r="DP26" s="266">
        <f>+'WICHE Public Grads-RE PROJ'!FF28/'WICHE Public Grads-RE PROJ'!AM28</f>
        <v>0.10884975635632368</v>
      </c>
      <c r="DQ26" s="266">
        <f>+'WICHE Public Grads-RE PROJ'!FG28/'WICHE Public Grads-RE PROJ'!AN28</f>
        <v>0.10224902068071354</v>
      </c>
      <c r="DR26" s="266">
        <f>+'WICHE Public Grads-RE PROJ'!FH28/'WICHE Public Grads-RE PROJ'!AO28</f>
        <v>0.11013535084952297</v>
      </c>
      <c r="DS26" s="266">
        <f>+'WICHE Public Grads-RE PROJ'!FI28/'WICHE Public Grads-RE PROJ'!AP28</f>
        <v>0.10759386832498426</v>
      </c>
      <c r="DT26" s="282">
        <f>+'WICHE Public Grads-RE PROJ'!FJ28/'WICHE Public Grads-RE PROJ'!AQ28</f>
        <v>0.11241066078391906</v>
      </c>
      <c r="DU26" s="262">
        <f>+'WICHE Public Grads-RE PROJ'!FK28/'WICHE Public Grads-RE PROJ'!B28</f>
        <v>3.5411020776874434E-2</v>
      </c>
      <c r="DV26" s="262">
        <f>+'WICHE Public Grads-RE PROJ'!FL28/'WICHE Public Grads-RE PROJ'!C28</f>
        <v>3.685636856368564E-2</v>
      </c>
      <c r="DW26" s="262">
        <f>+'WICHE Public Grads-RE PROJ'!FM28/'WICHE Public Grads-RE PROJ'!D28</f>
        <v>4.0542891943622761E-2</v>
      </c>
      <c r="DX26" s="262">
        <f>+'WICHE Public Grads-RE PROJ'!FN28/'WICHE Public Grads-RE PROJ'!E28</f>
        <v>3.9895923677363401E-2</v>
      </c>
      <c r="DY26" s="262">
        <f>+'WICHE Public Grads-RE PROJ'!FO28/'WICHE Public Grads-RE PROJ'!F28</f>
        <v>3.7846930193439862E-2</v>
      </c>
      <c r="DZ26" s="262">
        <f>+'WICHE Public Grads-RE PROJ'!FP28/'WICHE Public Grads-RE PROJ'!G28</f>
        <v>4.1578346649274414E-2</v>
      </c>
      <c r="EA26" s="267">
        <f>+'WICHE Public Grads-RE PROJ'!FQ28/'WICHE Public Grads-RE PROJ'!H28</f>
        <v>4.0080470442587432E-2</v>
      </c>
      <c r="EB26" s="267">
        <f>+'WICHE Public Grads-RE PROJ'!FR28/'WICHE Public Grads-RE PROJ'!I28</f>
        <v>4.1409691629955947E-2</v>
      </c>
      <c r="EC26" s="267">
        <f>+'WICHE Public Grads-RE PROJ'!FS28/'WICHE Public Grads-RE PROJ'!J28</f>
        <v>3.7037037037037035E-2</v>
      </c>
      <c r="ED26" s="267">
        <f>+'WICHE Public Grads-RE PROJ'!FT28/'WICHE Public Grads-RE PROJ'!K28</f>
        <v>3.611274221961245E-2</v>
      </c>
      <c r="EE26" s="262">
        <f>+'WICHE Public Grads-RE PROJ'!FU28/'WICHE Public Grads-RE PROJ'!L28</f>
        <v>3.628509719222462E-2</v>
      </c>
      <c r="EF26" s="267">
        <f>+'WICHE Public Grads-RE PROJ'!FV28/'WICHE Public Grads-RE PROJ'!M28</f>
        <v>3.6727422228313003E-2</v>
      </c>
      <c r="EG26" s="267">
        <f>+'WICHE Public Grads-RE PROJ'!FW28/'WICHE Public Grads-RE PROJ'!N28</f>
        <v>3.8695411829740185E-2</v>
      </c>
      <c r="EH26" s="267">
        <f>+'WICHE Public Grads-RE PROJ'!FX28/'WICHE Public Grads-RE PROJ'!O28</f>
        <v>3.3145172962802144E-2</v>
      </c>
      <c r="EI26" s="267">
        <f>+'WICHE Public Grads-RE PROJ'!FY28/'WICHE Public Grads-RE PROJ'!P28</f>
        <v>4.1027034370330118E-2</v>
      </c>
      <c r="EJ26" s="267">
        <f>+'WICHE Public Grads-RE PROJ'!FZ28/'WICHE Public Grads-RE PROJ'!Q28</f>
        <v>3.678580746151839E-2</v>
      </c>
      <c r="EK26" s="267">
        <f>+'WICHE Public Grads-RE PROJ'!GA28/'WICHE Public Grads-RE PROJ'!R28</f>
        <v>3.3354551241247615E-2</v>
      </c>
      <c r="EL26" s="267">
        <f>+'WICHE Public Grads-RE PROJ'!GB28/'WICHE Public Grads-RE PROJ'!S28</f>
        <v>3.7183750116840601E-2</v>
      </c>
      <c r="EM26" s="267">
        <f>+'WICHE Public Grads-RE PROJ'!GC28/'WICHE Public Grads-RE PROJ'!T28</f>
        <v>3.5056114116046311E-2</v>
      </c>
      <c r="EN26" s="267">
        <f>+'WICHE Public Grads-RE PROJ'!GD28/'WICHE Public Grads-RE PROJ'!U28</f>
        <v>3.8131672097358522E-2</v>
      </c>
      <c r="EO26" s="267">
        <f>+'WICHE Public Grads-RE PROJ'!GE28/'WICHE Public Grads-RE PROJ'!V28</f>
        <v>3.548522292630768E-2</v>
      </c>
      <c r="EP26" s="267">
        <f>+'WICHE Public Grads-RE PROJ'!GF28/'WICHE Public Grads-RE PROJ'!W28</f>
        <v>3.6757510806785132E-2</v>
      </c>
      <c r="EQ26" s="268">
        <f>+'WICHE Public Grads-RE PROJ'!GG28/'WICHE Public Grads-RE PROJ'!Y28</f>
        <v>3.3826183000875386E-2</v>
      </c>
      <c r="ER26" s="268">
        <f>+'WICHE Public Grads-RE PROJ'!GH28/'WICHE Public Grads-RE PROJ'!Z28</f>
        <v>3.6812792514956366E-2</v>
      </c>
      <c r="ES26" s="268">
        <f>+'WICHE Public Grads-RE PROJ'!GI28/'WICHE Public Grads-RE PROJ'!AA28</f>
        <v>3.5005442863575639E-2</v>
      </c>
      <c r="ET26" s="268">
        <f>+'WICHE Public Grads-RE PROJ'!GJ28/'WICHE Public Grads-RE PROJ'!AB28</f>
        <v>3.6443846862545939E-2</v>
      </c>
      <c r="EU26" s="266">
        <f>+'WICHE Public Grads-RE PROJ'!GK28/'WICHE Public Grads-RE PROJ'!AC28</f>
        <v>3.6914964854115592E-2</v>
      </c>
      <c r="EV26" s="266">
        <f>+'WICHE Public Grads-RE PROJ'!GL28/'WICHE Public Grads-RE PROJ'!AD28</f>
        <v>3.3564694640230576E-2</v>
      </c>
      <c r="EW26" s="266">
        <f>+'WICHE Public Grads-RE PROJ'!GM28/'WICHE Public Grads-RE PROJ'!AE28</f>
        <v>3.830089308335103E-2</v>
      </c>
      <c r="EX26" s="266">
        <f>+'WICHE Public Grads-RE PROJ'!GN28/'WICHE Public Grads-RE PROJ'!AF28</f>
        <v>3.2048477518554552E-2</v>
      </c>
      <c r="EY26" s="266">
        <f>+'WICHE Public Grads-RE PROJ'!GO28/'WICHE Public Grads-RE PROJ'!AG28</f>
        <v>3.2235351952226272E-2</v>
      </c>
      <c r="EZ26" s="268">
        <f>+'WICHE Public Grads-RE PROJ'!GP28/'WICHE Public Grads-RE PROJ'!AH28</f>
        <v>3.1752803161134088E-2</v>
      </c>
      <c r="FA26" s="266">
        <f>+'WICHE Public Grads-RE PROJ'!GQ28/'WICHE Public Grads-RE PROJ'!AI28</f>
        <v>3.0556266969556087E-2</v>
      </c>
      <c r="FB26" s="266">
        <f>+'WICHE Public Grads-RE PROJ'!GR28/'WICHE Public Grads-RE PROJ'!AJ28</f>
        <v>3.144741941863749E-2</v>
      </c>
      <c r="FC26" s="266">
        <f>+'WICHE Public Grads-RE PROJ'!GS28/'WICHE Public Grads-RE PROJ'!AK28</f>
        <v>3.0568148446383277E-2</v>
      </c>
      <c r="FD26" s="266">
        <f>+'WICHE Public Grads-RE PROJ'!GT28/'WICHE Public Grads-RE PROJ'!AL28</f>
        <v>3.3020961667244525E-2</v>
      </c>
      <c r="FE26" s="266">
        <f>+'WICHE Public Grads-RE PROJ'!GU28/'WICHE Public Grads-RE PROJ'!AM28</f>
        <v>3.1262736024972225E-2</v>
      </c>
      <c r="FF26" s="266">
        <f>+'WICHE Public Grads-RE PROJ'!GV28/'WICHE Public Grads-RE PROJ'!AN28</f>
        <v>3.1950118434848546E-2</v>
      </c>
      <c r="FG26" s="266">
        <f>+'WICHE Public Grads-RE PROJ'!GW28/'WICHE Public Grads-RE PROJ'!AO28</f>
        <v>2.7064147989449776E-2</v>
      </c>
      <c r="FH26" s="266">
        <f>+'WICHE Public Grads-RE PROJ'!GX28/'WICHE Public Grads-RE PROJ'!AP28</f>
        <v>3.2852174006250894E-2</v>
      </c>
      <c r="FI26" s="282">
        <f>+'WICHE Public Grads-RE PROJ'!GY28/'WICHE Public Grads-RE PROJ'!AQ28</f>
        <v>3.3016698048052427E-2</v>
      </c>
      <c r="FJ26" s="262">
        <f>+'WICHE Public Grads-RE PROJ'!GZ28/'WICHE Public Grads-RE PROJ'!B28</f>
        <v>2.2402890695573621E-2</v>
      </c>
      <c r="FK26" s="262">
        <f>+'WICHE Public Grads-RE PROJ'!HA28/'WICHE Public Grads-RE PROJ'!C28</f>
        <v>2.149954832881662E-2</v>
      </c>
      <c r="FL26" s="262">
        <f>+'WICHE Public Grads-RE PROJ'!HB28/'WICHE Public Grads-RE PROJ'!D28</f>
        <v>2.5230555072211589E-2</v>
      </c>
      <c r="FM26" s="262">
        <f>+'WICHE Public Grads-RE PROJ'!HC28/'WICHE Public Grads-RE PROJ'!E28</f>
        <v>2.1335646140503036E-2</v>
      </c>
      <c r="FN26" s="262">
        <f>+'WICHE Public Grads-RE PROJ'!HD28/'WICHE Public Grads-RE PROJ'!F28</f>
        <v>2.4894869638351556E-2</v>
      </c>
      <c r="FO26" s="262">
        <f>+'WICHE Public Grads-RE PROJ'!HE28/'WICHE Public Grads-RE PROJ'!G28</f>
        <v>2.3642589271156041E-2</v>
      </c>
      <c r="FP26" s="267">
        <f>+'WICHE Public Grads-RE PROJ'!HF28/'WICHE Public Grads-RE PROJ'!H28</f>
        <v>2.3831631073970908E-2</v>
      </c>
      <c r="FQ26" s="267">
        <f>+'WICHE Public Grads-RE PROJ'!HG28/'WICHE Public Grads-RE PROJ'!I28</f>
        <v>2.7019089574155653E-2</v>
      </c>
      <c r="FR26" s="267">
        <f>+'WICHE Public Grads-RE PROJ'!HH28/'WICHE Public Grads-RE PROJ'!J28</f>
        <v>2.872260015117158E-2</v>
      </c>
      <c r="FS26" s="267">
        <f>+'WICHE Public Grads-RE PROJ'!HI28/'WICHE Public Grads-RE PROJ'!K28</f>
        <v>2.5396359365825016E-2</v>
      </c>
      <c r="FT26" s="262">
        <f>+'WICHE Public Grads-RE PROJ'!HJ28/'WICHE Public Grads-RE PROJ'!L28</f>
        <v>2.8365730741540678E-2</v>
      </c>
      <c r="FU26" s="267">
        <f>+'WICHE Public Grads-RE PROJ'!HK28/'WICHE Public Grads-RE PROJ'!M28</f>
        <v>2.658626832945046E-2</v>
      </c>
      <c r="FV26" s="267">
        <f>+'WICHE Public Grads-RE PROJ'!HL28/'WICHE Public Grads-RE PROJ'!N28</f>
        <v>2.736318407960199E-2</v>
      </c>
      <c r="FW26" s="267">
        <f>+'WICHE Public Grads-RE PROJ'!HM28/'WICHE Public Grads-RE PROJ'!O28</f>
        <v>1.4039658416558113E-2</v>
      </c>
      <c r="FX26" s="267">
        <f>+'WICHE Public Grads-RE PROJ'!HN28/'WICHE Public Grads-RE PROJ'!P28</f>
        <v>3.3419372367884795E-2</v>
      </c>
      <c r="FY26" s="267">
        <f>+'WICHE Public Grads-RE PROJ'!HO28/'WICHE Public Grads-RE PROJ'!Q28</f>
        <v>3.2611531437516307E-2</v>
      </c>
      <c r="FZ26" s="267">
        <f>+'WICHE Public Grads-RE PROJ'!HP28/'WICHE Public Grads-RE PROJ'!R28</f>
        <v>4.9522597071928708E-2</v>
      </c>
      <c r="GA26" s="267">
        <f>+'WICHE Public Grads-RE PROJ'!HQ28/'WICHE Public Grads-RE PROJ'!S28</f>
        <v>4.5454545454545456E-2</v>
      </c>
      <c r="GB26" s="267">
        <f>+'WICHE Public Grads-RE PROJ'!HR28/'WICHE Public Grads-RE PROJ'!T28</f>
        <v>4.9969678593086722E-2</v>
      </c>
      <c r="GC26" s="267">
        <f>+'WICHE Public Grads-RE PROJ'!HS28/'WICHE Public Grads-RE PROJ'!U28</f>
        <v>5.3075396825396824E-2</v>
      </c>
      <c r="GD26" s="267">
        <f>+'WICHE Public Grads-RE PROJ'!HT28/'WICHE Public Grads-RE PROJ'!V28</f>
        <v>5.6077106020778568E-2</v>
      </c>
      <c r="GE26" s="267">
        <f>+'WICHE Public Grads-RE PROJ'!HU28/'WICHE Public Grads-RE PROJ'!W28</f>
        <v>6.1323155216284987E-2</v>
      </c>
      <c r="GF26" s="268">
        <f>+'WICHE Public Grads-RE PROJ'!HV28/'WICHE Public Grads-RE PROJ'!Y28</f>
        <v>6.5503310630951189E-2</v>
      </c>
      <c r="GG26" s="268">
        <f>+'WICHE Public Grads-RE PROJ'!HW28/'WICHE Public Grads-RE PROJ'!Z28</f>
        <v>5.8319683643411044E-2</v>
      </c>
      <c r="GH26" s="268">
        <f>+'WICHE Public Grads-RE PROJ'!HX28/'WICHE Public Grads-RE PROJ'!AA28</f>
        <v>6.4651662957173783E-2</v>
      </c>
      <c r="GI26" s="268">
        <f>+'WICHE Public Grads-RE PROJ'!HY28/'WICHE Public Grads-RE PROJ'!AB28</f>
        <v>7.0414071938568273E-2</v>
      </c>
      <c r="GJ26" s="266">
        <f>+'WICHE Public Grads-RE PROJ'!HZ28/'WICHE Public Grads-RE PROJ'!AC28</f>
        <v>7.2918739987450479E-2</v>
      </c>
      <c r="GK26" s="266">
        <f>+'WICHE Public Grads-RE PROJ'!IA28/'WICHE Public Grads-RE PROJ'!AD28</f>
        <v>6.8732002621198524E-2</v>
      </c>
      <c r="GL26" s="266">
        <f>+'WICHE Public Grads-RE PROJ'!IB28/'WICHE Public Grads-RE PROJ'!AE28</f>
        <v>7.3148296814662783E-2</v>
      </c>
      <c r="GM26" s="266">
        <f>+'WICHE Public Grads-RE PROJ'!IC28/'WICHE Public Grads-RE PROJ'!AF28</f>
        <v>6.7199311092478939E-2</v>
      </c>
      <c r="GN26" s="266">
        <f>+'WICHE Public Grads-RE PROJ'!ID28/'WICHE Public Grads-RE PROJ'!AG28</f>
        <v>6.9782973646546162E-2</v>
      </c>
      <c r="GO26" s="268">
        <f>+'WICHE Public Grads-RE PROJ'!IE28/'WICHE Public Grads-RE PROJ'!AH28</f>
        <v>7.7776656137305417E-2</v>
      </c>
      <c r="GP26" s="266">
        <f>+'WICHE Public Grads-RE PROJ'!IF28/'WICHE Public Grads-RE PROJ'!AI28</f>
        <v>8.0687920978704433E-2</v>
      </c>
      <c r="GQ26" s="266">
        <f>+'WICHE Public Grads-RE PROJ'!IG28/'WICHE Public Grads-RE PROJ'!AJ28</f>
        <v>8.2461290255363029E-2</v>
      </c>
      <c r="GR26" s="266">
        <f>+'WICHE Public Grads-RE PROJ'!IH28/'WICHE Public Grads-RE PROJ'!AK28</f>
        <v>6.3436188945182451E-2</v>
      </c>
      <c r="GS26" s="266">
        <f>+'WICHE Public Grads-RE PROJ'!II28/'WICHE Public Grads-RE PROJ'!AL28</f>
        <v>6.7644309925081136E-2</v>
      </c>
      <c r="GT26" s="266">
        <f>+'WICHE Public Grads-RE PROJ'!IJ28/'WICHE Public Grads-RE PROJ'!AM28</f>
        <v>6.5622290749642556E-2</v>
      </c>
      <c r="GU26" s="266">
        <f>+'WICHE Public Grads-RE PROJ'!IK28/'WICHE Public Grads-RE PROJ'!AN28</f>
        <v>7.6796669628691541E-2</v>
      </c>
      <c r="GV26" s="266">
        <f>+'WICHE Public Grads-RE PROJ'!IL28/'WICHE Public Grads-RE PROJ'!AO28</f>
        <v>7.521461390039974E-2</v>
      </c>
      <c r="GW26" s="266">
        <f>+'WICHE Public Grads-RE PROJ'!IM28/'WICHE Public Grads-RE PROJ'!AP28</f>
        <v>8.4748091179662532E-2</v>
      </c>
      <c r="GX26" s="282">
        <f>+'WICHE Public Grads-RE PROJ'!IN28/'WICHE Public Grads-RE PROJ'!AQ28</f>
        <v>8.4371579174227301E-2</v>
      </c>
      <c r="GY26" s="262">
        <f>+'WICHE Public Grads-RE PROJ'!IO28/'WICHE Public Grads-RE PROJ'!B28</f>
        <v>0.71219512195121948</v>
      </c>
      <c r="GZ26" s="262">
        <f>+'WICHE Public Grads-RE PROJ'!IP28/'WICHE Public Grads-RE PROJ'!C28</f>
        <v>0.70840108401084012</v>
      </c>
      <c r="HA26" s="262">
        <f>+'WICHE Public Grads-RE PROJ'!IQ28/'WICHE Public Grads-RE PROJ'!D28</f>
        <v>0.69601531233687142</v>
      </c>
      <c r="HB26" s="262">
        <f>+'WICHE Public Grads-RE PROJ'!IR28/'WICHE Public Grads-RE PROJ'!E28</f>
        <v>0.70320901994796181</v>
      </c>
      <c r="HC26" s="262">
        <f>+'WICHE Public Grads-RE PROJ'!IS28/'WICHE Public Grads-RE PROJ'!F28</f>
        <v>0.7074852817493692</v>
      </c>
      <c r="HD26" s="262">
        <f>+'WICHE Public Grads-RE PROJ'!IT28/'WICHE Public Grads-RE PROJ'!G28</f>
        <v>0.69362465351377789</v>
      </c>
      <c r="HE26" s="267">
        <f>+'WICHE Public Grads-RE PROJ'!IU28/'WICHE Public Grads-RE PROJ'!H28</f>
        <v>0.71340142370783044</v>
      </c>
      <c r="HF26" s="267">
        <f>+'WICHE Public Grads-RE PROJ'!IV28/'WICHE Public Grads-RE PROJ'!I28</f>
        <v>0.70029368575624085</v>
      </c>
      <c r="HG26" s="267">
        <f>+'WICHE Public Grads-RE PROJ'!IW28/'WICHE Public Grads-RE PROJ'!J28</f>
        <v>0.69176114890400608</v>
      </c>
      <c r="HH26" s="267">
        <f>+'WICHE Public Grads-RE PROJ'!IX28/'WICHE Public Grads-RE PROJ'!K28</f>
        <v>0.68672930123311804</v>
      </c>
      <c r="HI26" s="262">
        <f>+'WICHE Public Grads-RE PROJ'!IY28/'WICHE Public Grads-RE PROJ'!L28</f>
        <v>0.68164146868250541</v>
      </c>
      <c r="HJ26" s="267">
        <f>+'WICHE Public Grads-RE PROJ'!IZ28/'WICHE Public Grads-RE PROJ'!M28</f>
        <v>0.68850212416061396</v>
      </c>
      <c r="HK26" s="267">
        <f>+'WICHE Public Grads-RE PROJ'!JA28/'WICHE Public Grads-RE PROJ'!N28</f>
        <v>0.68711995577667218</v>
      </c>
      <c r="HL26" s="267">
        <f>+'WICHE Public Grads-RE PROJ'!JB28/'WICHE Public Grads-RE PROJ'!O28</f>
        <v>0.68837747865103494</v>
      </c>
      <c r="HM26" s="267">
        <f>+'WICHE Public Grads-RE PROJ'!JC28/'WICHE Public Grads-RE PROJ'!P28</f>
        <v>0.65792691210433363</v>
      </c>
      <c r="HN26" s="267">
        <f>+'WICHE Public Grads-RE PROJ'!JD28/'WICHE Public Grads-RE PROJ'!Q28</f>
        <v>0.64192538481607098</v>
      </c>
      <c r="HO26" s="267">
        <f>+'WICHE Public Grads-RE PROJ'!JE28/'WICHE Public Grads-RE PROJ'!R28</f>
        <v>0.60369191597708471</v>
      </c>
      <c r="HP26" s="267">
        <f>+'WICHE Public Grads-RE PROJ'!JF28/'WICHE Public Grads-RE PROJ'!S28</f>
        <v>0.64106868913282322</v>
      </c>
      <c r="HQ26" s="267">
        <f>+'WICHE Public Grads-RE PROJ'!JG28/'WICHE Public Grads-RE PROJ'!T28</f>
        <v>0.62326190329206221</v>
      </c>
      <c r="HR26" s="267">
        <f>+'WICHE Public Grads-RE PROJ'!JH28/'WICHE Public Grads-RE PROJ'!U28</f>
        <v>0.62359971753400989</v>
      </c>
      <c r="HS26" s="267">
        <f>+'WICHE Public Grads-RE PROJ'!JI28/'WICHE Public Grads-RE PROJ'!V28</f>
        <v>0.61093346028264506</v>
      </c>
      <c r="HT26" s="267">
        <f>+'WICHE Public Grads-RE PROJ'!JJ28/'WICHE Public Grads-RE PROJ'!W28</f>
        <v>0.6012266510690083</v>
      </c>
      <c r="HU26" s="268">
        <f>+'WICHE Public Grads-RE PROJ'!JK28/'WICHE Public Grads-RE PROJ'!Y28</f>
        <v>0.59681102640397199</v>
      </c>
      <c r="HV26" s="268">
        <f>+'WICHE Public Grads-RE PROJ'!JL28/'WICHE Public Grads-RE PROJ'!Z28</f>
        <v>0.59114892249368234</v>
      </c>
      <c r="HW26" s="268">
        <f>+'WICHE Public Grads-RE PROJ'!JM28/'WICHE Public Grads-RE PROJ'!AA28</f>
        <v>0.57756921079491974</v>
      </c>
      <c r="HX26" s="268">
        <f>+'WICHE Public Grads-RE PROJ'!JN28/'WICHE Public Grads-RE PROJ'!AB28</f>
        <v>0.56720187475895179</v>
      </c>
      <c r="HY26" s="266">
        <f>+'WICHE Public Grads-RE PROJ'!JO28/'WICHE Public Grads-RE PROJ'!AC28</f>
        <v>0.55054945483222772</v>
      </c>
      <c r="HZ26" s="266">
        <f>+'WICHE Public Grads-RE PROJ'!JP28/'WICHE Public Grads-RE PROJ'!AD28</f>
        <v>0.54721609705000573</v>
      </c>
      <c r="IA26" s="266">
        <f>+'WICHE Public Grads-RE PROJ'!JQ28/'WICHE Public Grads-RE PROJ'!AE28</f>
        <v>0.54445144706370585</v>
      </c>
      <c r="IB26" s="266">
        <f>+'WICHE Public Grads-RE PROJ'!JR28/'WICHE Public Grads-RE PROJ'!AF28</f>
        <v>0.55326495219874139</v>
      </c>
      <c r="IC26" s="266">
        <f>+'WICHE Public Grads-RE PROJ'!JS28/'WICHE Public Grads-RE PROJ'!AG28</f>
        <v>0.54890803785672648</v>
      </c>
      <c r="ID26" s="268">
        <f>+'WICHE Public Grads-RE PROJ'!JT28/'WICHE Public Grads-RE PROJ'!AH28</f>
        <v>0.53067903469321398</v>
      </c>
      <c r="IE26" s="266">
        <f>+'WICHE Public Grads-RE PROJ'!JU28/'WICHE Public Grads-RE PROJ'!AI28</f>
        <v>0.53382631132808167</v>
      </c>
      <c r="IF26" s="266">
        <f>+'WICHE Public Grads-RE PROJ'!JV28/'WICHE Public Grads-RE PROJ'!AJ28</f>
        <v>0.51680419406893829</v>
      </c>
      <c r="IG26" s="266">
        <f>+'WICHE Public Grads-RE PROJ'!JW28/'WICHE Public Grads-RE PROJ'!AK28</f>
        <v>0.5301838599280263</v>
      </c>
      <c r="IH26" s="266">
        <f>+'WICHE Public Grads-RE PROJ'!JX28/'WICHE Public Grads-RE PROJ'!AL28</f>
        <v>0.51737167779470028</v>
      </c>
      <c r="II26" s="266">
        <f>+'WICHE Public Grads-RE PROJ'!JY28/'WICHE Public Grads-RE PROJ'!AM28</f>
        <v>0.52016651997938679</v>
      </c>
      <c r="IJ26" s="266">
        <f>+'WICHE Public Grads-RE PROJ'!JZ28/'WICHE Public Grads-RE PROJ'!AN28</f>
        <v>0.48603399195762381</v>
      </c>
      <c r="IK26" s="266">
        <f>+'WICHE Public Grads-RE PROJ'!KA28/'WICHE Public Grads-RE PROJ'!AO28</f>
        <v>0.47186759440874088</v>
      </c>
      <c r="IL26" s="266">
        <f>+'WICHE Public Grads-RE PROJ'!KB28/'WICHE Public Grads-RE PROJ'!AP28</f>
        <v>0.53040282078331313</v>
      </c>
      <c r="IM26" s="282">
        <f>+'WICHE Public Grads-RE PROJ'!KC28/'WICHE Public Grads-RE PROJ'!AQ28</f>
        <v>0.52656406236412634</v>
      </c>
      <c r="IN26" s="278">
        <f t="shared" ref="IN26:IN39" si="44">+B26+DU26+FJ26+GY26</f>
        <v>1</v>
      </c>
      <c r="IO26" s="278">
        <f t="shared" ref="IO26:IO39" si="45">+C26+DV26+FK26+GZ26</f>
        <v>1</v>
      </c>
      <c r="IP26" s="278">
        <f t="shared" ref="IP26:IP39" si="46">+D26+DW26+FL26+HA26</f>
        <v>1</v>
      </c>
      <c r="IQ26" s="278">
        <f t="shared" ref="IQ26:IQ39" si="47">+E26+DX26+FM26+HB26</f>
        <v>1</v>
      </c>
      <c r="IR26" s="278">
        <f t="shared" ref="IR26:IR39" si="48">+F26+DY26+FN26+HC26</f>
        <v>1</v>
      </c>
      <c r="IS26" s="278">
        <f t="shared" ref="IS26:IS39" si="49">+G26+DZ26+FO26+HD26</f>
        <v>1</v>
      </c>
      <c r="IT26" s="278">
        <f t="shared" ref="IT26:IT39" si="50">+H26+EA26+FP26+HE26</f>
        <v>1</v>
      </c>
      <c r="IU26" s="278">
        <f t="shared" ref="IU26:IU39" si="51">+I26+EB26+FQ26+HF26</f>
        <v>1</v>
      </c>
      <c r="IV26" s="278">
        <f t="shared" ref="IV26:IV39" si="52">+J26+EC26+FR26+HG26</f>
        <v>1</v>
      </c>
      <c r="IW26" s="278">
        <f t="shared" ref="IW26:IW39" si="53">+K26+ED26+FS26+HH26</f>
        <v>1</v>
      </c>
      <c r="IX26" s="278">
        <f t="shared" ref="IX26:IX39" si="54">+L26+EE26+FT26+HI26</f>
        <v>1</v>
      </c>
      <c r="IY26" s="278">
        <f t="shared" ref="IY26:IY39" si="55">+M26+EF26+FU26+HJ26</f>
        <v>1</v>
      </c>
      <c r="IZ26" s="278">
        <f t="shared" ref="IZ26:IZ39" si="56">+N26+EG26+FV26+HK26</f>
        <v>1</v>
      </c>
      <c r="JA26" s="278">
        <f t="shared" ref="JA26:JA39" si="57">+O26+EH26+FW26+HL26</f>
        <v>0.9830655666521928</v>
      </c>
      <c r="JB26" s="278">
        <f t="shared" ref="JB26:JB39" si="58">+P26+EI26+FX26+HM26</f>
        <v>1</v>
      </c>
      <c r="JC26" s="278">
        <f t="shared" ref="JC26:JC39" si="59">+Q26+EJ26+FY26+HN26</f>
        <v>1</v>
      </c>
      <c r="JD26" s="278">
        <f t="shared" ref="JD26:JD39" si="60">+R26+EK26+FZ26+HO26</f>
        <v>0.95366008911521338</v>
      </c>
      <c r="JE26" s="278">
        <f t="shared" ref="JE26:JE39" si="61">+S26+EL26+GA26+HP26</f>
        <v>1.01486013986014</v>
      </c>
      <c r="JF26" s="278">
        <f t="shared" ref="JF26:JF39" si="62">+T26+EM26+GB26+HQ26</f>
        <v>1</v>
      </c>
      <c r="JG26" s="278">
        <f t="shared" ref="JG26:JG39" si="63">+U26+EN26+GC26+HR26</f>
        <v>1</v>
      </c>
      <c r="JH26" s="278">
        <f t="shared" ref="JH26:JH39" si="64">+V26+EO26+GD26+HS26</f>
        <v>1</v>
      </c>
      <c r="JI26" s="278">
        <f t="shared" ref="JI26:JI39" si="65">+W26+EP26+GE26+HT26</f>
        <v>1</v>
      </c>
      <c r="JJ26" s="278">
        <f t="shared" ref="JJ26:JJ39" si="66">+X26+EQ26+GF26+HU26</f>
        <v>0.9920273419743697</v>
      </c>
      <c r="JK26" s="278">
        <f t="shared" ref="JK26:JK39" si="67">+Y26+ER26+GG26+HV26</f>
        <v>0.98818992972457642</v>
      </c>
      <c r="JL26" s="278">
        <f t="shared" ref="JL26:JL39" si="68">+Z26+ES26+GH26+HW26</f>
        <v>0.9844754643218554</v>
      </c>
      <c r="JM26" s="278">
        <f t="shared" ref="JM26:JM39" si="69">+AA26+ET26+GI26+HX26</f>
        <v>0.98191126336155021</v>
      </c>
      <c r="JN26" s="278">
        <f t="shared" ref="JN26:JN39" si="70">+AB26+EU26+GJ26+HY26</f>
        <v>0.97728498212315318</v>
      </c>
      <c r="JO26" s="278">
        <f t="shared" ref="JO26:JO39" si="71">+AC26+EV26+GK26+HZ26</f>
        <v>0.97323539228862699</v>
      </c>
      <c r="JP26" s="278">
        <f t="shared" ref="JP26:JP39" si="72">+AD26+EW26+GL26+IA26</f>
        <v>0.97030762477071142</v>
      </c>
      <c r="JQ26" s="278">
        <f t="shared" ref="JQ26:JQ39" si="73">+AE26+EX26+GM26+IB26</f>
        <v>0.96782863114086393</v>
      </c>
      <c r="JR26" s="278">
        <f t="shared" ref="JR26:JR39" si="74">+AF26+EY26+GN26+IC26</f>
        <v>0.96429433187563818</v>
      </c>
      <c r="JS26" s="278">
        <f t="shared" ref="JS26:JS39" si="75">+AG26+EZ26+GO26+ID26</f>
        <v>0.96125649895964727</v>
      </c>
      <c r="JT26" s="278">
        <f t="shared" ref="JT26:JT39" si="76">+AH26+FA26+GP26+IE26</f>
        <v>0.95881215765389882</v>
      </c>
      <c r="JU26" s="278">
        <f t="shared" ref="JU26:JU39" si="77">+AI26+FB26+GQ26+IF26</f>
        <v>0.95536804801258479</v>
      </c>
      <c r="JV26" s="278">
        <f t="shared" ref="JV26:JV39" si="78">+AJ26+FC26+GR26+IG26</f>
        <v>0.96465650505493783</v>
      </c>
      <c r="JW26" s="278">
        <f t="shared" ref="JW26:JW39" si="79">+AK26+FD26+GS26+IH26</f>
        <v>0.96526923269164411</v>
      </c>
      <c r="JX26" s="278">
        <f t="shared" ref="JX26:JX39" si="80">+AL26+FE26+GT26+II26</f>
        <v>0.96446423015946325</v>
      </c>
      <c r="JY26" s="278">
        <f t="shared" ref="JY26:KB39" si="81">+AM26+FF26+GU26+IJ26</f>
        <v>0.92641762788326465</v>
      </c>
      <c r="JZ26" s="278">
        <f t="shared" si="81"/>
        <v>0.91081484850233574</v>
      </c>
      <c r="KA26" s="278">
        <f t="shared" si="81"/>
        <v>0.95446199664774101</v>
      </c>
      <c r="KB26" s="278">
        <f t="shared" si="81"/>
        <v>0.95320573230904104</v>
      </c>
    </row>
    <row r="27" spans="1:288" s="17" customFormat="1">
      <c r="A27" s="175" t="s">
        <v>52</v>
      </c>
      <c r="B27" s="262">
        <f>+'WICHE Public Grads-RE PROJ'!AR29/'WICHE Public Grads-RE PROJ'!B29</f>
        <v>8.5113868986693958E-2</v>
      </c>
      <c r="C27" s="262">
        <f>+'WICHE Public Grads-RE PROJ'!AS29/'WICHE Public Grads-RE PROJ'!C29</f>
        <v>8.7756323432135325E-2</v>
      </c>
      <c r="D27" s="262">
        <f>+'WICHE Public Grads-RE PROJ'!AT29/'WICHE Public Grads-RE PROJ'!D29</f>
        <v>8.791939171585049E-2</v>
      </c>
      <c r="E27" s="262">
        <f>+'WICHE Public Grads-RE PROJ'!AU29/'WICHE Public Grads-RE PROJ'!E29</f>
        <v>8.7547194165671693E-2</v>
      </c>
      <c r="F27" s="262">
        <f>+'WICHE Public Grads-RE PROJ'!AV29/'WICHE Public Grads-RE PROJ'!F29</f>
        <v>8.311117035457212E-2</v>
      </c>
      <c r="G27" s="262">
        <f>+'WICHE Public Grads-RE PROJ'!AW29/'WICHE Public Grads-RE PROJ'!G29</f>
        <v>8.7260137315885222E-2</v>
      </c>
      <c r="H27" s="267">
        <f>+'WICHE Public Grads-RE PROJ'!AX29/'WICHE Public Grads-RE PROJ'!H29</f>
        <v>8.8363906383212787E-2</v>
      </c>
      <c r="I27" s="267">
        <f>+'WICHE Public Grads-RE PROJ'!AY29/'WICHE Public Grads-RE PROJ'!I29</f>
        <v>8.9845499328257944E-2</v>
      </c>
      <c r="J27" s="267">
        <f>+'WICHE Public Grads-RE PROJ'!AZ29/'WICHE Public Grads-RE PROJ'!J29</f>
        <v>8.3646616541353386E-2</v>
      </c>
      <c r="K27" s="267">
        <f>+'WICHE Public Grads-RE PROJ'!BA29/'WICHE Public Grads-RE PROJ'!K29</f>
        <v>8.7250762608863108E-2</v>
      </c>
      <c r="L27" s="262">
        <f>+'WICHE Public Grads-RE PROJ'!BB29/'WICHE Public Grads-RE PROJ'!L29</f>
        <v>8.5808161102278749E-2</v>
      </c>
      <c r="M27" s="267">
        <f>+'WICHE Public Grads-RE PROJ'!BC29/'WICHE Public Grads-RE PROJ'!M29</f>
        <v>8.1722882407073982E-2</v>
      </c>
      <c r="N27" s="267">
        <f>+'WICHE Public Grads-RE PROJ'!BD29/'WICHE Public Grads-RE PROJ'!N29</f>
        <v>8.2293223169552607E-2</v>
      </c>
      <c r="O27" s="267">
        <f>+'WICHE Public Grads-RE PROJ'!BE29/'WICHE Public Grads-RE PROJ'!O29</f>
        <v>9.628895088910551E-2</v>
      </c>
      <c r="P27" s="267">
        <f>+'WICHE Public Grads-RE PROJ'!BF29/'WICHE Public Grads-RE PROJ'!P29</f>
        <v>8.2601541846148152E-2</v>
      </c>
      <c r="Q27" s="267">
        <f>+'WICHE Public Grads-RE PROJ'!BG29/'WICHE Public Grads-RE PROJ'!Q29</f>
        <v>8.6731958394395403E-2</v>
      </c>
      <c r="R27" s="267">
        <f>+'WICHE Public Grads-RE PROJ'!BH29/'WICHE Public Grads-RE PROJ'!R29</f>
        <v>8.9237355473754193E-2</v>
      </c>
      <c r="S27" s="267">
        <f>+'WICHE Public Grads-RE PROJ'!BI29/'WICHE Public Grads-RE PROJ'!S29</f>
        <v>8.5821015166575823E-2</v>
      </c>
      <c r="T27" s="267">
        <f>+'WICHE Public Grads-RE PROJ'!BJ29/'WICHE Public Grads-RE PROJ'!T29</f>
        <v>8.5845122250388414E-2</v>
      </c>
      <c r="U27" s="267">
        <f>+'WICHE Public Grads-RE PROJ'!BK29/'WICHE Public Grads-RE PROJ'!U29</f>
        <v>8.5035891339195244E-2</v>
      </c>
      <c r="V27" s="267">
        <f>+'WICHE Public Grads-RE PROJ'!BL29/'WICHE Public Grads-RE PROJ'!V29</f>
        <v>8.5182016664904742E-2</v>
      </c>
      <c r="W27" s="267">
        <f>+'WICHE Public Grads-RE PROJ'!BM29/'WICHE Public Grads-RE PROJ'!W29</f>
        <v>8.4587503992860261E-2</v>
      </c>
      <c r="X27" s="268">
        <f>+'WICHE Public Grads-RE PROJ'!BN29/'WICHE Public Grads-RE PROJ'!Y29</f>
        <v>8.1072565133330221E-2</v>
      </c>
      <c r="Y27" s="268">
        <f>+'WICHE Public Grads-RE PROJ'!BO29/'WICHE Public Grads-RE PROJ'!Z29</f>
        <v>7.8784531979257971E-2</v>
      </c>
      <c r="Z27" s="268">
        <f>+'WICHE Public Grads-RE PROJ'!BP29/'WICHE Public Grads-RE PROJ'!AA29</f>
        <v>8.0175738378392286E-2</v>
      </c>
      <c r="AA27" s="268">
        <f>+'WICHE Public Grads-RE PROJ'!BQ29/'WICHE Public Grads-RE PROJ'!AB29</f>
        <v>8.0875915831573372E-2</v>
      </c>
      <c r="AB27" s="266">
        <f>+'WICHE Public Grads-RE PROJ'!BR29/'WICHE Public Grads-RE PROJ'!AC29</f>
        <v>7.9008023424564228E-2</v>
      </c>
      <c r="AC27" s="266">
        <f>+'WICHE Public Grads-RE PROJ'!BS29/'WICHE Public Grads-RE PROJ'!AD29</f>
        <v>7.8411883058385257E-2</v>
      </c>
      <c r="AD27" s="266">
        <f>+'WICHE Public Grads-RE PROJ'!BT29/'WICHE Public Grads-RE PROJ'!AE29</f>
        <v>7.7937130548899308E-2</v>
      </c>
      <c r="AE27" s="266">
        <f>+'WICHE Public Grads-RE PROJ'!BU29/'WICHE Public Grads-RE PROJ'!AF29</f>
        <v>7.8182674864966467E-2</v>
      </c>
      <c r="AF27" s="266">
        <f>+'WICHE Public Grads-RE PROJ'!BV29/'WICHE Public Grads-RE PROJ'!AG29</f>
        <v>7.9815701184550322E-2</v>
      </c>
      <c r="AG27" s="268">
        <f>+'WICHE Public Grads-RE PROJ'!BW29/'WICHE Public Grads-RE PROJ'!AH29</f>
        <v>7.8325030209468557E-2</v>
      </c>
      <c r="AH27" s="266">
        <f>+'WICHE Public Grads-RE PROJ'!BX29/'WICHE Public Grads-RE PROJ'!AI29</f>
        <v>7.5631337070854801E-2</v>
      </c>
      <c r="AI27" s="266">
        <f>+'WICHE Public Grads-RE PROJ'!BY29/'WICHE Public Grads-RE PROJ'!AJ29</f>
        <v>7.5162412265775538E-2</v>
      </c>
      <c r="AJ27" s="266">
        <f>+'WICHE Public Grads-RE PROJ'!BZ29/'WICHE Public Grads-RE PROJ'!AK29</f>
        <v>8.1913355454606096E-2</v>
      </c>
      <c r="AK27" s="266">
        <f>+'WICHE Public Grads-RE PROJ'!CA29/'WICHE Public Grads-RE PROJ'!AL29</f>
        <v>8.4802178912861126E-2</v>
      </c>
      <c r="AL27" s="266">
        <f>+'WICHE Public Grads-RE PROJ'!CB29/'WICHE Public Grads-RE PROJ'!AM29</f>
        <v>8.675904895443072E-2</v>
      </c>
      <c r="AM27" s="266">
        <f>+'WICHE Public Grads-RE PROJ'!CC29/'WICHE Public Grads-RE PROJ'!AN29</f>
        <v>8.9783293841302861E-2</v>
      </c>
      <c r="AN27" s="266">
        <f>+'WICHE Public Grads-RE PROJ'!CD29/'WICHE Public Grads-RE PROJ'!AO29</f>
        <v>9.1835881021365584E-2</v>
      </c>
      <c r="AO27" s="266">
        <f>+'WICHE Public Grads-RE PROJ'!CE29/'WICHE Public Grads-RE PROJ'!AP29</f>
        <v>9.0442441061403589E-2</v>
      </c>
      <c r="AP27" s="282">
        <f>+'WICHE Public Grads-RE PROJ'!CF29/'WICHE Public Grads-RE PROJ'!AQ29</f>
        <v>8.4489799017396186E-2</v>
      </c>
      <c r="AQ27" s="262">
        <f>+'WICHE Public Grads-RE PROJ'!CG29/'WICHE Public Grads-RE PROJ'!B29</f>
        <v>6.3555527123848515E-2</v>
      </c>
      <c r="AR27" s="262">
        <f>+'WICHE Public Grads-RE PROJ'!CH29/'WICHE Public Grads-RE PROJ'!C29</f>
        <v>6.4919519954641389E-2</v>
      </c>
      <c r="AS27" s="262">
        <f>+'WICHE Public Grads-RE PROJ'!CI29/'WICHE Public Grads-RE PROJ'!D29</f>
        <v>6.4390918275110329E-2</v>
      </c>
      <c r="AT27" s="262">
        <f>+'WICHE Public Grads-RE PROJ'!CJ29/'WICHE Public Grads-RE PROJ'!E29</f>
        <v>6.2731937138984797E-2</v>
      </c>
      <c r="AU27" s="262">
        <f>+'WICHE Public Grads-RE PROJ'!CK29/'WICHE Public Grads-RE PROJ'!F29</f>
        <v>5.7784590775793121E-2</v>
      </c>
      <c r="AV27" s="262">
        <f>+'WICHE Public Grads-RE PROJ'!CL29/'WICHE Public Grads-RE PROJ'!G29</f>
        <v>6.2760401384895248E-2</v>
      </c>
      <c r="AW27" s="267">
        <f>+'WICHE Public Grads-RE PROJ'!CM29/'WICHE Public Grads-RE PROJ'!H29</f>
        <v>6.4244657737685978E-2</v>
      </c>
      <c r="AX27" s="267">
        <f>+'WICHE Public Grads-RE PROJ'!CN29/'WICHE Public Grads-RE PROJ'!I29</f>
        <v>6.5662785490371703E-2</v>
      </c>
      <c r="AY27" s="267">
        <f>+'WICHE Public Grads-RE PROJ'!CO29/'WICHE Public Grads-RE PROJ'!J29</f>
        <v>5.9863199665831243E-2</v>
      </c>
      <c r="AZ27" s="267">
        <f>+'WICHE Public Grads-RE PROJ'!CP29/'WICHE Public Grads-RE PROJ'!K29</f>
        <v>6.1372497528513044E-2</v>
      </c>
      <c r="BA27" s="262">
        <f>+'WICHE Public Grads-RE PROJ'!CQ29/'WICHE Public Grads-RE PROJ'!L29</f>
        <v>5.8547959724430311E-2</v>
      </c>
      <c r="BB27" s="267">
        <f>+'WICHE Public Grads-RE PROJ'!CR29/'WICHE Public Grads-RE PROJ'!M29</f>
        <v>5.3875085023806668E-2</v>
      </c>
      <c r="BC27" s="267">
        <f>+'WICHE Public Grads-RE PROJ'!CS29/'WICHE Public Grads-RE PROJ'!N29</f>
        <v>5.6495561220005271E-2</v>
      </c>
      <c r="BD27" s="267">
        <f>+'WICHE Public Grads-RE PROJ'!CT29/'WICHE Public Grads-RE PROJ'!O29</f>
        <v>6.9565363541631647E-2</v>
      </c>
      <c r="BE27" s="267">
        <f>+'WICHE Public Grads-RE PROJ'!CU29/'WICHE Public Grads-RE PROJ'!P29</f>
        <v>5.1376384241371024E-2</v>
      </c>
      <c r="BF27" s="267">
        <f>+'WICHE Public Grads-RE PROJ'!CV29/'WICHE Public Grads-RE PROJ'!Q29</f>
        <v>5.6367730635879472E-2</v>
      </c>
      <c r="BG27" s="267">
        <f>+'WICHE Public Grads-RE PROJ'!CW29/'WICHE Public Grads-RE PROJ'!R29</f>
        <v>5.8783466035318727E-2</v>
      </c>
      <c r="BH27" s="267">
        <f>+'WICHE Public Grads-RE PROJ'!CX29/'WICHE Public Grads-RE PROJ'!S29</f>
        <v>5.3644146599544681E-2</v>
      </c>
      <c r="BI27" s="267">
        <f>+'WICHE Public Grads-RE PROJ'!CY29/'WICHE Public Grads-RE PROJ'!T29</f>
        <v>5.5114890833265193E-2</v>
      </c>
      <c r="BJ27" s="267">
        <f>+'WICHE Public Grads-RE PROJ'!CZ29/'WICHE Public Grads-RE PROJ'!U29</f>
        <v>5.1880165908629261E-2</v>
      </c>
      <c r="BK27" s="267">
        <f>+'WICHE Public Grads-RE PROJ'!DA29/'WICHE Public Grads-RE PROJ'!V29</f>
        <v>5.1117874384811461E-2</v>
      </c>
      <c r="BL27" s="267">
        <f>+'WICHE Public Grads-RE PROJ'!DB29/'WICHE Public Grads-RE PROJ'!W29</f>
        <v>4.6661677326304496E-2</v>
      </c>
      <c r="BM27" s="268">
        <f>+'WICHE Public Grads-RE PROJ'!DC29/'WICHE Public Grads-RE PROJ'!Y29</f>
        <v>4.5071690071368596E-2</v>
      </c>
      <c r="BN27" s="268">
        <f>+'WICHE Public Grads-RE PROJ'!DD29/'WICHE Public Grads-RE PROJ'!Z29</f>
        <v>4.4130440587528595E-2</v>
      </c>
      <c r="BO27" s="268">
        <f>+'WICHE Public Grads-RE PROJ'!DE29/'WICHE Public Grads-RE PROJ'!AA29</f>
        <v>4.5233790377144735E-2</v>
      </c>
      <c r="BP27" s="268">
        <f>+'WICHE Public Grads-RE PROJ'!DF29/'WICHE Public Grads-RE PROJ'!AB29</f>
        <v>4.5202456511238165E-2</v>
      </c>
      <c r="BQ27" s="266">
        <f>+'WICHE Public Grads-RE PROJ'!DG29/'WICHE Public Grads-RE PROJ'!AC29</f>
        <v>4.2186340763043388E-2</v>
      </c>
      <c r="BR27" s="266">
        <f>+'WICHE Public Grads-RE PROJ'!DH29/'WICHE Public Grads-RE PROJ'!AD29</f>
        <v>4.0226583865389985E-2</v>
      </c>
      <c r="BS27" s="266">
        <f>+'WICHE Public Grads-RE PROJ'!DI29/'WICHE Public Grads-RE PROJ'!AE29</f>
        <v>4.1268716733823728E-2</v>
      </c>
      <c r="BT27" s="266">
        <f>+'WICHE Public Grads-RE PROJ'!DJ29/'WICHE Public Grads-RE PROJ'!AF29</f>
        <v>4.0140034599836623E-2</v>
      </c>
      <c r="BU27" s="266">
        <f>+'WICHE Public Grads-RE PROJ'!DK29/'WICHE Public Grads-RE PROJ'!AG29</f>
        <v>4.0773008337506959E-2</v>
      </c>
      <c r="BV27" s="268">
        <f>+'WICHE Public Grads-RE PROJ'!DL29/'WICHE Public Grads-RE PROJ'!AH29</f>
        <v>4.0363096678176502E-2</v>
      </c>
      <c r="BW27" s="266">
        <f>+'WICHE Public Grads-RE PROJ'!DM29/'WICHE Public Grads-RE PROJ'!AI29</f>
        <v>3.8676029226613208E-2</v>
      </c>
      <c r="BX27" s="266">
        <f>+'WICHE Public Grads-RE PROJ'!DN29/'WICHE Public Grads-RE PROJ'!AJ29</f>
        <v>3.7976855783575701E-2</v>
      </c>
      <c r="BY27" s="266">
        <f>+'WICHE Public Grads-RE PROJ'!DO29/'WICHE Public Grads-RE PROJ'!AK29</f>
        <v>3.9679464920834823E-2</v>
      </c>
      <c r="BZ27" s="266">
        <f>+'WICHE Public Grads-RE PROJ'!DP29/'WICHE Public Grads-RE PROJ'!AL29</f>
        <v>4.0953848346464233E-2</v>
      </c>
      <c r="CA27" s="266">
        <f>+'WICHE Public Grads-RE PROJ'!DQ29/'WICHE Public Grads-RE PROJ'!AM29</f>
        <v>4.1246209933242586E-2</v>
      </c>
      <c r="CB27" s="266">
        <f>+'WICHE Public Grads-RE PROJ'!DR29/'WICHE Public Grads-RE PROJ'!AN29</f>
        <v>4.1305927778979935E-2</v>
      </c>
      <c r="CC27" s="266">
        <f>+'WICHE Public Grads-RE PROJ'!DS29/'WICHE Public Grads-RE PROJ'!AO29</f>
        <v>4.0639908989895203E-2</v>
      </c>
      <c r="CD27" s="266">
        <f>+'WICHE Public Grads-RE PROJ'!DT29/'WICHE Public Grads-RE PROJ'!AP29</f>
        <v>4.0077168884546335E-2</v>
      </c>
      <c r="CE27" s="282">
        <f>+'WICHE Public Grads-RE PROJ'!DU29/'WICHE Public Grads-RE PROJ'!AQ29</f>
        <v>3.5833608927653866E-2</v>
      </c>
      <c r="CF27" s="262">
        <f>+'WICHE Public Grads-RE PROJ'!DV29/'WICHE Public Grads-RE PROJ'!B29</f>
        <v>2.1558341862845446E-2</v>
      </c>
      <c r="CG27" s="262">
        <f>+'WICHE Public Grads-RE PROJ'!DW29/'WICHE Public Grads-RE PROJ'!C29</f>
        <v>2.2836803477493936E-2</v>
      </c>
      <c r="CH27" s="262">
        <f>+'WICHE Public Grads-RE PROJ'!DX29/'WICHE Public Grads-RE PROJ'!D29</f>
        <v>2.352847344074015E-2</v>
      </c>
      <c r="CI27" s="262">
        <f>+'WICHE Public Grads-RE PROJ'!DY29/'WICHE Public Grads-RE PROJ'!E29</f>
        <v>2.4815257026686889E-2</v>
      </c>
      <c r="CJ27" s="262">
        <f>+'WICHE Public Grads-RE PROJ'!DZ29/'WICHE Public Grads-RE PROJ'!F29</f>
        <v>2.5326579578778992E-2</v>
      </c>
      <c r="CK27" s="262">
        <f>+'WICHE Public Grads-RE PROJ'!EA29/'WICHE Public Grads-RE PROJ'!G29</f>
        <v>2.4499735930989964E-2</v>
      </c>
      <c r="CL27" s="267">
        <f>+'WICHE Public Grads-RE PROJ'!EB29/'WICHE Public Grads-RE PROJ'!H29</f>
        <v>2.4119248645526802E-2</v>
      </c>
      <c r="CM27" s="267">
        <f>+'WICHE Public Grads-RE PROJ'!EC29/'WICHE Public Grads-RE PROJ'!I29</f>
        <v>2.4182713837886251E-2</v>
      </c>
      <c r="CN27" s="267">
        <f>+'WICHE Public Grads-RE PROJ'!ED29/'WICHE Public Grads-RE PROJ'!J29</f>
        <v>2.3783416875522139E-2</v>
      </c>
      <c r="CO27" s="267">
        <f>+'WICHE Public Grads-RE PROJ'!EE29/'WICHE Public Grads-RE PROJ'!K29</f>
        <v>2.5878265080350075E-2</v>
      </c>
      <c r="CP27" s="262">
        <f>+'WICHE Public Grads-RE PROJ'!EF29/'WICHE Public Grads-RE PROJ'!L29</f>
        <v>2.7260201377848438E-2</v>
      </c>
      <c r="CQ27" s="267">
        <f>+'WICHE Public Grads-RE PROJ'!EG29/'WICHE Public Grads-RE PROJ'!M29</f>
        <v>2.7847797383267314E-2</v>
      </c>
      <c r="CR27" s="267">
        <f>+'WICHE Public Grads-RE PROJ'!EH29/'WICHE Public Grads-RE PROJ'!N29</f>
        <v>2.5797661949547333E-2</v>
      </c>
      <c r="CS27" s="267">
        <f>+'WICHE Public Grads-RE PROJ'!EI29/'WICHE Public Grads-RE PROJ'!O29</f>
        <v>2.6723587347473866E-2</v>
      </c>
      <c r="CT27" s="267">
        <f>+'WICHE Public Grads-RE PROJ'!EJ29/'WICHE Public Grads-RE PROJ'!P29</f>
        <v>3.1225157604777135E-2</v>
      </c>
      <c r="CU27" s="267">
        <f>+'WICHE Public Grads-RE PROJ'!EK29/'WICHE Public Grads-RE PROJ'!Q29</f>
        <v>3.0364227758515924E-2</v>
      </c>
      <c r="CV27" s="267">
        <f>+'WICHE Public Grads-RE PROJ'!EL29/'WICHE Public Grads-RE PROJ'!R29</f>
        <v>3.0453889438435466E-2</v>
      </c>
      <c r="CW27" s="267">
        <f>+'WICHE Public Grads-RE PROJ'!EM29/'WICHE Public Grads-RE PROJ'!S29</f>
        <v>3.2176868567031135E-2</v>
      </c>
      <c r="CX27" s="267">
        <f>+'WICHE Public Grads-RE PROJ'!EN29/'WICHE Public Grads-RE PROJ'!T29</f>
        <v>3.0730231417123232E-2</v>
      </c>
      <c r="CY27" s="267">
        <f>+'WICHE Public Grads-RE PROJ'!EO29/'WICHE Public Grads-RE PROJ'!U29</f>
        <v>3.315572543056599E-2</v>
      </c>
      <c r="CZ27" s="267">
        <f>+'WICHE Public Grads-RE PROJ'!EP29/'WICHE Public Grads-RE PROJ'!V29</f>
        <v>3.4064142280093294E-2</v>
      </c>
      <c r="DA27" s="267">
        <f>+'WICHE Public Grads-RE PROJ'!EQ29/'WICHE Public Grads-RE PROJ'!W29</f>
        <v>3.7925826666555772E-2</v>
      </c>
      <c r="DB27" s="268">
        <f>+'WICHE Public Grads-RE PROJ'!ER29/'WICHE Public Grads-RE PROJ'!Y29</f>
        <v>3.6000875061961618E-2</v>
      </c>
      <c r="DC27" s="268">
        <f>+'WICHE Public Grads-RE PROJ'!ES29/'WICHE Public Grads-RE PROJ'!Z29</f>
        <v>3.4654091391729376E-2</v>
      </c>
      <c r="DD27" s="268">
        <f>+'WICHE Public Grads-RE PROJ'!ET29/'WICHE Public Grads-RE PROJ'!AA29</f>
        <v>3.4941948001247544E-2</v>
      </c>
      <c r="DE27" s="268">
        <f>+'WICHE Public Grads-RE PROJ'!EU29/'WICHE Public Grads-RE PROJ'!AB29</f>
        <v>3.5673459320335207E-2</v>
      </c>
      <c r="DF27" s="266">
        <f>+'WICHE Public Grads-RE PROJ'!EV29/'WICHE Public Grads-RE PROJ'!AC29</f>
        <v>3.6821682661520833E-2</v>
      </c>
      <c r="DG27" s="266">
        <f>+'WICHE Public Grads-RE PROJ'!EW29/'WICHE Public Grads-RE PROJ'!AD29</f>
        <v>3.8185299192995278E-2</v>
      </c>
      <c r="DH27" s="266">
        <f>+'WICHE Public Grads-RE PROJ'!EX29/'WICHE Public Grads-RE PROJ'!AE29</f>
        <v>3.6668413815075573E-2</v>
      </c>
      <c r="DI27" s="266">
        <f>+'WICHE Public Grads-RE PROJ'!EY29/'WICHE Public Grads-RE PROJ'!AF29</f>
        <v>3.8042640265129851E-2</v>
      </c>
      <c r="DJ27" s="266">
        <f>+'WICHE Public Grads-RE PROJ'!EZ29/'WICHE Public Grads-RE PROJ'!AG29</f>
        <v>3.9042692847043363E-2</v>
      </c>
      <c r="DK27" s="268">
        <f>+'WICHE Public Grads-RE PROJ'!FA29/'WICHE Public Grads-RE PROJ'!AH29</f>
        <v>3.7961933531292048E-2</v>
      </c>
      <c r="DL27" s="266">
        <f>+'WICHE Public Grads-RE PROJ'!FB29/'WICHE Public Grads-RE PROJ'!AI29</f>
        <v>3.6955307844241593E-2</v>
      </c>
      <c r="DM27" s="266">
        <f>+'WICHE Public Grads-RE PROJ'!FC29/'WICHE Public Grads-RE PROJ'!AJ29</f>
        <v>3.7185556482199844E-2</v>
      </c>
      <c r="DN27" s="266">
        <f>+'WICHE Public Grads-RE PROJ'!FD29/'WICHE Public Grads-RE PROJ'!AK29</f>
        <v>4.223389053377128E-2</v>
      </c>
      <c r="DO27" s="266">
        <f>+'WICHE Public Grads-RE PROJ'!FE29/'WICHE Public Grads-RE PROJ'!AL29</f>
        <v>4.3848330566396886E-2</v>
      </c>
      <c r="DP27" s="266">
        <f>+'WICHE Public Grads-RE PROJ'!FF29/'WICHE Public Grads-RE PROJ'!AM29</f>
        <v>4.5512839021188127E-2</v>
      </c>
      <c r="DQ27" s="266">
        <f>+'WICHE Public Grads-RE PROJ'!FG29/'WICHE Public Grads-RE PROJ'!AN29</f>
        <v>4.8477366062322925E-2</v>
      </c>
      <c r="DR27" s="266">
        <f>+'WICHE Public Grads-RE PROJ'!FH29/'WICHE Public Grads-RE PROJ'!AO29</f>
        <v>5.1195972031470367E-2</v>
      </c>
      <c r="DS27" s="266">
        <f>+'WICHE Public Grads-RE PROJ'!FI29/'WICHE Public Grads-RE PROJ'!AP29</f>
        <v>5.0365272176857254E-2</v>
      </c>
      <c r="DT27" s="282">
        <f>+'WICHE Public Grads-RE PROJ'!FJ29/'WICHE Public Grads-RE PROJ'!AQ29</f>
        <v>4.8656190089742313E-2</v>
      </c>
      <c r="DU27" s="262">
        <f>+'WICHE Public Grads-RE PROJ'!FK29/'WICHE Public Grads-RE PROJ'!B29</f>
        <v>3.5983879222108495E-2</v>
      </c>
      <c r="DV27" s="262">
        <f>+'WICHE Public Grads-RE PROJ'!FL29/'WICHE Public Grads-RE PROJ'!C29</f>
        <v>3.5436419189214731E-2</v>
      </c>
      <c r="DW27" s="262">
        <f>+'WICHE Public Grads-RE PROJ'!FM29/'WICHE Public Grads-RE PROJ'!D29</f>
        <v>3.9134364864146329E-2</v>
      </c>
      <c r="DX27" s="262">
        <f>+'WICHE Public Grads-RE PROJ'!FN29/'WICHE Public Grads-RE PROJ'!E29</f>
        <v>3.6625899512730327E-2</v>
      </c>
      <c r="DY27" s="262">
        <f>+'WICHE Public Grads-RE PROJ'!FO29/'WICHE Public Grads-RE PROJ'!F29</f>
        <v>3.4857371367635295E-2</v>
      </c>
      <c r="DZ27" s="262">
        <f>+'WICHE Public Grads-RE PROJ'!FP29/'WICHE Public Grads-RE PROJ'!G29</f>
        <v>3.6822956399272341E-2</v>
      </c>
      <c r="EA27" s="267">
        <f>+'WICHE Public Grads-RE PROJ'!FQ29/'WICHE Public Grads-RE PROJ'!H29</f>
        <v>3.9465361238689808E-2</v>
      </c>
      <c r="EB27" s="267">
        <f>+'WICHE Public Grads-RE PROJ'!FR29/'WICHE Public Grads-RE PROJ'!I29</f>
        <v>4.1228168383340799E-2</v>
      </c>
      <c r="EC27" s="267">
        <f>+'WICHE Public Grads-RE PROJ'!FS29/'WICHE Public Grads-RE PROJ'!J29</f>
        <v>4.2528195488721804E-2</v>
      </c>
      <c r="ED27" s="267">
        <f>+'WICHE Public Grads-RE PROJ'!FT29/'WICHE Public Grads-RE PROJ'!K29</f>
        <v>4.3615280508420173E-2</v>
      </c>
      <c r="EE27" s="262">
        <f>+'WICHE Public Grads-RE PROJ'!FU29/'WICHE Public Grads-RE PROJ'!L29</f>
        <v>4.2564917859035503E-2</v>
      </c>
      <c r="EF27" s="267">
        <f>+'WICHE Public Grads-RE PROJ'!FV29/'WICHE Public Grads-RE PROJ'!M29</f>
        <v>4.4812547513303727E-2</v>
      </c>
      <c r="EG27" s="267">
        <f>+'WICHE Public Grads-RE PROJ'!FW29/'WICHE Public Grads-RE PROJ'!N29</f>
        <v>4.8431045090973013E-2</v>
      </c>
      <c r="EH27" s="267">
        <f>+'WICHE Public Grads-RE PROJ'!FX29/'WICHE Public Grads-RE PROJ'!O29</f>
        <v>4.6892332515378665E-2</v>
      </c>
      <c r="EI27" s="267">
        <f>+'WICHE Public Grads-RE PROJ'!FY29/'WICHE Public Grads-RE PROJ'!P29</f>
        <v>4.9971344585975484E-2</v>
      </c>
      <c r="EJ27" s="267">
        <f>+'WICHE Public Grads-RE PROJ'!FZ29/'WICHE Public Grads-RE PROJ'!Q29</f>
        <v>5.2364442220395324E-2</v>
      </c>
      <c r="EK27" s="267">
        <f>+'WICHE Public Grads-RE PROJ'!GA29/'WICHE Public Grads-RE PROJ'!R29</f>
        <v>5.5102404851865669E-2</v>
      </c>
      <c r="EL27" s="267">
        <f>+'WICHE Public Grads-RE PROJ'!GB29/'WICHE Public Grads-RE PROJ'!S29</f>
        <v>5.641773816013082E-2</v>
      </c>
      <c r="EM27" s="267">
        <f>+'WICHE Public Grads-RE PROJ'!GC29/'WICHE Public Grads-RE PROJ'!T29</f>
        <v>5.9236241720500453E-2</v>
      </c>
      <c r="EN27" s="267">
        <f>+'WICHE Public Grads-RE PROJ'!GD29/'WICHE Public Grads-RE PROJ'!U29</f>
        <v>5.8584169622476846E-2</v>
      </c>
      <c r="EO27" s="267">
        <f>+'WICHE Public Grads-RE PROJ'!GE29/'WICHE Public Grads-RE PROJ'!V29</f>
        <v>5.6284523920039194E-2</v>
      </c>
      <c r="EP27" s="267">
        <f>+'WICHE Public Grads-RE PROJ'!GF29/'WICHE Public Grads-RE PROJ'!W29</f>
        <v>5.4760460001135235E-2</v>
      </c>
      <c r="EQ27" s="268">
        <f>+'WICHE Public Grads-RE PROJ'!GG29/'WICHE Public Grads-RE PROJ'!Y29</f>
        <v>5.6116020479507304E-2</v>
      </c>
      <c r="ER27" s="268">
        <f>+'WICHE Public Grads-RE PROJ'!GH29/'WICHE Public Grads-RE PROJ'!Z29</f>
        <v>5.4759640826773606E-2</v>
      </c>
      <c r="ES27" s="268">
        <f>+'WICHE Public Grads-RE PROJ'!GI29/'WICHE Public Grads-RE PROJ'!AA29</f>
        <v>5.5904035608791681E-2</v>
      </c>
      <c r="ET27" s="268">
        <f>+'WICHE Public Grads-RE PROJ'!GJ29/'WICHE Public Grads-RE PROJ'!AB29</f>
        <v>5.2182445270539592E-2</v>
      </c>
      <c r="EU27" s="266">
        <f>+'WICHE Public Grads-RE PROJ'!GK29/'WICHE Public Grads-RE PROJ'!AC29</f>
        <v>5.287796034779943E-2</v>
      </c>
      <c r="EV27" s="266">
        <f>+'WICHE Public Grads-RE PROJ'!GL29/'WICHE Public Grads-RE PROJ'!AD29</f>
        <v>5.0694729423651379E-2</v>
      </c>
      <c r="EW27" s="266">
        <f>+'WICHE Public Grads-RE PROJ'!GM29/'WICHE Public Grads-RE PROJ'!AE29</f>
        <v>5.1493439233835217E-2</v>
      </c>
      <c r="EX27" s="266">
        <f>+'WICHE Public Grads-RE PROJ'!GN29/'WICHE Public Grads-RE PROJ'!AF29</f>
        <v>4.9492691448719435E-2</v>
      </c>
      <c r="EY27" s="266">
        <f>+'WICHE Public Grads-RE PROJ'!GO29/'WICHE Public Grads-RE PROJ'!AG29</f>
        <v>4.9690577871594595E-2</v>
      </c>
      <c r="EZ27" s="268">
        <f>+'WICHE Public Grads-RE PROJ'!GP29/'WICHE Public Grads-RE PROJ'!AH29</f>
        <v>4.7797485649410769E-2</v>
      </c>
      <c r="FA27" s="266">
        <f>+'WICHE Public Grads-RE PROJ'!GQ29/'WICHE Public Grads-RE PROJ'!AI29</f>
        <v>4.6593447756260335E-2</v>
      </c>
      <c r="FB27" s="266">
        <f>+'WICHE Public Grads-RE PROJ'!GR29/'WICHE Public Grads-RE PROJ'!AJ29</f>
        <v>4.5501474078981745E-2</v>
      </c>
      <c r="FC27" s="266">
        <f>+'WICHE Public Grads-RE PROJ'!GS29/'WICHE Public Grads-RE PROJ'!AK29</f>
        <v>5.5590176272607872E-2</v>
      </c>
      <c r="FD27" s="266">
        <f>+'WICHE Public Grads-RE PROJ'!GT29/'WICHE Public Grads-RE PROJ'!AL29</f>
        <v>6.0764967922414939E-2</v>
      </c>
      <c r="FE27" s="266">
        <f>+'WICHE Public Grads-RE PROJ'!GU29/'WICHE Public Grads-RE PROJ'!AM29</f>
        <v>6.190856226395753E-2</v>
      </c>
      <c r="FF27" s="266">
        <f>+'WICHE Public Grads-RE PROJ'!GV29/'WICHE Public Grads-RE PROJ'!AN29</f>
        <v>6.2158227080845584E-2</v>
      </c>
      <c r="FG27" s="266">
        <f>+'WICHE Public Grads-RE PROJ'!GW29/'WICHE Public Grads-RE PROJ'!AO29</f>
        <v>6.6829876467964774E-2</v>
      </c>
      <c r="FH27" s="266">
        <f>+'WICHE Public Grads-RE PROJ'!GX29/'WICHE Public Grads-RE PROJ'!AP29</f>
        <v>6.8244549062272397E-2</v>
      </c>
      <c r="FI27" s="282">
        <f>+'WICHE Public Grads-RE PROJ'!GY29/'WICHE Public Grads-RE PROJ'!AQ29</f>
        <v>7.0807004195138065E-2</v>
      </c>
      <c r="FJ27" s="262">
        <f>+'WICHE Public Grads-RE PROJ'!GZ29/'WICHE Public Grads-RE PROJ'!B29</f>
        <v>0.20867451381780963</v>
      </c>
      <c r="FK27" s="262">
        <f>+'WICHE Public Grads-RE PROJ'!HA29/'WICHE Public Grads-RE PROJ'!C29</f>
        <v>0.22159574132988943</v>
      </c>
      <c r="FL27" s="262">
        <f>+'WICHE Public Grads-RE PROJ'!HB29/'WICHE Public Grads-RE PROJ'!D29</f>
        <v>0.23666719838358058</v>
      </c>
      <c r="FM27" s="262">
        <f>+'WICHE Public Grads-RE PROJ'!HC29/'WICHE Public Grads-RE PROJ'!E29</f>
        <v>0.22740327212881992</v>
      </c>
      <c r="FN27" s="262">
        <f>+'WICHE Public Grads-RE PROJ'!HD29/'WICHE Public Grads-RE PROJ'!F29</f>
        <v>0.22833910957078113</v>
      </c>
      <c r="FO27" s="262">
        <f>+'WICHE Public Grads-RE PROJ'!HE29/'WICHE Public Grads-RE PROJ'!G29</f>
        <v>0.23100170177806467</v>
      </c>
      <c r="FP27" s="267">
        <f>+'WICHE Public Grads-RE PROJ'!HF29/'WICHE Public Grads-RE PROJ'!H29</f>
        <v>0.25480597343307387</v>
      </c>
      <c r="FQ27" s="267">
        <f>+'WICHE Public Grads-RE PROJ'!HG29/'WICHE Public Grads-RE PROJ'!I29</f>
        <v>0.24966412897447379</v>
      </c>
      <c r="FR27" s="267">
        <f>+'WICHE Public Grads-RE PROJ'!HH29/'WICHE Public Grads-RE PROJ'!J29</f>
        <v>0.26422827903091062</v>
      </c>
      <c r="FS27" s="267">
        <f>+'WICHE Public Grads-RE PROJ'!HI29/'WICHE Public Grads-RE PROJ'!K29</f>
        <v>0.26678248924742687</v>
      </c>
      <c r="FT27" s="262">
        <f>+'WICHE Public Grads-RE PROJ'!HJ29/'WICHE Public Grads-RE PROJ'!L29</f>
        <v>0.264525702172761</v>
      </c>
      <c r="FU27" s="267">
        <f>+'WICHE Public Grads-RE PROJ'!HK29/'WICHE Public Grads-RE PROJ'!M29</f>
        <v>0.27251630456527826</v>
      </c>
      <c r="FV27" s="267">
        <f>+'WICHE Public Grads-RE PROJ'!HL29/'WICHE Public Grads-RE PROJ'!N29</f>
        <v>0.30486947349916499</v>
      </c>
      <c r="FW27" s="267">
        <f>+'WICHE Public Grads-RE PROJ'!HM29/'WICHE Public Grads-RE PROJ'!O29</f>
        <v>0.29607717906484249</v>
      </c>
      <c r="FX27" s="267">
        <f>+'WICHE Public Grads-RE PROJ'!HN29/'WICHE Public Grads-RE PROJ'!P29</f>
        <v>0.30261965946275721</v>
      </c>
      <c r="FY27" s="267">
        <f>+'WICHE Public Grads-RE PROJ'!HO29/'WICHE Public Grads-RE PROJ'!Q29</f>
        <v>0.31441898702505627</v>
      </c>
      <c r="FZ27" s="267">
        <f>+'WICHE Public Grads-RE PROJ'!HP29/'WICHE Public Grads-RE PROJ'!R29</f>
        <v>0.32879822271230968</v>
      </c>
      <c r="GA27" s="267">
        <f>+'WICHE Public Grads-RE PROJ'!HQ29/'WICHE Public Grads-RE PROJ'!S29</f>
        <v>0.34641036329239749</v>
      </c>
      <c r="GB27" s="267">
        <f>+'WICHE Public Grads-RE PROJ'!HR29/'WICHE Public Grads-RE PROJ'!T29</f>
        <v>0.36719273857224632</v>
      </c>
      <c r="GC27" s="267">
        <f>+'WICHE Public Grads-RE PROJ'!HS29/'WICHE Public Grads-RE PROJ'!U29</f>
        <v>0.36823737436406501</v>
      </c>
      <c r="GD27" s="267">
        <f>+'WICHE Public Grads-RE PROJ'!HT29/'WICHE Public Grads-RE PROJ'!V29</f>
        <v>0.37205733451461842</v>
      </c>
      <c r="GE27" s="267">
        <f>+'WICHE Public Grads-RE PROJ'!HU29/'WICHE Public Grads-RE PROJ'!W29</f>
        <v>0.3784400720164609</v>
      </c>
      <c r="GF27" s="268">
        <f>+'WICHE Public Grads-RE PROJ'!HV29/'WICHE Public Grads-RE PROJ'!Y29</f>
        <v>0.38956728016938191</v>
      </c>
      <c r="GG27" s="268">
        <f>+'WICHE Public Grads-RE PROJ'!HW29/'WICHE Public Grads-RE PROJ'!Z29</f>
        <v>0.40379421670906684</v>
      </c>
      <c r="GH27" s="268">
        <f>+'WICHE Public Grads-RE PROJ'!HX29/'WICHE Public Grads-RE PROJ'!AA29</f>
        <v>0.40671875563259863</v>
      </c>
      <c r="GI27" s="268">
        <f>+'WICHE Public Grads-RE PROJ'!HY29/'WICHE Public Grads-RE PROJ'!AB29</f>
        <v>0.40939888367616128</v>
      </c>
      <c r="GJ27" s="266">
        <f>+'WICHE Public Grads-RE PROJ'!HZ29/'WICHE Public Grads-RE PROJ'!AC29</f>
        <v>0.41470130517096199</v>
      </c>
      <c r="GK27" s="266">
        <f>+'WICHE Public Grads-RE PROJ'!IA29/'WICHE Public Grads-RE PROJ'!AD29</f>
        <v>0.42342771376224997</v>
      </c>
      <c r="GL27" s="266">
        <f>+'WICHE Public Grads-RE PROJ'!IB29/'WICHE Public Grads-RE PROJ'!AE29</f>
        <v>0.42570969935595376</v>
      </c>
      <c r="GM27" s="266">
        <f>+'WICHE Public Grads-RE PROJ'!IC29/'WICHE Public Grads-RE PROJ'!AF29</f>
        <v>0.42660011677777576</v>
      </c>
      <c r="GN27" s="266">
        <f>+'WICHE Public Grads-RE PROJ'!ID29/'WICHE Public Grads-RE PROJ'!AG29</f>
        <v>0.43155587701377912</v>
      </c>
      <c r="GO27" s="268">
        <f>+'WICHE Public Grads-RE PROJ'!IE29/'WICHE Public Grads-RE PROJ'!AH29</f>
        <v>0.43793112102051818</v>
      </c>
      <c r="GP27" s="266">
        <f>+'WICHE Public Grads-RE PROJ'!IF29/'WICHE Public Grads-RE PROJ'!AI29</f>
        <v>0.44469202231189947</v>
      </c>
      <c r="GQ27" s="266">
        <f>+'WICHE Public Grads-RE PROJ'!IG29/'WICHE Public Grads-RE PROJ'!AJ29</f>
        <v>0.45418522364149094</v>
      </c>
      <c r="GR27" s="266">
        <f>+'WICHE Public Grads-RE PROJ'!IH29/'WICHE Public Grads-RE PROJ'!AK29</f>
        <v>0.43280656082893632</v>
      </c>
      <c r="GS27" s="266">
        <f>+'WICHE Public Grads-RE PROJ'!II29/'WICHE Public Grads-RE PROJ'!AL29</f>
        <v>0.41887591448732886</v>
      </c>
      <c r="GT27" s="266">
        <f>+'WICHE Public Grads-RE PROJ'!IJ29/'WICHE Public Grads-RE PROJ'!AM29</f>
        <v>0.39905253925067335</v>
      </c>
      <c r="GU27" s="266">
        <f>+'WICHE Public Grads-RE PROJ'!IK29/'WICHE Public Grads-RE PROJ'!AN29</f>
        <v>0.38762082372559098</v>
      </c>
      <c r="GV27" s="266">
        <f>+'WICHE Public Grads-RE PROJ'!IL29/'WICHE Public Grads-RE PROJ'!AO29</f>
        <v>0.39114316517652331</v>
      </c>
      <c r="GW27" s="266">
        <f>+'WICHE Public Grads-RE PROJ'!IM29/'WICHE Public Grads-RE PROJ'!AP29</f>
        <v>0.3940749885695215</v>
      </c>
      <c r="GX27" s="282">
        <f>+'WICHE Public Grads-RE PROJ'!IN29/'WICHE Public Grads-RE PROJ'!AQ29</f>
        <v>0.40136739703815399</v>
      </c>
      <c r="GY27" s="262">
        <f>+'WICHE Public Grads-RE PROJ'!IO29/'WICHE Public Grads-RE PROJ'!B29</f>
        <v>0.67022773797338797</v>
      </c>
      <c r="GZ27" s="262">
        <f>+'WICHE Public Grads-RE PROJ'!IP29/'WICHE Public Grads-RE PROJ'!C29</f>
        <v>0.65521151604876049</v>
      </c>
      <c r="HA27" s="262">
        <f>+'WICHE Public Grads-RE PROJ'!IQ29/'WICHE Public Grads-RE PROJ'!D29</f>
        <v>0.63627904503642263</v>
      </c>
      <c r="HB27" s="262">
        <f>+'WICHE Public Grads-RE PROJ'!IR29/'WICHE Public Grads-RE PROJ'!E29</f>
        <v>0.64842363419277804</v>
      </c>
      <c r="HC27" s="262">
        <f>+'WICHE Public Grads-RE PROJ'!IS29/'WICHE Public Grads-RE PROJ'!F29</f>
        <v>0.65369234870701143</v>
      </c>
      <c r="HD27" s="262">
        <f>+'WICHE Public Grads-RE PROJ'!IT29/'WICHE Public Grads-RE PROJ'!G29</f>
        <v>0.64491520450677775</v>
      </c>
      <c r="HE27" s="267">
        <f>+'WICHE Public Grads-RE PROJ'!IU29/'WICHE Public Grads-RE PROJ'!H29</f>
        <v>0.61736475894502352</v>
      </c>
      <c r="HF27" s="267">
        <f>+'WICHE Public Grads-RE PROJ'!IV29/'WICHE Public Grads-RE PROJ'!I29</f>
        <v>0.61926220331392745</v>
      </c>
      <c r="HG27" s="267">
        <f>+'WICHE Public Grads-RE PROJ'!IW29/'WICHE Public Grads-RE PROJ'!J29</f>
        <v>0.60959690893901419</v>
      </c>
      <c r="HH27" s="267">
        <f>+'WICHE Public Grads-RE PROJ'!IX29/'WICHE Public Grads-RE PROJ'!K29</f>
        <v>0.60235146769948433</v>
      </c>
      <c r="HI27" s="262">
        <f>+'WICHE Public Grads-RE PROJ'!IY29/'WICHE Public Grads-RE PROJ'!L29</f>
        <v>0.60710121886592472</v>
      </c>
      <c r="HJ27" s="267">
        <f>+'WICHE Public Grads-RE PROJ'!IZ29/'WICHE Public Grads-RE PROJ'!M29</f>
        <v>0.60094826551434399</v>
      </c>
      <c r="HK27" s="267">
        <f>+'WICHE Public Grads-RE PROJ'!JA29/'WICHE Public Grads-RE PROJ'!N29</f>
        <v>0.56440625824030943</v>
      </c>
      <c r="HL27" s="267">
        <f>+'WICHE Public Grads-RE PROJ'!JB29/'WICHE Public Grads-RE PROJ'!O29</f>
        <v>0.56074153753067335</v>
      </c>
      <c r="HM27" s="267">
        <f>+'WICHE Public Grads-RE PROJ'!JC29/'WICHE Public Grads-RE PROJ'!P29</f>
        <v>0.56480745410511912</v>
      </c>
      <c r="HN27" s="267">
        <f>+'WICHE Public Grads-RE PROJ'!JD29/'WICHE Public Grads-RE PROJ'!Q29</f>
        <v>0.546484612360153</v>
      </c>
      <c r="HO27" s="267">
        <f>+'WICHE Public Grads-RE PROJ'!JE29/'WICHE Public Grads-RE PROJ'!R29</f>
        <v>0.52686201696207047</v>
      </c>
      <c r="HP27" s="267">
        <f>+'WICHE Public Grads-RE PROJ'!JF29/'WICHE Public Grads-RE PROJ'!S29</f>
        <v>0.51135088338089585</v>
      </c>
      <c r="HQ27" s="267">
        <f>+'WICHE Public Grads-RE PROJ'!JG29/'WICHE Public Grads-RE PROJ'!T29</f>
        <v>0.48160928939406328</v>
      </c>
      <c r="HR27" s="267">
        <f>+'WICHE Public Grads-RE PROJ'!JH29/'WICHE Public Grads-RE PROJ'!U29</f>
        <v>0.48814256467426292</v>
      </c>
      <c r="HS27" s="267">
        <f>+'WICHE Public Grads-RE PROJ'!JI29/'WICHE Public Grads-RE PROJ'!V29</f>
        <v>0.48647612490043768</v>
      </c>
      <c r="HT27" s="267">
        <f>+'WICHE Public Grads-RE PROJ'!JJ29/'WICHE Public Grads-RE PROJ'!W29</f>
        <v>0.48221196398954363</v>
      </c>
      <c r="HU27" s="268">
        <f>+'WICHE Public Grads-RE PROJ'!JK29/'WICHE Public Grads-RE PROJ'!Y29</f>
        <v>0.47010727229636767</v>
      </c>
      <c r="HV27" s="268">
        <f>+'WICHE Public Grads-RE PROJ'!JL29/'WICHE Public Grads-RE PROJ'!Z29</f>
        <v>0.45923187224338596</v>
      </c>
      <c r="HW27" s="268">
        <f>+'WICHE Public Grads-RE PROJ'!JM29/'WICHE Public Grads-RE PROJ'!AA29</f>
        <v>0.45344847863754589</v>
      </c>
      <c r="HX27" s="268">
        <f>+'WICHE Public Grads-RE PROJ'!JN29/'WICHE Public Grads-RE PROJ'!AB29</f>
        <v>0.45351827282413976</v>
      </c>
      <c r="HY27" s="266">
        <f>+'WICHE Public Grads-RE PROJ'!JO29/'WICHE Public Grads-RE PROJ'!AC29</f>
        <v>0.44966627802882297</v>
      </c>
      <c r="HZ27" s="266">
        <f>+'WICHE Public Grads-RE PROJ'!JP29/'WICHE Public Grads-RE PROJ'!AD29</f>
        <v>0.44378224228240137</v>
      </c>
      <c r="IA27" s="266">
        <f>+'WICHE Public Grads-RE PROJ'!JQ29/'WICHE Public Grads-RE PROJ'!AE29</f>
        <v>0.44051983838817993</v>
      </c>
      <c r="IB27" s="266">
        <f>+'WICHE Public Grads-RE PROJ'!JR29/'WICHE Public Grads-RE PROJ'!AF29</f>
        <v>0.44194586331657365</v>
      </c>
      <c r="IC27" s="266">
        <f>+'WICHE Public Grads-RE PROJ'!JS29/'WICHE Public Grads-RE PROJ'!AG29</f>
        <v>0.43464179652320611</v>
      </c>
      <c r="ID27" s="268">
        <f>+'WICHE Public Grads-RE PROJ'!JT29/'WICHE Public Grads-RE PROJ'!AH29</f>
        <v>0.43146930613438061</v>
      </c>
      <c r="IE27" s="266">
        <f>+'WICHE Public Grads-RE PROJ'!JU29/'WICHE Public Grads-RE PROJ'!AI29</f>
        <v>0.42870315819860944</v>
      </c>
      <c r="IF27" s="266">
        <f>+'WICHE Public Grads-RE PROJ'!JV29/'WICHE Public Grads-RE PROJ'!AJ29</f>
        <v>0.42074762198893834</v>
      </c>
      <c r="IG27" s="266">
        <f>+'WICHE Public Grads-RE PROJ'!JW29/'WICHE Public Grads-RE PROJ'!AK29</f>
        <v>0.42905245080877213</v>
      </c>
      <c r="IH27" s="266">
        <f>+'WICHE Public Grads-RE PROJ'!JX29/'WICHE Public Grads-RE PROJ'!AL29</f>
        <v>0.43593482359109892</v>
      </c>
      <c r="II27" s="266">
        <f>+'WICHE Public Grads-RE PROJ'!JY29/'WICHE Public Grads-RE PROJ'!AM29</f>
        <v>0.45286690971673466</v>
      </c>
      <c r="IJ27" s="266">
        <f>+'WICHE Public Grads-RE PROJ'!JZ29/'WICHE Public Grads-RE PROJ'!AN29</f>
        <v>0.45785611033339368</v>
      </c>
      <c r="IK27" s="266">
        <f>+'WICHE Public Grads-RE PROJ'!KA29/'WICHE Public Grads-RE PROJ'!AO29</f>
        <v>0.45159081587302169</v>
      </c>
      <c r="IL27" s="266">
        <f>+'WICHE Public Grads-RE PROJ'!KB29/'WICHE Public Grads-RE PROJ'!AP29</f>
        <v>0.45027521001522541</v>
      </c>
      <c r="IM27" s="282">
        <f>+'WICHE Public Grads-RE PROJ'!KC29/'WICHE Public Grads-RE PROJ'!AQ29</f>
        <v>0.44645193114574178</v>
      </c>
      <c r="IN27" s="278">
        <f t="shared" si="44"/>
        <v>1</v>
      </c>
      <c r="IO27" s="278">
        <f t="shared" si="45"/>
        <v>1</v>
      </c>
      <c r="IP27" s="278">
        <f t="shared" si="46"/>
        <v>1</v>
      </c>
      <c r="IQ27" s="278">
        <f t="shared" si="47"/>
        <v>1</v>
      </c>
      <c r="IR27" s="278">
        <f t="shared" si="48"/>
        <v>1</v>
      </c>
      <c r="IS27" s="278">
        <f t="shared" si="49"/>
        <v>1</v>
      </c>
      <c r="IT27" s="278">
        <f t="shared" si="50"/>
        <v>1</v>
      </c>
      <c r="IU27" s="278">
        <f t="shared" si="51"/>
        <v>1</v>
      </c>
      <c r="IV27" s="278">
        <f t="shared" si="52"/>
        <v>1</v>
      </c>
      <c r="IW27" s="278">
        <f t="shared" si="53"/>
        <v>1.0000000000641944</v>
      </c>
      <c r="IX27" s="278">
        <f t="shared" si="54"/>
        <v>1</v>
      </c>
      <c r="IY27" s="278">
        <f t="shared" si="55"/>
        <v>1</v>
      </c>
      <c r="IZ27" s="278">
        <f t="shared" si="56"/>
        <v>1</v>
      </c>
      <c r="JA27" s="278">
        <f t="shared" si="57"/>
        <v>1</v>
      </c>
      <c r="JB27" s="278">
        <f t="shared" si="58"/>
        <v>1</v>
      </c>
      <c r="JC27" s="278">
        <f t="shared" si="59"/>
        <v>1</v>
      </c>
      <c r="JD27" s="278">
        <f t="shared" si="60"/>
        <v>1</v>
      </c>
      <c r="JE27" s="278">
        <f t="shared" si="61"/>
        <v>1</v>
      </c>
      <c r="JF27" s="278">
        <f t="shared" si="62"/>
        <v>0.99388339193719855</v>
      </c>
      <c r="JG27" s="278">
        <f t="shared" si="63"/>
        <v>1</v>
      </c>
      <c r="JH27" s="278">
        <f t="shared" si="64"/>
        <v>1</v>
      </c>
      <c r="JI27" s="278">
        <f t="shared" si="65"/>
        <v>1</v>
      </c>
      <c r="JJ27" s="278">
        <f t="shared" si="66"/>
        <v>0.99686313807858706</v>
      </c>
      <c r="JK27" s="278">
        <f t="shared" si="67"/>
        <v>0.9965702617584844</v>
      </c>
      <c r="JL27" s="278">
        <f t="shared" si="68"/>
        <v>0.99624700825732848</v>
      </c>
      <c r="JM27" s="278">
        <f t="shared" si="69"/>
        <v>0.9959755176024141</v>
      </c>
      <c r="JN27" s="278">
        <f t="shared" si="70"/>
        <v>0.99625356697214862</v>
      </c>
      <c r="JO27" s="278">
        <f t="shared" si="71"/>
        <v>0.99631656852668793</v>
      </c>
      <c r="JP27" s="278">
        <f t="shared" si="72"/>
        <v>0.99566010752686829</v>
      </c>
      <c r="JQ27" s="278">
        <f t="shared" si="73"/>
        <v>0.99622134640803539</v>
      </c>
      <c r="JR27" s="278">
        <f t="shared" si="74"/>
        <v>0.99570395259313016</v>
      </c>
      <c r="JS27" s="278">
        <f t="shared" si="75"/>
        <v>0.99552294301377808</v>
      </c>
      <c r="JT27" s="278">
        <f t="shared" si="76"/>
        <v>0.99561996533762409</v>
      </c>
      <c r="JU27" s="278">
        <f t="shared" si="77"/>
        <v>0.99559673197518661</v>
      </c>
      <c r="JV27" s="278">
        <f t="shared" si="78"/>
        <v>0.99936254336492247</v>
      </c>
      <c r="JW27" s="278">
        <f t="shared" si="79"/>
        <v>1.0003778849137039</v>
      </c>
      <c r="JX27" s="278">
        <f t="shared" si="80"/>
        <v>1.0005870601857962</v>
      </c>
      <c r="JY27" s="278">
        <f t="shared" si="81"/>
        <v>0.99741845498113313</v>
      </c>
      <c r="JZ27" s="278">
        <f t="shared" si="81"/>
        <v>1.0013997385388753</v>
      </c>
      <c r="KA27" s="278">
        <f t="shared" si="81"/>
        <v>1.0030371887084228</v>
      </c>
      <c r="KB27" s="278">
        <f t="shared" si="81"/>
        <v>1.0031161313964301</v>
      </c>
    </row>
    <row r="28" spans="1:288" s="17" customFormat="1">
      <c r="A28" s="175" t="s">
        <v>53</v>
      </c>
      <c r="B28" s="262">
        <f>+'WICHE Public Grads-RE PROJ'!AR30/'WICHE Public Grads-RE PROJ'!B30</f>
        <v>0.15140600341790886</v>
      </c>
      <c r="C28" s="262">
        <f>+'WICHE Public Grads-RE PROJ'!AS30/'WICHE Public Grads-RE PROJ'!C30</f>
        <v>0.15555109898925076</v>
      </c>
      <c r="D28" s="262">
        <f>+'WICHE Public Grads-RE PROJ'!AT30/'WICHE Public Grads-RE PROJ'!D30</f>
        <v>0.16001865000810012</v>
      </c>
      <c r="E28" s="262">
        <f>+'WICHE Public Grads-RE PROJ'!AU30/'WICHE Public Grads-RE PROJ'!E30</f>
        <v>0.15396159874608151</v>
      </c>
      <c r="F28" s="262">
        <f>+'WICHE Public Grads-RE PROJ'!AV30/'WICHE Public Grads-RE PROJ'!F30</f>
        <v>0.15333248414527292</v>
      </c>
      <c r="G28" s="262">
        <f>+'WICHE Public Grads-RE PROJ'!AW30/'WICHE Public Grads-RE PROJ'!G30</f>
        <v>0.15541622843041428</v>
      </c>
      <c r="H28" s="267">
        <f>+'WICHE Public Grads-RE PROJ'!AX30/'WICHE Public Grads-RE PROJ'!H30</f>
        <v>0.16006455814480278</v>
      </c>
      <c r="I28" s="267">
        <f>+'WICHE Public Grads-RE PROJ'!AY30/'WICHE Public Grads-RE PROJ'!I30</f>
        <v>0.15647325317999652</v>
      </c>
      <c r="J28" s="267">
        <f>+'WICHE Public Grads-RE PROJ'!AZ30/'WICHE Public Grads-RE PROJ'!J30</f>
        <v>0.15588611385377382</v>
      </c>
      <c r="K28" s="267">
        <f>+'WICHE Public Grads-RE PROJ'!BA30/'WICHE Public Grads-RE PROJ'!K30</f>
        <v>0.15765778628061258</v>
      </c>
      <c r="L28" s="262">
        <f>+'WICHE Public Grads-RE PROJ'!BB30/'WICHE Public Grads-RE PROJ'!L30</f>
        <v>0.15723469215544883</v>
      </c>
      <c r="M28" s="267">
        <f>+'WICHE Public Grads-RE PROJ'!BC30/'WICHE Public Grads-RE PROJ'!M30</f>
        <v>0.15200368223701763</v>
      </c>
      <c r="N28" s="267">
        <f>+'WICHE Public Grads-RE PROJ'!BD30/'WICHE Public Grads-RE PROJ'!N30</f>
        <v>0.15083847676720624</v>
      </c>
      <c r="O28" s="267">
        <f>+'WICHE Public Grads-RE PROJ'!BE30/'WICHE Public Grads-RE PROJ'!O30</f>
        <v>0.14969441214806722</v>
      </c>
      <c r="P28" s="267">
        <f>+'WICHE Public Grads-RE PROJ'!BF30/'WICHE Public Grads-RE PROJ'!P30</f>
        <v>0.16059560717872581</v>
      </c>
      <c r="Q28" s="267">
        <f>+'WICHE Public Grads-RE PROJ'!BG30/'WICHE Public Grads-RE PROJ'!Q30</f>
        <v>0.15454757024570928</v>
      </c>
      <c r="R28" s="267">
        <f>+'WICHE Public Grads-RE PROJ'!BH30/'WICHE Public Grads-RE PROJ'!R30</f>
        <v>0.15241843117676426</v>
      </c>
      <c r="S28" s="267">
        <f>+'WICHE Public Grads-RE PROJ'!BI30/'WICHE Public Grads-RE PROJ'!S30</f>
        <v>0.16699999773300309</v>
      </c>
      <c r="T28" s="267">
        <f>+'WICHE Public Grads-RE PROJ'!BJ30/'WICHE Public Grads-RE PROJ'!T30</f>
        <v>0.15390606694661152</v>
      </c>
      <c r="U28" s="267">
        <f>+'WICHE Public Grads-RE PROJ'!BK30/'WICHE Public Grads-RE PROJ'!U30</f>
        <v>0.1509047033028352</v>
      </c>
      <c r="V28" s="267">
        <f>+'WICHE Public Grads-RE PROJ'!BL30/'WICHE Public Grads-RE PROJ'!V30</f>
        <v>0.14963566656755328</v>
      </c>
      <c r="W28" s="267">
        <f>+'WICHE Public Grads-RE PROJ'!BM30/'WICHE Public Grads-RE PROJ'!W30</f>
        <v>0.15025788428270054</v>
      </c>
      <c r="X28" s="268">
        <f>+'WICHE Public Grads-RE PROJ'!BN30/'WICHE Public Grads-RE PROJ'!Y30</f>
        <v>0.14832541377579264</v>
      </c>
      <c r="Y28" s="268">
        <f>+'WICHE Public Grads-RE PROJ'!BO30/'WICHE Public Grads-RE PROJ'!Z30</f>
        <v>0.14744279575311209</v>
      </c>
      <c r="Z28" s="268">
        <f>+'WICHE Public Grads-RE PROJ'!BP30/'WICHE Public Grads-RE PROJ'!AA30</f>
        <v>0.14390252073073417</v>
      </c>
      <c r="AA28" s="268">
        <f>+'WICHE Public Grads-RE PROJ'!BQ30/'WICHE Public Grads-RE PROJ'!AB30</f>
        <v>0.14517787624245251</v>
      </c>
      <c r="AB28" s="266">
        <f>+'WICHE Public Grads-RE PROJ'!BR30/'WICHE Public Grads-RE PROJ'!AC30</f>
        <v>0.14855547298672347</v>
      </c>
      <c r="AC28" s="266">
        <f>+'WICHE Public Grads-RE PROJ'!BS30/'WICHE Public Grads-RE PROJ'!AD30</f>
        <v>0.14488671373670314</v>
      </c>
      <c r="AD28" s="266">
        <f>+'WICHE Public Grads-RE PROJ'!BT30/'WICHE Public Grads-RE PROJ'!AE30</f>
        <v>0.1441067370048236</v>
      </c>
      <c r="AE28" s="266">
        <f>+'WICHE Public Grads-RE PROJ'!BU30/'WICHE Public Grads-RE PROJ'!AF30</f>
        <v>0.14528056746973539</v>
      </c>
      <c r="AF28" s="266">
        <f>+'WICHE Public Grads-RE PROJ'!BV30/'WICHE Public Grads-RE PROJ'!AG30</f>
        <v>0.14411318983011259</v>
      </c>
      <c r="AG28" s="268">
        <f>+'WICHE Public Grads-RE PROJ'!BW30/'WICHE Public Grads-RE PROJ'!AH30</f>
        <v>0.13923176813166974</v>
      </c>
      <c r="AH28" s="266">
        <f>+'WICHE Public Grads-RE PROJ'!BX30/'WICHE Public Grads-RE PROJ'!AI30</f>
        <v>0.13607727314976745</v>
      </c>
      <c r="AI28" s="266">
        <f>+'WICHE Public Grads-RE PROJ'!BY30/'WICHE Public Grads-RE PROJ'!AJ30</f>
        <v>0.13452018480548603</v>
      </c>
      <c r="AJ28" s="266">
        <f>+'WICHE Public Grads-RE PROJ'!BZ30/'WICHE Public Grads-RE PROJ'!AK30</f>
        <v>0.14413709918368431</v>
      </c>
      <c r="AK28" s="266">
        <f>+'WICHE Public Grads-RE PROJ'!CA30/'WICHE Public Grads-RE PROJ'!AL30</f>
        <v>0.14787109939283283</v>
      </c>
      <c r="AL28" s="266">
        <f>+'WICHE Public Grads-RE PROJ'!CB30/'WICHE Public Grads-RE PROJ'!AM30</f>
        <v>0.14620162041656726</v>
      </c>
      <c r="AM28" s="266">
        <f>+'WICHE Public Grads-RE PROJ'!CC30/'WICHE Public Grads-RE PROJ'!AN30</f>
        <v>0.14470109454874644</v>
      </c>
      <c r="AN28" s="266">
        <f>+'WICHE Public Grads-RE PROJ'!CD30/'WICHE Public Grads-RE PROJ'!AO30</f>
        <v>0.15785425984315446</v>
      </c>
      <c r="AO28" s="266">
        <f>+'WICHE Public Grads-RE PROJ'!CE30/'WICHE Public Grads-RE PROJ'!AP30</f>
        <v>0.16080759432095265</v>
      </c>
      <c r="AP28" s="282">
        <f>+'WICHE Public Grads-RE PROJ'!CF30/'WICHE Public Grads-RE PROJ'!AQ30</f>
        <v>0.17253601906219695</v>
      </c>
      <c r="AQ28" s="262">
        <f>+'WICHE Public Grads-RE PROJ'!CG30/'WICHE Public Grads-RE PROJ'!B30</f>
        <v>8.6347171230692493E-3</v>
      </c>
      <c r="AR28" s="262">
        <f>+'WICHE Public Grads-RE PROJ'!CH30/'WICHE Public Grads-RE PROJ'!C30</f>
        <v>8.5753248836836198E-3</v>
      </c>
      <c r="AS28" s="262">
        <f>+'WICHE Public Grads-RE PROJ'!CI30/'WICHE Public Grads-RE PROJ'!D30</f>
        <v>8.3727472805364255E-3</v>
      </c>
      <c r="AT28" s="262">
        <f>+'WICHE Public Grads-RE PROJ'!CJ30/'WICHE Public Grads-RE PROJ'!E30</f>
        <v>8.8636363636363635E-3</v>
      </c>
      <c r="AU28" s="262">
        <f>+'WICHE Public Grads-RE PROJ'!CK30/'WICHE Public Grads-RE PROJ'!F30</f>
        <v>8.8392757197833793E-3</v>
      </c>
      <c r="AV28" s="262">
        <f>+'WICHE Public Grads-RE PROJ'!CL30/'WICHE Public Grads-RE PROJ'!G30</f>
        <v>8.7857851645104824E-3</v>
      </c>
      <c r="AW28" s="267">
        <f>+'WICHE Public Grads-RE PROJ'!CM30/'WICHE Public Grads-RE PROJ'!H30</f>
        <v>8.8944417702522868E-3</v>
      </c>
      <c r="AX28" s="267">
        <f>+'WICHE Public Grads-RE PROJ'!CN30/'WICHE Public Grads-RE PROJ'!I30</f>
        <v>8.9301271998606033E-3</v>
      </c>
      <c r="AY28" s="267">
        <f>+'WICHE Public Grads-RE PROJ'!CO30/'WICHE Public Grads-RE PROJ'!J30</f>
        <v>8.5948754471439435E-3</v>
      </c>
      <c r="AZ28" s="267">
        <f>+'WICHE Public Grads-RE PROJ'!CP30/'WICHE Public Grads-RE PROJ'!K30</f>
        <v>8.6741605830152699E-3</v>
      </c>
      <c r="BA28" s="262">
        <f>+'WICHE Public Grads-RE PROJ'!CQ30/'WICHE Public Grads-RE PROJ'!L30</f>
        <v>9.3158839503521065E-3</v>
      </c>
      <c r="BB28" s="267">
        <f>+'WICHE Public Grads-RE PROJ'!CR30/'WICHE Public Grads-RE PROJ'!M30</f>
        <v>9.1469581966420101E-3</v>
      </c>
      <c r="BC28" s="267">
        <f>+'WICHE Public Grads-RE PROJ'!CS30/'WICHE Public Grads-RE PROJ'!N30</f>
        <v>8.8505880982881098E-3</v>
      </c>
      <c r="BD28" s="267">
        <f>+'WICHE Public Grads-RE PROJ'!CT30/'WICHE Public Grads-RE PROJ'!O30</f>
        <v>8.3047827102869509E-3</v>
      </c>
      <c r="BE28" s="267">
        <f>+'WICHE Public Grads-RE PROJ'!CU30/'WICHE Public Grads-RE PROJ'!P30</f>
        <v>8.2470925578213474E-3</v>
      </c>
      <c r="BF28" s="267">
        <f>+'WICHE Public Grads-RE PROJ'!CV30/'WICHE Public Grads-RE PROJ'!Q30</f>
        <v>8.0360923169237406E-3</v>
      </c>
      <c r="BG28" s="267">
        <f>+'WICHE Public Grads-RE PROJ'!CW30/'WICHE Public Grads-RE PROJ'!R30</f>
        <v>8.198931549200263E-3</v>
      </c>
      <c r="BH28" s="267">
        <f>+'WICHE Public Grads-RE PROJ'!CX30/'WICHE Public Grads-RE PROJ'!S30</f>
        <v>8.0038469033857969E-3</v>
      </c>
      <c r="BI28" s="267">
        <f>+'WICHE Public Grads-RE PROJ'!CY30/'WICHE Public Grads-RE PROJ'!T30</f>
        <v>8.196782372450799E-3</v>
      </c>
      <c r="BJ28" s="267">
        <f>+'WICHE Public Grads-RE PROJ'!CZ30/'WICHE Public Grads-RE PROJ'!U30</f>
        <v>7.4280499773504791E-3</v>
      </c>
      <c r="BK28" s="267">
        <f>+'WICHE Public Grads-RE PROJ'!DA30/'WICHE Public Grads-RE PROJ'!V30</f>
        <v>7.7624308854049176E-3</v>
      </c>
      <c r="BL28" s="267">
        <f>+'WICHE Public Grads-RE PROJ'!DB30/'WICHE Public Grads-RE PROJ'!W30</f>
        <v>7.4304796417603769E-3</v>
      </c>
      <c r="BM28" s="268">
        <f>+'WICHE Public Grads-RE PROJ'!DC30/'WICHE Public Grads-RE PROJ'!Y30</f>
        <v>7.1514309808141463E-3</v>
      </c>
      <c r="BN28" s="268">
        <f>+'WICHE Public Grads-RE PROJ'!DD30/'WICHE Public Grads-RE PROJ'!Z30</f>
        <v>6.8872787849814298E-3</v>
      </c>
      <c r="BO28" s="268">
        <f>+'WICHE Public Grads-RE PROJ'!DE30/'WICHE Public Grads-RE PROJ'!AA30</f>
        <v>6.73358286319651E-3</v>
      </c>
      <c r="BP28" s="268">
        <f>+'WICHE Public Grads-RE PROJ'!DF30/'WICHE Public Grads-RE PROJ'!AB30</f>
        <v>6.2872635718355975E-3</v>
      </c>
      <c r="BQ28" s="266">
        <f>+'WICHE Public Grads-RE PROJ'!DG30/'WICHE Public Grads-RE PROJ'!AC30</f>
        <v>6.0828178571622794E-3</v>
      </c>
      <c r="BR28" s="266">
        <f>+'WICHE Public Grads-RE PROJ'!DH30/'WICHE Public Grads-RE PROJ'!AD30</f>
        <v>5.6354272496594764E-3</v>
      </c>
      <c r="BS28" s="266">
        <f>+'WICHE Public Grads-RE PROJ'!DI30/'WICHE Public Grads-RE PROJ'!AE30</f>
        <v>5.6573927196787374E-3</v>
      </c>
      <c r="BT28" s="266">
        <f>+'WICHE Public Grads-RE PROJ'!DJ30/'WICHE Public Grads-RE PROJ'!AF30</f>
        <v>5.2829490870654342E-3</v>
      </c>
      <c r="BU28" s="266">
        <f>+'WICHE Public Grads-RE PROJ'!DK30/'WICHE Public Grads-RE PROJ'!AG30</f>
        <v>5.1711217454380757E-3</v>
      </c>
      <c r="BV28" s="268">
        <f>+'WICHE Public Grads-RE PROJ'!DL30/'WICHE Public Grads-RE PROJ'!AH30</f>
        <v>4.8440068826108478E-3</v>
      </c>
      <c r="BW28" s="266">
        <f>+'WICHE Public Grads-RE PROJ'!DM30/'WICHE Public Grads-RE PROJ'!AI30</f>
        <v>4.7241547673863345E-3</v>
      </c>
      <c r="BX28" s="266">
        <f>+'WICHE Public Grads-RE PROJ'!DN30/'WICHE Public Grads-RE PROJ'!AJ30</f>
        <v>4.7089151588110036E-3</v>
      </c>
      <c r="BY28" s="266">
        <f>+'WICHE Public Grads-RE PROJ'!DO30/'WICHE Public Grads-RE PROJ'!AK30</f>
        <v>5.2289360677994891E-3</v>
      </c>
      <c r="BZ28" s="266">
        <f>+'WICHE Public Grads-RE PROJ'!DP30/'WICHE Public Grads-RE PROJ'!AL30</f>
        <v>5.1874386914562464E-3</v>
      </c>
      <c r="CA28" s="266">
        <f>+'WICHE Public Grads-RE PROJ'!DQ30/'WICHE Public Grads-RE PROJ'!AM30</f>
        <v>5.236206122760911E-3</v>
      </c>
      <c r="CB28" s="266">
        <f>+'WICHE Public Grads-RE PROJ'!DR30/'WICHE Public Grads-RE PROJ'!AN30</f>
        <v>4.9245198500344799E-3</v>
      </c>
      <c r="CC28" s="266">
        <f>+'WICHE Public Grads-RE PROJ'!DS30/'WICHE Public Grads-RE PROJ'!AO30</f>
        <v>4.9567888653074465E-3</v>
      </c>
      <c r="CD28" s="266">
        <f>+'WICHE Public Grads-RE PROJ'!DT30/'WICHE Public Grads-RE PROJ'!AP30</f>
        <v>5.1643746600154097E-3</v>
      </c>
      <c r="CE28" s="282">
        <f>+'WICHE Public Grads-RE PROJ'!DU30/'WICHE Public Grads-RE PROJ'!AQ30</f>
        <v>4.9150888781700633E-3</v>
      </c>
      <c r="CF28" s="262">
        <f>+'WICHE Public Grads-RE PROJ'!DV30/'WICHE Public Grads-RE PROJ'!B30</f>
        <v>0.14277128629483962</v>
      </c>
      <c r="CG28" s="262">
        <f>+'WICHE Public Grads-RE PROJ'!DW30/'WICHE Public Grads-RE PROJ'!C30</f>
        <v>0.14697577410556714</v>
      </c>
      <c r="CH28" s="262">
        <f>+'WICHE Public Grads-RE PROJ'!DX30/'WICHE Public Grads-RE PROJ'!D30</f>
        <v>0.15164590272756368</v>
      </c>
      <c r="CI28" s="262">
        <f>+'WICHE Public Grads-RE PROJ'!DY30/'WICHE Public Grads-RE PROJ'!E30</f>
        <v>0.14509796238244513</v>
      </c>
      <c r="CJ28" s="262">
        <f>+'WICHE Public Grads-RE PROJ'!DZ30/'WICHE Public Grads-RE PROJ'!F30</f>
        <v>0.14449320842548954</v>
      </c>
      <c r="CK28" s="262">
        <f>+'WICHE Public Grads-RE PROJ'!EA30/'WICHE Public Grads-RE PROJ'!G30</f>
        <v>0.1466304432659038</v>
      </c>
      <c r="CL28" s="267">
        <f>+'WICHE Public Grads-RE PROJ'!EB30/'WICHE Public Grads-RE PROJ'!H30</f>
        <v>0.15117011637455049</v>
      </c>
      <c r="CM28" s="267">
        <f>+'WICHE Public Grads-RE PROJ'!EC30/'WICHE Public Grads-RE PROJ'!I30</f>
        <v>0.14754312598013591</v>
      </c>
      <c r="CN28" s="267">
        <f>+'WICHE Public Grads-RE PROJ'!ED30/'WICHE Public Grads-RE PROJ'!J30</f>
        <v>0.14729123840662986</v>
      </c>
      <c r="CO28" s="267">
        <f>+'WICHE Public Grads-RE PROJ'!EE30/'WICHE Public Grads-RE PROJ'!K30</f>
        <v>0.14898362569759732</v>
      </c>
      <c r="CP28" s="262">
        <f>+'WICHE Public Grads-RE PROJ'!EF30/'WICHE Public Grads-RE PROJ'!L30</f>
        <v>0.14791880820509673</v>
      </c>
      <c r="CQ28" s="267">
        <f>+'WICHE Public Grads-RE PROJ'!EG30/'WICHE Public Grads-RE PROJ'!M30</f>
        <v>0.14285672404037561</v>
      </c>
      <c r="CR28" s="267">
        <f>+'WICHE Public Grads-RE PROJ'!EH30/'WICHE Public Grads-RE PROJ'!N30</f>
        <v>0.14198788866891812</v>
      </c>
      <c r="CS28" s="267">
        <f>+'WICHE Public Grads-RE PROJ'!EI30/'WICHE Public Grads-RE PROJ'!O30</f>
        <v>0.14138962943778027</v>
      </c>
      <c r="CT28" s="267">
        <f>+'WICHE Public Grads-RE PROJ'!EJ30/'WICHE Public Grads-RE PROJ'!P30</f>
        <v>0.15234851462090448</v>
      </c>
      <c r="CU28" s="267">
        <f>+'WICHE Public Grads-RE PROJ'!EK30/'WICHE Public Grads-RE PROJ'!Q30</f>
        <v>0.14651147792878552</v>
      </c>
      <c r="CV28" s="267">
        <f>+'WICHE Public Grads-RE PROJ'!EL30/'WICHE Public Grads-RE PROJ'!R30</f>
        <v>0.144219499627564</v>
      </c>
      <c r="CW28" s="267">
        <f>+'WICHE Public Grads-RE PROJ'!EM30/'WICHE Public Grads-RE PROJ'!S30</f>
        <v>0.15899615082961729</v>
      </c>
      <c r="CX28" s="267">
        <f>+'WICHE Public Grads-RE PROJ'!EN30/'WICHE Public Grads-RE PROJ'!T30</f>
        <v>0.14570928457416071</v>
      </c>
      <c r="CY28" s="267">
        <f>+'WICHE Public Grads-RE PROJ'!EO30/'WICHE Public Grads-RE PROJ'!U30</f>
        <v>0.1434766533254847</v>
      </c>
      <c r="CZ28" s="267">
        <f>+'WICHE Public Grads-RE PROJ'!EP30/'WICHE Public Grads-RE PROJ'!V30</f>
        <v>0.14187323568214838</v>
      </c>
      <c r="DA28" s="267">
        <f>+'WICHE Public Grads-RE PROJ'!EQ30/'WICHE Public Grads-RE PROJ'!W30</f>
        <v>0.14282740464094018</v>
      </c>
      <c r="DB28" s="268">
        <f>+'WICHE Public Grads-RE PROJ'!ER30/'WICHE Public Grads-RE PROJ'!Y30</f>
        <v>0.1411739827949785</v>
      </c>
      <c r="DC28" s="268">
        <f>+'WICHE Public Grads-RE PROJ'!ES30/'WICHE Public Grads-RE PROJ'!Z30</f>
        <v>0.14055551696813065</v>
      </c>
      <c r="DD28" s="268">
        <f>+'WICHE Public Grads-RE PROJ'!ET30/'WICHE Public Grads-RE PROJ'!AA30</f>
        <v>0.13716893786753764</v>
      </c>
      <c r="DE28" s="268">
        <f>+'WICHE Public Grads-RE PROJ'!EU30/'WICHE Public Grads-RE PROJ'!AB30</f>
        <v>0.13889061267061692</v>
      </c>
      <c r="DF28" s="266">
        <f>+'WICHE Public Grads-RE PROJ'!EV30/'WICHE Public Grads-RE PROJ'!AC30</f>
        <v>0.1424726551295612</v>
      </c>
      <c r="DG28" s="266">
        <f>+'WICHE Public Grads-RE PROJ'!EW30/'WICHE Public Grads-RE PROJ'!AD30</f>
        <v>0.13925128648704366</v>
      </c>
      <c r="DH28" s="266">
        <f>+'WICHE Public Grads-RE PROJ'!EX30/'WICHE Public Grads-RE PROJ'!AE30</f>
        <v>0.13844934428514488</v>
      </c>
      <c r="DI28" s="266">
        <f>+'WICHE Public Grads-RE PROJ'!EY30/'WICHE Public Grads-RE PROJ'!AF30</f>
        <v>0.13999761838266997</v>
      </c>
      <c r="DJ28" s="266">
        <f>+'WICHE Public Grads-RE PROJ'!EZ30/'WICHE Public Grads-RE PROJ'!AG30</f>
        <v>0.13894206808467452</v>
      </c>
      <c r="DK28" s="268">
        <f>+'WICHE Public Grads-RE PROJ'!FA30/'WICHE Public Grads-RE PROJ'!AH30</f>
        <v>0.13438776124905891</v>
      </c>
      <c r="DL28" s="266">
        <f>+'WICHE Public Grads-RE PROJ'!FB30/'WICHE Public Grads-RE PROJ'!AI30</f>
        <v>0.13135311838238109</v>
      </c>
      <c r="DM28" s="266">
        <f>+'WICHE Public Grads-RE PROJ'!FC30/'WICHE Public Grads-RE PROJ'!AJ30</f>
        <v>0.12981126964667503</v>
      </c>
      <c r="DN28" s="266">
        <f>+'WICHE Public Grads-RE PROJ'!FD30/'WICHE Public Grads-RE PROJ'!AK30</f>
        <v>0.13890816311588483</v>
      </c>
      <c r="DO28" s="266">
        <f>+'WICHE Public Grads-RE PROJ'!FE30/'WICHE Public Grads-RE PROJ'!AL30</f>
        <v>0.14268366070137659</v>
      </c>
      <c r="DP28" s="266">
        <f>+'WICHE Public Grads-RE PROJ'!FF30/'WICHE Public Grads-RE PROJ'!AM30</f>
        <v>0.14096541429380635</v>
      </c>
      <c r="DQ28" s="266">
        <f>+'WICHE Public Grads-RE PROJ'!FG30/'WICHE Public Grads-RE PROJ'!AN30</f>
        <v>0.13977657469871196</v>
      </c>
      <c r="DR28" s="266">
        <f>+'WICHE Public Grads-RE PROJ'!FH30/'WICHE Public Grads-RE PROJ'!AO30</f>
        <v>0.15289747097784701</v>
      </c>
      <c r="DS28" s="266">
        <f>+'WICHE Public Grads-RE PROJ'!FI30/'WICHE Public Grads-RE PROJ'!AP30</f>
        <v>0.15564321966093725</v>
      </c>
      <c r="DT28" s="282">
        <f>+'WICHE Public Grads-RE PROJ'!FJ30/'WICHE Public Grads-RE PROJ'!AQ30</f>
        <v>0.16762093018402688</v>
      </c>
      <c r="DU28" s="262">
        <f>+'WICHE Public Grads-RE PROJ'!FK30/'WICHE Public Grads-RE PROJ'!B30</f>
        <v>7.2184926858385734E-2</v>
      </c>
      <c r="DV28" s="262">
        <f>+'WICHE Public Grads-RE PROJ'!FL30/'WICHE Public Grads-RE PROJ'!C30</f>
        <v>7.3074763356329217E-2</v>
      </c>
      <c r="DW28" s="262">
        <f>+'WICHE Public Grads-RE PROJ'!FM30/'WICHE Public Grads-RE PROJ'!D30</f>
        <v>7.4991208417791791E-2</v>
      </c>
      <c r="DX28" s="262">
        <f>+'WICHE Public Grads-RE PROJ'!FN30/'WICHE Public Grads-RE PROJ'!E30</f>
        <v>7.3918495297805642E-2</v>
      </c>
      <c r="DY28" s="262">
        <f>+'WICHE Public Grads-RE PROJ'!FO30/'WICHE Public Grads-RE PROJ'!F30</f>
        <v>7.5021905192013003E-2</v>
      </c>
      <c r="DZ28" s="262">
        <f>+'WICHE Public Grads-RE PROJ'!FP30/'WICHE Public Grads-RE PROJ'!G30</f>
        <v>7.7087460187088161E-2</v>
      </c>
      <c r="EA28" s="267">
        <f>+'WICHE Public Grads-RE PROJ'!FQ30/'WICHE Public Grads-RE PROJ'!H30</f>
        <v>7.4910807826259307E-2</v>
      </c>
      <c r="EB28" s="267">
        <f>+'WICHE Public Grads-RE PROJ'!FR30/'WICHE Public Grads-RE PROJ'!I30</f>
        <v>7.3937432144436849E-2</v>
      </c>
      <c r="EC28" s="267">
        <f>+'WICHE Public Grads-RE PROJ'!FS30/'WICHE Public Grads-RE PROJ'!J30</f>
        <v>7.2954468202198086E-2</v>
      </c>
      <c r="ED28" s="267">
        <f>+'WICHE Public Grads-RE PROJ'!FT30/'WICHE Public Grads-RE PROJ'!K30</f>
        <v>7.1303249796154058E-2</v>
      </c>
      <c r="EE28" s="262">
        <f>+'WICHE Public Grads-RE PROJ'!FU30/'WICHE Public Grads-RE PROJ'!L30</f>
        <v>7.1958759723223742E-2</v>
      </c>
      <c r="EF28" s="267">
        <f>+'WICHE Public Grads-RE PROJ'!FV30/'WICHE Public Grads-RE PROJ'!M30</f>
        <v>7.286783524921063E-2</v>
      </c>
      <c r="EG28" s="267">
        <f>+'WICHE Public Grads-RE PROJ'!FW30/'WICHE Public Grads-RE PROJ'!N30</f>
        <v>7.3561779434028182E-2</v>
      </c>
      <c r="EH28" s="267">
        <f>+'WICHE Public Grads-RE PROJ'!FX30/'WICHE Public Grads-RE PROJ'!O30</f>
        <v>7.544683953752214E-2</v>
      </c>
      <c r="EI28" s="267">
        <f>+'WICHE Public Grads-RE PROJ'!FY30/'WICHE Public Grads-RE PROJ'!P30</f>
        <v>7.3810459514140572E-2</v>
      </c>
      <c r="EJ28" s="267">
        <f>+'WICHE Public Grads-RE PROJ'!FZ30/'WICHE Public Grads-RE PROJ'!Q30</f>
        <v>7.2165006266806123E-2</v>
      </c>
      <c r="EK28" s="267">
        <f>+'WICHE Public Grads-RE PROJ'!GA30/'WICHE Public Grads-RE PROJ'!R30</f>
        <v>6.9176983188319122E-2</v>
      </c>
      <c r="EL28" s="267">
        <f>+'WICHE Public Grads-RE PROJ'!GB30/'WICHE Public Grads-RE PROJ'!S30</f>
        <v>7.0385422138758966E-2</v>
      </c>
      <c r="EM28" s="267">
        <f>+'WICHE Public Grads-RE PROJ'!GC30/'WICHE Public Grads-RE PROJ'!T30</f>
        <v>7.1336896374232475E-2</v>
      </c>
      <c r="EN28" s="267">
        <f>+'WICHE Public Grads-RE PROJ'!GD30/'WICHE Public Grads-RE PROJ'!U30</f>
        <v>6.9756321496674933E-2</v>
      </c>
      <c r="EO28" s="267">
        <f>+'WICHE Public Grads-RE PROJ'!GE30/'WICHE Public Grads-RE PROJ'!V30</f>
        <v>6.9817636928123303E-2</v>
      </c>
      <c r="EP28" s="267">
        <f>+'WICHE Public Grads-RE PROJ'!GF30/'WICHE Public Grads-RE PROJ'!W30</f>
        <v>6.7125772390870309E-2</v>
      </c>
      <c r="EQ28" s="268">
        <f>+'WICHE Public Grads-RE PROJ'!GG30/'WICHE Public Grads-RE PROJ'!Y30</f>
        <v>6.4693181030675548E-2</v>
      </c>
      <c r="ER28" s="268">
        <f>+'WICHE Public Grads-RE PROJ'!GH30/'WICHE Public Grads-RE PROJ'!Z30</f>
        <v>6.3081419791714027E-2</v>
      </c>
      <c r="ES28" s="268">
        <f>+'WICHE Public Grads-RE PROJ'!GI30/'WICHE Public Grads-RE PROJ'!AA30</f>
        <v>6.2005669363479281E-2</v>
      </c>
      <c r="ET28" s="268">
        <f>+'WICHE Public Grads-RE PROJ'!GJ30/'WICHE Public Grads-RE PROJ'!AB30</f>
        <v>6.0320486599164537E-2</v>
      </c>
      <c r="EU28" s="266">
        <f>+'WICHE Public Grads-RE PROJ'!GK30/'WICHE Public Grads-RE PROJ'!AC30</f>
        <v>5.7928465027776432E-2</v>
      </c>
      <c r="EV28" s="266">
        <f>+'WICHE Public Grads-RE PROJ'!GL30/'WICHE Public Grads-RE PROJ'!AD30</f>
        <v>5.7157069138078255E-2</v>
      </c>
      <c r="EW28" s="266">
        <f>+'WICHE Public Grads-RE PROJ'!GM30/'WICHE Public Grads-RE PROJ'!AE30</f>
        <v>5.48780350090292E-2</v>
      </c>
      <c r="EX28" s="266">
        <f>+'WICHE Public Grads-RE PROJ'!GN30/'WICHE Public Grads-RE PROJ'!AF30</f>
        <v>5.3226156188700573E-2</v>
      </c>
      <c r="EY28" s="266">
        <f>+'WICHE Public Grads-RE PROJ'!GO30/'WICHE Public Grads-RE PROJ'!AG30</f>
        <v>5.1540030406365393E-2</v>
      </c>
      <c r="EZ28" s="268">
        <f>+'WICHE Public Grads-RE PROJ'!GP30/'WICHE Public Grads-RE PROJ'!AH30</f>
        <v>5.0266291133103005E-2</v>
      </c>
      <c r="FA28" s="266">
        <f>+'WICHE Public Grads-RE PROJ'!GQ30/'WICHE Public Grads-RE PROJ'!AI30</f>
        <v>4.9706098734440561E-2</v>
      </c>
      <c r="FB28" s="266">
        <f>+'WICHE Public Grads-RE PROJ'!GR30/'WICHE Public Grads-RE PROJ'!AJ30</f>
        <v>4.9297807095529896E-2</v>
      </c>
      <c r="FC28" s="266">
        <f>+'WICHE Public Grads-RE PROJ'!GS30/'WICHE Public Grads-RE PROJ'!AK30</f>
        <v>5.2370899485088197E-2</v>
      </c>
      <c r="FD28" s="266">
        <f>+'WICHE Public Grads-RE PROJ'!GT30/'WICHE Public Grads-RE PROJ'!AL30</f>
        <v>5.3168771977638661E-2</v>
      </c>
      <c r="FE28" s="266">
        <f>+'WICHE Public Grads-RE PROJ'!GU30/'WICHE Public Grads-RE PROJ'!AM30</f>
        <v>5.3260260698715055E-2</v>
      </c>
      <c r="FF28" s="266">
        <f>+'WICHE Public Grads-RE PROJ'!GV30/'WICHE Public Grads-RE PROJ'!AN30</f>
        <v>5.1887854603849252E-2</v>
      </c>
      <c r="FG28" s="266">
        <f>+'WICHE Public Grads-RE PROJ'!GW30/'WICHE Public Grads-RE PROJ'!AO30</f>
        <v>5.103390308522001E-2</v>
      </c>
      <c r="FH28" s="266">
        <f>+'WICHE Public Grads-RE PROJ'!GX30/'WICHE Public Grads-RE PROJ'!AP30</f>
        <v>5.1215830465947285E-2</v>
      </c>
      <c r="FI28" s="282">
        <f>+'WICHE Public Grads-RE PROJ'!GY30/'WICHE Public Grads-RE PROJ'!AQ30</f>
        <v>4.9289376922614349E-2</v>
      </c>
      <c r="FJ28" s="262">
        <f>+'WICHE Public Grads-RE PROJ'!GZ30/'WICHE Public Grads-RE PROJ'!B30</f>
        <v>0.27064850323393053</v>
      </c>
      <c r="FK28" s="262">
        <f>+'WICHE Public Grads-RE PROJ'!HA30/'WICHE Public Grads-RE PROJ'!C30</f>
        <v>0.28664367078453395</v>
      </c>
      <c r="FL28" s="262">
        <f>+'WICHE Public Grads-RE PROJ'!HB30/'WICHE Public Grads-RE PROJ'!D30</f>
        <v>0.29644820078788381</v>
      </c>
      <c r="FM28" s="262">
        <f>+'WICHE Public Grads-RE PROJ'!HC30/'WICHE Public Grads-RE PROJ'!E30</f>
        <v>0.29998824451410661</v>
      </c>
      <c r="FN28" s="262">
        <f>+'WICHE Public Grads-RE PROJ'!HD30/'WICHE Public Grads-RE PROJ'!F30</f>
        <v>0.30346507328106964</v>
      </c>
      <c r="FO28" s="262">
        <f>+'WICHE Public Grads-RE PROJ'!HE30/'WICHE Public Grads-RE PROJ'!G30</f>
        <v>0.30480802464776957</v>
      </c>
      <c r="FP28" s="267">
        <f>+'WICHE Public Grads-RE PROJ'!HF30/'WICHE Public Grads-RE PROJ'!H30</f>
        <v>0.31055157572840275</v>
      </c>
      <c r="FQ28" s="267">
        <f>+'WICHE Public Grads-RE PROJ'!HG30/'WICHE Public Grads-RE PROJ'!I30</f>
        <v>0.31980243140724063</v>
      </c>
      <c r="FR28" s="267">
        <f>+'WICHE Public Grads-RE PROJ'!HH30/'WICHE Public Grads-RE PROJ'!J30</f>
        <v>0.32578624496204334</v>
      </c>
      <c r="FS28" s="267">
        <f>+'WICHE Public Grads-RE PROJ'!HI30/'WICHE Public Grads-RE PROJ'!K30</f>
        <v>0.32931035029775785</v>
      </c>
      <c r="FT28" s="262">
        <f>+'WICHE Public Grads-RE PROJ'!HJ30/'WICHE Public Grads-RE PROJ'!L30</f>
        <v>0.33458015618527442</v>
      </c>
      <c r="FU28" s="267">
        <f>+'WICHE Public Grads-RE PROJ'!HK30/'WICHE Public Grads-RE PROJ'!M30</f>
        <v>0.34220177837975707</v>
      </c>
      <c r="FV28" s="267">
        <f>+'WICHE Public Grads-RE PROJ'!HL30/'WICHE Public Grads-RE PROJ'!N30</f>
        <v>0.35349365319669268</v>
      </c>
      <c r="FW28" s="267">
        <f>+'WICHE Public Grads-RE PROJ'!HM30/'WICHE Public Grads-RE PROJ'!O30</f>
        <v>0.36504728095783706</v>
      </c>
      <c r="FX28" s="267">
        <f>+'WICHE Public Grads-RE PROJ'!HN30/'WICHE Public Grads-RE PROJ'!P30</f>
        <v>0.36216467985386375</v>
      </c>
      <c r="FY28" s="267">
        <f>+'WICHE Public Grads-RE PROJ'!HO30/'WICHE Public Grads-RE PROJ'!Q30</f>
        <v>0.3601997526924835</v>
      </c>
      <c r="FZ28" s="267">
        <f>+'WICHE Public Grads-RE PROJ'!HP30/'WICHE Public Grads-RE PROJ'!R30</f>
        <v>0.38042134658974108</v>
      </c>
      <c r="GA28" s="267">
        <f>+'WICHE Public Grads-RE PROJ'!HQ30/'WICHE Public Grads-RE PROJ'!S30</f>
        <v>0.39675807794579787</v>
      </c>
      <c r="GB28" s="267">
        <f>+'WICHE Public Grads-RE PROJ'!HR30/'WICHE Public Grads-RE PROJ'!T30</f>
        <v>0.42986071157839634</v>
      </c>
      <c r="GC28" s="267">
        <f>+'WICHE Public Grads-RE PROJ'!HS30/'WICHE Public Grads-RE PROJ'!U30</f>
        <v>0.44858904613525569</v>
      </c>
      <c r="GD28" s="267">
        <f>+'WICHE Public Grads-RE PROJ'!HT30/'WICHE Public Grads-RE PROJ'!V30</f>
        <v>0.46222268931649246</v>
      </c>
      <c r="GE28" s="267">
        <f>+'WICHE Public Grads-RE PROJ'!HU30/'WICHE Public Grads-RE PROJ'!W30</f>
        <v>0.4714077583654131</v>
      </c>
      <c r="GF28" s="268">
        <f>+'WICHE Public Grads-RE PROJ'!HV30/'WICHE Public Grads-RE PROJ'!Y30</f>
        <v>0.47804632383978302</v>
      </c>
      <c r="GG28" s="268">
        <f>+'WICHE Public Grads-RE PROJ'!HW30/'WICHE Public Grads-RE PROJ'!Z30</f>
        <v>0.48677137007640719</v>
      </c>
      <c r="GH28" s="268">
        <f>+'WICHE Public Grads-RE PROJ'!HX30/'WICHE Public Grads-RE PROJ'!AA30</f>
        <v>0.49326687072846748</v>
      </c>
      <c r="GI28" s="268">
        <f>+'WICHE Public Grads-RE PROJ'!HY30/'WICHE Public Grads-RE PROJ'!AB30</f>
        <v>0.49420645430771554</v>
      </c>
      <c r="GJ28" s="266">
        <f>+'WICHE Public Grads-RE PROJ'!HZ30/'WICHE Public Grads-RE PROJ'!AC30</f>
        <v>0.50285343705446506</v>
      </c>
      <c r="GK28" s="266">
        <f>+'WICHE Public Grads-RE PROJ'!IA30/'WICHE Public Grads-RE PROJ'!AD30</f>
        <v>0.50991420907636664</v>
      </c>
      <c r="GL28" s="266">
        <f>+'WICHE Public Grads-RE PROJ'!IB30/'WICHE Public Grads-RE PROJ'!AE30</f>
        <v>0.51521935711466749</v>
      </c>
      <c r="GM28" s="266">
        <f>+'WICHE Public Grads-RE PROJ'!IC30/'WICHE Public Grads-RE PROJ'!AF30</f>
        <v>0.5160419926069435</v>
      </c>
      <c r="GN28" s="266">
        <f>+'WICHE Public Grads-RE PROJ'!ID30/'WICHE Public Grads-RE PROJ'!AG30</f>
        <v>0.52151262447363222</v>
      </c>
      <c r="GO28" s="268">
        <f>+'WICHE Public Grads-RE PROJ'!IE30/'WICHE Public Grads-RE PROJ'!AH30</f>
        <v>0.53368655567323697</v>
      </c>
      <c r="GP28" s="266">
        <f>+'WICHE Public Grads-RE PROJ'!IF30/'WICHE Public Grads-RE PROJ'!AI30</f>
        <v>0.54130074450501409</v>
      </c>
      <c r="GQ28" s="266">
        <f>+'WICHE Public Grads-RE PROJ'!IG30/'WICHE Public Grads-RE PROJ'!AJ30</f>
        <v>0.54186532443470103</v>
      </c>
      <c r="GR28" s="266">
        <f>+'WICHE Public Grads-RE PROJ'!IH30/'WICHE Public Grads-RE PROJ'!AK30</f>
        <v>0.53915097870945772</v>
      </c>
      <c r="GS28" s="266">
        <f>+'WICHE Public Grads-RE PROJ'!II30/'WICHE Public Grads-RE PROJ'!AL30</f>
        <v>0.53058365080412939</v>
      </c>
      <c r="GT28" s="266">
        <f>+'WICHE Public Grads-RE PROJ'!IJ30/'WICHE Public Grads-RE PROJ'!AM30</f>
        <v>0.52261950086710574</v>
      </c>
      <c r="GU28" s="266">
        <f>+'WICHE Public Grads-RE PROJ'!IK30/'WICHE Public Grads-RE PROJ'!AN30</f>
        <v>0.51544313396068142</v>
      </c>
      <c r="GV28" s="266">
        <f>+'WICHE Public Grads-RE PROJ'!IL30/'WICHE Public Grads-RE PROJ'!AO30</f>
        <v>0.50308200136255343</v>
      </c>
      <c r="GW28" s="266">
        <f>+'WICHE Public Grads-RE PROJ'!IM30/'WICHE Public Grads-RE PROJ'!AP30</f>
        <v>0.49888361181154056</v>
      </c>
      <c r="GX28" s="282">
        <f>+'WICHE Public Grads-RE PROJ'!IN30/'WICHE Public Grads-RE PROJ'!AQ30</f>
        <v>0.48883820048361737</v>
      </c>
      <c r="GY28" s="262">
        <f>+'WICHE Public Grads-RE PROJ'!IO30/'WICHE Public Grads-RE PROJ'!B30</f>
        <v>0.50576056648977485</v>
      </c>
      <c r="GZ28" s="262">
        <f>+'WICHE Public Grads-RE PROJ'!IP30/'WICHE Public Grads-RE PROJ'!C30</f>
        <v>0.48473046686988608</v>
      </c>
      <c r="HA28" s="262">
        <f>+'WICHE Public Grads-RE PROJ'!IQ30/'WICHE Public Grads-RE PROJ'!D30</f>
        <v>0.4685419407862243</v>
      </c>
      <c r="HB28" s="262">
        <f>+'WICHE Public Grads-RE PROJ'!IR30/'WICHE Public Grads-RE PROJ'!E30</f>
        <v>0.47213166144200625</v>
      </c>
      <c r="HC28" s="262">
        <f>+'WICHE Public Grads-RE PROJ'!IS30/'WICHE Public Grads-RE PROJ'!F30</f>
        <v>0.46818053738164439</v>
      </c>
      <c r="HD28" s="262">
        <f>+'WICHE Public Grads-RE PROJ'!IT30/'WICHE Public Grads-RE PROJ'!G30</f>
        <v>0.462688286734728</v>
      </c>
      <c r="HE28" s="267">
        <f>+'WICHE Public Grads-RE PROJ'!IU30/'WICHE Public Grads-RE PROJ'!H30</f>
        <v>0.45447305830053514</v>
      </c>
      <c r="HF28" s="267">
        <f>+'WICHE Public Grads-RE PROJ'!IV30/'WICHE Public Grads-RE PROJ'!I30</f>
        <v>0.44978688326832605</v>
      </c>
      <c r="HG28" s="267">
        <f>+'WICHE Public Grads-RE PROJ'!IW30/'WICHE Public Grads-RE PROJ'!J30</f>
        <v>0.44537317298198476</v>
      </c>
      <c r="HH28" s="267">
        <f>+'WICHE Public Grads-RE PROJ'!IX30/'WICHE Public Grads-RE PROJ'!K30</f>
        <v>0.4417286136254755</v>
      </c>
      <c r="HI28" s="262">
        <f>+'WICHE Public Grads-RE PROJ'!IY30/'WICHE Public Grads-RE PROJ'!L30</f>
        <v>0.43087804354163151</v>
      </c>
      <c r="HJ28" s="267">
        <f>+'WICHE Public Grads-RE PROJ'!IZ30/'WICHE Public Grads-RE PROJ'!M30</f>
        <v>0.42411396171763455</v>
      </c>
      <c r="HK28" s="267">
        <f>+'WICHE Public Grads-RE PROJ'!JA30/'WICHE Public Grads-RE PROJ'!N30</f>
        <v>0.41217538139047399</v>
      </c>
      <c r="HL28" s="267">
        <f>+'WICHE Public Grads-RE PROJ'!JB30/'WICHE Public Grads-RE PROJ'!O30</f>
        <v>0.39639713189402537</v>
      </c>
      <c r="HM28" s="267">
        <f>+'WICHE Public Grads-RE PROJ'!JC30/'WICHE Public Grads-RE PROJ'!P30</f>
        <v>0.40342925345326985</v>
      </c>
      <c r="HN28" s="267">
        <f>+'WICHE Public Grads-RE PROJ'!JD30/'WICHE Public Grads-RE PROJ'!Q30</f>
        <v>0.38861207769157219</v>
      </c>
      <c r="HO28" s="267">
        <f>+'WICHE Public Grads-RE PROJ'!JE30/'WICHE Public Grads-RE PROJ'!R30</f>
        <v>0.37647005427687347</v>
      </c>
      <c r="HP28" s="267">
        <f>+'WICHE Public Grads-RE PROJ'!JF30/'WICHE Public Grads-RE PROJ'!S30</f>
        <v>0.37344695100197223</v>
      </c>
      <c r="HQ28" s="267">
        <f>+'WICHE Public Grads-RE PROJ'!JG30/'WICHE Public Grads-RE PROJ'!T30</f>
        <v>0.34489632510075968</v>
      </c>
      <c r="HR28" s="267">
        <f>+'WICHE Public Grads-RE PROJ'!JH30/'WICHE Public Grads-RE PROJ'!U30</f>
        <v>0.3307499290652342</v>
      </c>
      <c r="HS28" s="267">
        <f>+'WICHE Public Grads-RE PROJ'!JI30/'WICHE Public Grads-RE PROJ'!V30</f>
        <v>0.31832400718783094</v>
      </c>
      <c r="HT28" s="267">
        <f>+'WICHE Public Grads-RE PROJ'!JJ30/'WICHE Public Grads-RE PROJ'!W30</f>
        <v>0.31120858496101605</v>
      </c>
      <c r="HU28" s="268">
        <f>+'WICHE Public Grads-RE PROJ'!JK30/'WICHE Public Grads-RE PROJ'!Y30</f>
        <v>0.30396573113333752</v>
      </c>
      <c r="HV28" s="268">
        <f>+'WICHE Public Grads-RE PROJ'!JL30/'WICHE Public Grads-RE PROJ'!Z30</f>
        <v>0.29616750495863381</v>
      </c>
      <c r="HW28" s="268">
        <f>+'WICHE Public Grads-RE PROJ'!JM30/'WICHE Public Grads-RE PROJ'!AA30</f>
        <v>0.29315869929828381</v>
      </c>
      <c r="HX28" s="268">
        <f>+'WICHE Public Grads-RE PROJ'!JN30/'WICHE Public Grads-RE PROJ'!AB30</f>
        <v>0.2921101198554682</v>
      </c>
      <c r="HY28" s="266">
        <f>+'WICHE Public Grads-RE PROJ'!JO30/'WICHE Public Grads-RE PROJ'!AC30</f>
        <v>0.2818864154768444</v>
      </c>
      <c r="HZ28" s="266">
        <f>+'WICHE Public Grads-RE PROJ'!JP30/'WICHE Public Grads-RE PROJ'!AD30</f>
        <v>0.27753146802155393</v>
      </c>
      <c r="IA28" s="266">
        <f>+'WICHE Public Grads-RE PROJ'!JQ30/'WICHE Public Grads-RE PROJ'!AE30</f>
        <v>0.27452860134179352</v>
      </c>
      <c r="IB28" s="266">
        <f>+'WICHE Public Grads-RE PROJ'!JR30/'WICHE Public Grads-RE PROJ'!AF30</f>
        <v>0.27389117647342415</v>
      </c>
      <c r="IC28" s="266">
        <f>+'WICHE Public Grads-RE PROJ'!JS30/'WICHE Public Grads-RE PROJ'!AG30</f>
        <v>0.27063896416463773</v>
      </c>
      <c r="ID28" s="268">
        <f>+'WICHE Public Grads-RE PROJ'!JT30/'WICHE Public Grads-RE PROJ'!AH30</f>
        <v>0.2634532434096214</v>
      </c>
      <c r="IE28" s="266">
        <f>+'WICHE Public Grads-RE PROJ'!JU30/'WICHE Public Grads-RE PROJ'!AI30</f>
        <v>0.25843503892480957</v>
      </c>
      <c r="IF28" s="266">
        <f>+'WICHE Public Grads-RE PROJ'!JV30/'WICHE Public Grads-RE PROJ'!AJ30</f>
        <v>0.25890533148465944</v>
      </c>
      <c r="IG28" s="266">
        <f>+'WICHE Public Grads-RE PROJ'!JW30/'WICHE Public Grads-RE PROJ'!AK30</f>
        <v>0.25263195059068849</v>
      </c>
      <c r="IH28" s="266">
        <f>+'WICHE Public Grads-RE PROJ'!JX30/'WICHE Public Grads-RE PROJ'!AL30</f>
        <v>0.25594693024053972</v>
      </c>
      <c r="II28" s="266">
        <f>+'WICHE Public Grads-RE PROJ'!JY30/'WICHE Public Grads-RE PROJ'!AM30</f>
        <v>0.26355519125204946</v>
      </c>
      <c r="IJ28" s="266">
        <f>+'WICHE Public Grads-RE PROJ'!JZ30/'WICHE Public Grads-RE PROJ'!AN30</f>
        <v>0.25651224132534384</v>
      </c>
      <c r="IK28" s="266">
        <f>+'WICHE Public Grads-RE PROJ'!KA30/'WICHE Public Grads-RE PROJ'!AO30</f>
        <v>0.25270163983077276</v>
      </c>
      <c r="IL28" s="266">
        <f>+'WICHE Public Grads-RE PROJ'!KB30/'WICHE Public Grads-RE PROJ'!AP30</f>
        <v>0.25817032788892391</v>
      </c>
      <c r="IM28" s="282">
        <f>+'WICHE Public Grads-RE PROJ'!KC30/'WICHE Public Grads-RE PROJ'!AQ30</f>
        <v>0.25528236829895612</v>
      </c>
      <c r="IN28" s="278">
        <f t="shared" si="44"/>
        <v>1</v>
      </c>
      <c r="IO28" s="278">
        <f t="shared" si="45"/>
        <v>1</v>
      </c>
      <c r="IP28" s="278">
        <f t="shared" si="46"/>
        <v>1</v>
      </c>
      <c r="IQ28" s="278">
        <f t="shared" si="47"/>
        <v>1</v>
      </c>
      <c r="IR28" s="278">
        <f t="shared" si="48"/>
        <v>1</v>
      </c>
      <c r="IS28" s="278">
        <f t="shared" si="49"/>
        <v>1</v>
      </c>
      <c r="IT28" s="278">
        <f t="shared" si="50"/>
        <v>1</v>
      </c>
      <c r="IU28" s="278">
        <f t="shared" si="51"/>
        <v>1</v>
      </c>
      <c r="IV28" s="278">
        <f t="shared" si="52"/>
        <v>1</v>
      </c>
      <c r="IW28" s="278">
        <f t="shared" si="53"/>
        <v>1</v>
      </c>
      <c r="IX28" s="278">
        <f t="shared" si="54"/>
        <v>0.99465165160557856</v>
      </c>
      <c r="IY28" s="278">
        <f t="shared" si="55"/>
        <v>0.99118725758361981</v>
      </c>
      <c r="IZ28" s="278">
        <f t="shared" si="56"/>
        <v>0.99006929078840122</v>
      </c>
      <c r="JA28" s="278">
        <f t="shared" si="57"/>
        <v>0.98658566453745178</v>
      </c>
      <c r="JB28" s="278">
        <f t="shared" si="58"/>
        <v>1</v>
      </c>
      <c r="JC28" s="278">
        <f t="shared" si="59"/>
        <v>0.97552440689657116</v>
      </c>
      <c r="JD28" s="278">
        <f t="shared" si="60"/>
        <v>0.97848681523169789</v>
      </c>
      <c r="JE28" s="278">
        <f t="shared" si="61"/>
        <v>1.0075904488195322</v>
      </c>
      <c r="JF28" s="278">
        <f t="shared" si="62"/>
        <v>1</v>
      </c>
      <c r="JG28" s="278">
        <f t="shared" si="63"/>
        <v>1</v>
      </c>
      <c r="JH28" s="278">
        <f t="shared" si="64"/>
        <v>1</v>
      </c>
      <c r="JI28" s="278">
        <f t="shared" si="65"/>
        <v>1</v>
      </c>
      <c r="JJ28" s="278">
        <f t="shared" si="66"/>
        <v>0.99503064977958866</v>
      </c>
      <c r="JK28" s="278">
        <f t="shared" si="67"/>
        <v>0.99346309057986715</v>
      </c>
      <c r="JL28" s="278">
        <f t="shared" si="68"/>
        <v>0.99233376012096475</v>
      </c>
      <c r="JM28" s="278">
        <f t="shared" si="69"/>
        <v>0.99181493700480072</v>
      </c>
      <c r="JN28" s="278">
        <f t="shared" si="70"/>
        <v>0.99122379054580945</v>
      </c>
      <c r="JO28" s="278">
        <f t="shared" si="71"/>
        <v>0.98948945997270199</v>
      </c>
      <c r="JP28" s="278">
        <f t="shared" si="72"/>
        <v>0.98873273047031374</v>
      </c>
      <c r="JQ28" s="278">
        <f t="shared" si="73"/>
        <v>0.98843989273880362</v>
      </c>
      <c r="JR28" s="278">
        <f t="shared" si="74"/>
        <v>0.98780480887474797</v>
      </c>
      <c r="JS28" s="278">
        <f t="shared" si="75"/>
        <v>0.98663785834763107</v>
      </c>
      <c r="JT28" s="278">
        <f t="shared" si="76"/>
        <v>0.98551915531403167</v>
      </c>
      <c r="JU28" s="278">
        <f t="shared" si="77"/>
        <v>0.98458864782037636</v>
      </c>
      <c r="JV28" s="278">
        <f t="shared" si="78"/>
        <v>0.98829092796891871</v>
      </c>
      <c r="JW28" s="278">
        <f t="shared" si="79"/>
        <v>0.98757045241514063</v>
      </c>
      <c r="JX28" s="278">
        <f t="shared" si="80"/>
        <v>0.98563657323443743</v>
      </c>
      <c r="JY28" s="278">
        <f t="shared" si="81"/>
        <v>0.96854432443862093</v>
      </c>
      <c r="JZ28" s="278">
        <f t="shared" si="81"/>
        <v>0.96467180412170073</v>
      </c>
      <c r="KA28" s="278">
        <f t="shared" si="81"/>
        <v>0.96907736448736437</v>
      </c>
      <c r="KB28" s="278">
        <f t="shared" si="81"/>
        <v>0.96594596476738481</v>
      </c>
    </row>
    <row r="29" spans="1:288" s="17" customFormat="1">
      <c r="A29" s="175" t="s">
        <v>54</v>
      </c>
      <c r="B29" s="262">
        <f>+'WICHE Public Grads-RE PROJ'!AR31/'WICHE Public Grads-RE PROJ'!B31</f>
        <v>3.6607746546894623E-2</v>
      </c>
      <c r="C29" s="262">
        <f>+'WICHE Public Grads-RE PROJ'!AS31/'WICHE Public Grads-RE PROJ'!C31</f>
        <v>3.6150632871635419E-2</v>
      </c>
      <c r="D29" s="262">
        <f>+'WICHE Public Grads-RE PROJ'!AT31/'WICHE Public Grads-RE PROJ'!D31</f>
        <v>3.775065114381649E-2</v>
      </c>
      <c r="E29" s="262">
        <f>+'WICHE Public Grads-RE PROJ'!AU31/'WICHE Public Grads-RE PROJ'!E31</f>
        <v>3.8075843129994756E-2</v>
      </c>
      <c r="F29" s="262">
        <f>+'WICHE Public Grads-RE PROJ'!AV31/'WICHE Public Grads-RE PROJ'!F31</f>
        <v>3.7352796859666339E-2</v>
      </c>
      <c r="G29" s="262">
        <f>+'WICHE Public Grads-RE PROJ'!AW31/'WICHE Public Grads-RE PROJ'!G31</f>
        <v>3.6341328035990772E-2</v>
      </c>
      <c r="H29" s="267">
        <f>+'WICHE Public Grads-RE PROJ'!AX31/'WICHE Public Grads-RE PROJ'!H31</f>
        <v>3.7799631223110017E-2</v>
      </c>
      <c r="I29" s="267">
        <f>+'WICHE Public Grads-RE PROJ'!AY31/'WICHE Public Grads-RE PROJ'!I31</f>
        <v>3.6311488716921914E-2</v>
      </c>
      <c r="J29" s="267">
        <f>+'WICHE Public Grads-RE PROJ'!AZ31/'WICHE Public Grads-RE PROJ'!J31</f>
        <v>4.133696434076662E-2</v>
      </c>
      <c r="K29" s="267">
        <f>+'WICHE Public Grads-RE PROJ'!BA31/'WICHE Public Grads-RE PROJ'!K31</f>
        <v>3.9626920822609005E-2</v>
      </c>
      <c r="L29" s="262">
        <f>+'WICHE Public Grads-RE PROJ'!BB31/'WICHE Public Grads-RE PROJ'!L31</f>
        <v>4.308145240431796E-2</v>
      </c>
      <c r="M29" s="267">
        <f>+'WICHE Public Grads-RE PROJ'!BC31/'WICHE Public Grads-RE PROJ'!M31</f>
        <v>4.1647986030817152E-2</v>
      </c>
      <c r="N29" s="267">
        <f>+'WICHE Public Grads-RE PROJ'!BD31/'WICHE Public Grads-RE PROJ'!N31</f>
        <v>4.4665788239497954E-2</v>
      </c>
      <c r="O29" s="267">
        <f>+'WICHE Public Grads-RE PROJ'!BE31/'WICHE Public Grads-RE PROJ'!O31</f>
        <v>4.3721368903260574E-2</v>
      </c>
      <c r="P29" s="267">
        <f>+'WICHE Public Grads-RE PROJ'!BF31/'WICHE Public Grads-RE PROJ'!P31</f>
        <v>4.5358364847829999E-2</v>
      </c>
      <c r="Q29" s="267">
        <f>+'WICHE Public Grads-RE PROJ'!BG31/'WICHE Public Grads-RE PROJ'!Q31</f>
        <v>4.5586043657403347E-2</v>
      </c>
      <c r="R29" s="267">
        <f>+'WICHE Public Grads-RE PROJ'!BH31/'WICHE Public Grads-RE PROJ'!R31</f>
        <v>4.4594418645024086E-2</v>
      </c>
      <c r="S29" s="267">
        <f>+'WICHE Public Grads-RE PROJ'!BI31/'WICHE Public Grads-RE PROJ'!S31</f>
        <v>4.6440085126108852E-2</v>
      </c>
      <c r="T29" s="267">
        <f>+'WICHE Public Grads-RE PROJ'!BJ31/'WICHE Public Grads-RE PROJ'!T31</f>
        <v>4.6977960706392811E-2</v>
      </c>
      <c r="U29" s="267">
        <f>+'WICHE Public Grads-RE PROJ'!BK31/'WICHE Public Grads-RE PROJ'!U31</f>
        <v>4.1191659107574344E-2</v>
      </c>
      <c r="V29" s="267">
        <f>+'WICHE Public Grads-RE PROJ'!BL31/'WICHE Public Grads-RE PROJ'!V31</f>
        <v>4.5440531362518438E-2</v>
      </c>
      <c r="W29" s="267">
        <f>+'WICHE Public Grads-RE PROJ'!BM31/'WICHE Public Grads-RE PROJ'!W31</f>
        <v>4.7724771208559211E-2</v>
      </c>
      <c r="X29" s="268">
        <f>+'WICHE Public Grads-RE PROJ'!BN31/'WICHE Public Grads-RE PROJ'!Y31</f>
        <v>4.6678467553859203E-2</v>
      </c>
      <c r="Y29" s="268">
        <f>+'WICHE Public Grads-RE PROJ'!BO31/'WICHE Public Grads-RE PROJ'!Z31</f>
        <v>4.5681099522989654E-2</v>
      </c>
      <c r="Z29" s="268">
        <f>+'WICHE Public Grads-RE PROJ'!BP31/'WICHE Public Grads-RE PROJ'!AA31</f>
        <v>4.4446931527667974E-2</v>
      </c>
      <c r="AA29" s="268">
        <f>+'WICHE Public Grads-RE PROJ'!BQ31/'WICHE Public Grads-RE PROJ'!AB31</f>
        <v>4.3891019741675572E-2</v>
      </c>
      <c r="AB29" s="266">
        <f>+'WICHE Public Grads-RE PROJ'!BR31/'WICHE Public Grads-RE PROJ'!AC31</f>
        <v>4.4092696474388453E-2</v>
      </c>
      <c r="AC29" s="266">
        <f>+'WICHE Public Grads-RE PROJ'!BS31/'WICHE Public Grads-RE PROJ'!AD31</f>
        <v>4.3712346341787257E-2</v>
      </c>
      <c r="AD29" s="266">
        <f>+'WICHE Public Grads-RE PROJ'!BT31/'WICHE Public Grads-RE PROJ'!AE31</f>
        <v>4.3744659028335776E-2</v>
      </c>
      <c r="AE29" s="266">
        <f>+'WICHE Public Grads-RE PROJ'!BU31/'WICHE Public Grads-RE PROJ'!AF31</f>
        <v>4.315391813367199E-2</v>
      </c>
      <c r="AF29" s="266">
        <f>+'WICHE Public Grads-RE PROJ'!BV31/'WICHE Public Grads-RE PROJ'!AG31</f>
        <v>4.1786856329341392E-2</v>
      </c>
      <c r="AG29" s="268">
        <f>+'WICHE Public Grads-RE PROJ'!BW31/'WICHE Public Grads-RE PROJ'!AH31</f>
        <v>4.1729549969027675E-2</v>
      </c>
      <c r="AH29" s="266">
        <f>+'WICHE Public Grads-RE PROJ'!BX31/'WICHE Public Grads-RE PROJ'!AI31</f>
        <v>3.8021140912816491E-2</v>
      </c>
      <c r="AI29" s="266">
        <f>+'WICHE Public Grads-RE PROJ'!BY31/'WICHE Public Grads-RE PROJ'!AJ31</f>
        <v>3.6691055056417274E-2</v>
      </c>
      <c r="AJ29" s="266">
        <f>+'WICHE Public Grads-RE PROJ'!BZ31/'WICHE Public Grads-RE PROJ'!AK31</f>
        <v>3.945777655732588E-2</v>
      </c>
      <c r="AK29" s="266">
        <f>+'WICHE Public Grads-RE PROJ'!CA31/'WICHE Public Grads-RE PROJ'!AL31</f>
        <v>4.221553131988643E-2</v>
      </c>
      <c r="AL29" s="266">
        <f>+'WICHE Public Grads-RE PROJ'!CB31/'WICHE Public Grads-RE PROJ'!AM31</f>
        <v>4.3059177804699776E-2</v>
      </c>
      <c r="AM29" s="266">
        <f>+'WICHE Public Grads-RE PROJ'!CC31/'WICHE Public Grads-RE PROJ'!AN31</f>
        <v>4.2495886102792972E-2</v>
      </c>
      <c r="AN29" s="266">
        <f>+'WICHE Public Grads-RE PROJ'!CD31/'WICHE Public Grads-RE PROJ'!AO31</f>
        <v>4.6706985106372015E-2</v>
      </c>
      <c r="AO29" s="266">
        <f>+'WICHE Public Grads-RE PROJ'!CE31/'WICHE Public Grads-RE PROJ'!AP31</f>
        <v>4.7249759872119733E-2</v>
      </c>
      <c r="AP29" s="282">
        <f>+'WICHE Public Grads-RE PROJ'!CF31/'WICHE Public Grads-RE PROJ'!AQ31</f>
        <v>4.9168427710733639E-2</v>
      </c>
      <c r="AQ29" s="262">
        <f>+'WICHE Public Grads-RE PROJ'!CG31/'WICHE Public Grads-RE PROJ'!B31</f>
        <v>7.1476866608712452E-3</v>
      </c>
      <c r="AR29" s="262">
        <f>+'WICHE Public Grads-RE PROJ'!CH31/'WICHE Public Grads-RE PROJ'!C31</f>
        <v>7.0668048619617454E-3</v>
      </c>
      <c r="AS29" s="262">
        <f>+'WICHE Public Grads-RE PROJ'!CI31/'WICHE Public Grads-RE PROJ'!D31</f>
        <v>6.7467913515549E-3</v>
      </c>
      <c r="AT29" s="262">
        <f>+'WICHE Public Grads-RE PROJ'!CJ31/'WICHE Public Grads-RE PROJ'!E31</f>
        <v>7.5287728717331609E-3</v>
      </c>
      <c r="AU29" s="262">
        <f>+'WICHE Public Grads-RE PROJ'!CK31/'WICHE Public Grads-RE PROJ'!F31</f>
        <v>7.2681550539744847E-3</v>
      </c>
      <c r="AV29" s="262">
        <f>+'WICHE Public Grads-RE PROJ'!CL31/'WICHE Public Grads-RE PROJ'!G31</f>
        <v>6.9527621162104522E-3</v>
      </c>
      <c r="AW29" s="267">
        <f>+'WICHE Public Grads-RE PROJ'!CM31/'WICHE Public Grads-RE PROJ'!H31</f>
        <v>7.5990389450745939E-3</v>
      </c>
      <c r="AX29" s="267">
        <f>+'WICHE Public Grads-RE PROJ'!CN31/'WICHE Public Grads-RE PROJ'!I31</f>
        <v>7.3597056117755289E-3</v>
      </c>
      <c r="AY29" s="267">
        <f>+'WICHE Public Grads-RE PROJ'!CO31/'WICHE Public Grads-RE PROJ'!J31</f>
        <v>8.2468399958894253E-3</v>
      </c>
      <c r="AZ29" s="267">
        <f>+'WICHE Public Grads-RE PROJ'!CP31/'WICHE Public Grads-RE PROJ'!K31</f>
        <v>7.7724828623123776E-3</v>
      </c>
      <c r="BA29" s="262">
        <f>+'WICHE Public Grads-RE PROJ'!CQ31/'WICHE Public Grads-RE PROJ'!L31</f>
        <v>7.7036310107948969E-3</v>
      </c>
      <c r="BB29" s="267">
        <f>+'WICHE Public Grads-RE PROJ'!CR31/'WICHE Public Grads-RE PROJ'!M31</f>
        <v>8.6835460959437463E-3</v>
      </c>
      <c r="BC29" s="267">
        <f>+'WICHE Public Grads-RE PROJ'!CS31/'WICHE Public Grads-RE PROJ'!N31</f>
        <v>9.0001563302588381E-3</v>
      </c>
      <c r="BD29" s="267">
        <f>+'WICHE Public Grads-RE PROJ'!CT31/'WICHE Public Grads-RE PROJ'!O31</f>
        <v>9.4089643402497074E-3</v>
      </c>
      <c r="BE29" s="267">
        <f>+'WICHE Public Grads-RE PROJ'!CU31/'WICHE Public Grads-RE PROJ'!P31</f>
        <v>8.9591211957500451E-3</v>
      </c>
      <c r="BF29" s="267">
        <f>+'WICHE Public Grads-RE PROJ'!CV31/'WICHE Public Grads-RE PROJ'!Q31</f>
        <v>9.7527833786271584E-3</v>
      </c>
      <c r="BG29" s="267">
        <f>+'WICHE Public Grads-RE PROJ'!CW31/'WICHE Public Grads-RE PROJ'!R31</f>
        <v>9.5047957987934549E-3</v>
      </c>
      <c r="BH29" s="267">
        <f>+'WICHE Public Grads-RE PROJ'!CX31/'WICHE Public Grads-RE PROJ'!S31</f>
        <v>9.819001664594703E-3</v>
      </c>
      <c r="BI29" s="267">
        <f>+'WICHE Public Grads-RE PROJ'!CY31/'WICHE Public Grads-RE PROJ'!T31</f>
        <v>1.0279596926258591E-2</v>
      </c>
      <c r="BJ29" s="267">
        <f>+'WICHE Public Grads-RE PROJ'!CZ31/'WICHE Public Grads-RE PROJ'!U31</f>
        <v>9.230532714095404E-3</v>
      </c>
      <c r="BK29" s="267">
        <f>+'WICHE Public Grads-RE PROJ'!DA31/'WICHE Public Grads-RE PROJ'!V31</f>
        <v>9.3834629738716018E-3</v>
      </c>
      <c r="BL29" s="267">
        <f>+'WICHE Public Grads-RE PROJ'!DB31/'WICHE Public Grads-RE PROJ'!W31</f>
        <v>8.8133610397737108E-3</v>
      </c>
      <c r="BM29" s="268">
        <f>+'WICHE Public Grads-RE PROJ'!DC31/'WICHE Public Grads-RE PROJ'!Y31</f>
        <v>7.823439088295742E-3</v>
      </c>
      <c r="BN29" s="268">
        <f>+'WICHE Public Grads-RE PROJ'!DD31/'WICHE Public Grads-RE PROJ'!Z31</f>
        <v>6.8094282784801428E-3</v>
      </c>
      <c r="BO29" s="268">
        <f>+'WICHE Public Grads-RE PROJ'!DE31/'WICHE Public Grads-RE PROJ'!AA31</f>
        <v>6.6923029645289175E-3</v>
      </c>
      <c r="BP29" s="268">
        <f>+'WICHE Public Grads-RE PROJ'!DF31/'WICHE Public Grads-RE PROJ'!AB31</f>
        <v>6.56729985978059E-3</v>
      </c>
      <c r="BQ29" s="266">
        <f>+'WICHE Public Grads-RE PROJ'!DG31/'WICHE Public Grads-RE PROJ'!AC31</f>
        <v>6.2045397471278104E-3</v>
      </c>
      <c r="BR29" s="266">
        <f>+'WICHE Public Grads-RE PROJ'!DH31/'WICHE Public Grads-RE PROJ'!AD31</f>
        <v>6.0085219533276904E-3</v>
      </c>
      <c r="BS29" s="266">
        <f>+'WICHE Public Grads-RE PROJ'!DI31/'WICHE Public Grads-RE PROJ'!AE31</f>
        <v>4.9362081684697417E-3</v>
      </c>
      <c r="BT29" s="266">
        <f>+'WICHE Public Grads-RE PROJ'!DJ31/'WICHE Public Grads-RE PROJ'!AF31</f>
        <v>4.8784242197582508E-3</v>
      </c>
      <c r="BU29" s="266">
        <f>+'WICHE Public Grads-RE PROJ'!DK31/'WICHE Public Grads-RE PROJ'!AG31</f>
        <v>4.9581212461241204E-3</v>
      </c>
      <c r="BV29" s="268">
        <f>+'WICHE Public Grads-RE PROJ'!DL31/'WICHE Public Grads-RE PROJ'!AH31</f>
        <v>4.5583963154039271E-3</v>
      </c>
      <c r="BW29" s="266">
        <f>+'WICHE Public Grads-RE PROJ'!DM31/'WICHE Public Grads-RE PROJ'!AI31</f>
        <v>4.442187806277388E-3</v>
      </c>
      <c r="BX29" s="266">
        <f>+'WICHE Public Grads-RE PROJ'!DN31/'WICHE Public Grads-RE PROJ'!AJ31</f>
        <v>3.8434457369079418E-3</v>
      </c>
      <c r="BY29" s="266">
        <f>+'WICHE Public Grads-RE PROJ'!DO31/'WICHE Public Grads-RE PROJ'!AK31</f>
        <v>4.6788414440063035E-3</v>
      </c>
      <c r="BZ29" s="266">
        <f>+'WICHE Public Grads-RE PROJ'!DP31/'WICHE Public Grads-RE PROJ'!AL31</f>
        <v>5.0605217332110606E-3</v>
      </c>
      <c r="CA29" s="266">
        <f>+'WICHE Public Grads-RE PROJ'!DQ31/'WICHE Public Grads-RE PROJ'!AM31</f>
        <v>4.6116331013683863E-3</v>
      </c>
      <c r="CB29" s="266">
        <f>+'WICHE Public Grads-RE PROJ'!DR31/'WICHE Public Grads-RE PROJ'!AN31</f>
        <v>4.1940437067565818E-3</v>
      </c>
      <c r="CC29" s="266">
        <f>+'WICHE Public Grads-RE PROJ'!DS31/'WICHE Public Grads-RE PROJ'!AO31</f>
        <v>4.5643999788878876E-3</v>
      </c>
      <c r="CD29" s="266">
        <f>+'WICHE Public Grads-RE PROJ'!DT31/'WICHE Public Grads-RE PROJ'!AP31</f>
        <v>4.6744841420520572E-3</v>
      </c>
      <c r="CE29" s="282">
        <f>+'WICHE Public Grads-RE PROJ'!DU31/'WICHE Public Grads-RE PROJ'!AQ31</f>
        <v>4.5585034548324011E-3</v>
      </c>
      <c r="CF29" s="262">
        <f>+'WICHE Public Grads-RE PROJ'!DV31/'WICHE Public Grads-RE PROJ'!B31</f>
        <v>2.9460059886023376E-2</v>
      </c>
      <c r="CG29" s="262">
        <f>+'WICHE Public Grads-RE PROJ'!DW31/'WICHE Public Grads-RE PROJ'!C31</f>
        <v>2.9083828009673671E-2</v>
      </c>
      <c r="CH29" s="262">
        <f>+'WICHE Public Grads-RE PROJ'!DX31/'WICHE Public Grads-RE PROJ'!D31</f>
        <v>3.1003859792261588E-2</v>
      </c>
      <c r="CI29" s="262">
        <f>+'WICHE Public Grads-RE PROJ'!DY31/'WICHE Public Grads-RE PROJ'!E31</f>
        <v>3.0547070258261595E-2</v>
      </c>
      <c r="CJ29" s="262">
        <f>+'WICHE Public Grads-RE PROJ'!DZ31/'WICHE Public Grads-RE PROJ'!F31</f>
        <v>3.0084641805691856E-2</v>
      </c>
      <c r="CK29" s="262">
        <f>+'WICHE Public Grads-RE PROJ'!EA31/'WICHE Public Grads-RE PROJ'!G31</f>
        <v>2.9388565919780316E-2</v>
      </c>
      <c r="CL29" s="267">
        <f>+'WICHE Public Grads-RE PROJ'!EB31/'WICHE Public Grads-RE PROJ'!H31</f>
        <v>3.0200592278035426E-2</v>
      </c>
      <c r="CM29" s="267">
        <f>+'WICHE Public Grads-RE PROJ'!EC31/'WICHE Public Grads-RE PROJ'!I31</f>
        <v>2.8951783105146383E-2</v>
      </c>
      <c r="CN29" s="267">
        <f>+'WICHE Public Grads-RE PROJ'!ED31/'WICHE Public Grads-RE PROJ'!J31</f>
        <v>3.3090124344877195E-2</v>
      </c>
      <c r="CO29" s="267">
        <f>+'WICHE Public Grads-RE PROJ'!EE31/'WICHE Public Grads-RE PROJ'!K31</f>
        <v>3.1854437960296626E-2</v>
      </c>
      <c r="CP29" s="262">
        <f>+'WICHE Public Grads-RE PROJ'!EF31/'WICHE Public Grads-RE PROJ'!L31</f>
        <v>3.5377821393523065E-2</v>
      </c>
      <c r="CQ29" s="267">
        <f>+'WICHE Public Grads-RE PROJ'!EG31/'WICHE Public Grads-RE PROJ'!M31</f>
        <v>3.2964439934873406E-2</v>
      </c>
      <c r="CR29" s="267">
        <f>+'WICHE Public Grads-RE PROJ'!EH31/'WICHE Public Grads-RE PROJ'!N31</f>
        <v>3.5665631909239118E-2</v>
      </c>
      <c r="CS29" s="267">
        <f>+'WICHE Public Grads-RE PROJ'!EI31/'WICHE Public Grads-RE PROJ'!O31</f>
        <v>3.4312404563010872E-2</v>
      </c>
      <c r="CT29" s="267">
        <f>+'WICHE Public Grads-RE PROJ'!EJ31/'WICHE Public Grads-RE PROJ'!P31</f>
        <v>3.6399243652079957E-2</v>
      </c>
      <c r="CU29" s="267">
        <f>+'WICHE Public Grads-RE PROJ'!EK31/'WICHE Public Grads-RE PROJ'!Q31</f>
        <v>3.5833260278776188E-2</v>
      </c>
      <c r="CV29" s="267">
        <f>+'WICHE Public Grads-RE PROJ'!EL31/'WICHE Public Grads-RE PROJ'!R31</f>
        <v>3.5089622846230635E-2</v>
      </c>
      <c r="CW29" s="267">
        <f>+'WICHE Public Grads-RE PROJ'!EM31/'WICHE Public Grads-RE PROJ'!S31</f>
        <v>3.6621083461514152E-2</v>
      </c>
      <c r="CX29" s="267">
        <f>+'WICHE Public Grads-RE PROJ'!EN31/'WICHE Public Grads-RE PROJ'!T31</f>
        <v>3.6698363780134226E-2</v>
      </c>
      <c r="CY29" s="267">
        <f>+'WICHE Public Grads-RE PROJ'!EO31/'WICHE Public Grads-RE PROJ'!U31</f>
        <v>3.1961126393478943E-2</v>
      </c>
      <c r="CZ29" s="267">
        <f>+'WICHE Public Grads-RE PROJ'!EP31/'WICHE Public Grads-RE PROJ'!V31</f>
        <v>3.6057068388646835E-2</v>
      </c>
      <c r="DA29" s="267">
        <f>+'WICHE Public Grads-RE PROJ'!EQ31/'WICHE Public Grads-RE PROJ'!W31</f>
        <v>3.89114101687855E-2</v>
      </c>
      <c r="DB29" s="268">
        <f>+'WICHE Public Grads-RE PROJ'!ER31/'WICHE Public Grads-RE PROJ'!Y31</f>
        <v>3.8855028465563456E-2</v>
      </c>
      <c r="DC29" s="268">
        <f>+'WICHE Public Grads-RE PROJ'!ES31/'WICHE Public Grads-RE PROJ'!Z31</f>
        <v>3.8871671244509506E-2</v>
      </c>
      <c r="DD29" s="268">
        <f>+'WICHE Public Grads-RE PROJ'!ET31/'WICHE Public Grads-RE PROJ'!AA31</f>
        <v>3.7754628563139055E-2</v>
      </c>
      <c r="DE29" s="268">
        <f>+'WICHE Public Grads-RE PROJ'!EU31/'WICHE Public Grads-RE PROJ'!AB31</f>
        <v>3.7323719881894979E-2</v>
      </c>
      <c r="DF29" s="266">
        <f>+'WICHE Public Grads-RE PROJ'!EV31/'WICHE Public Grads-RE PROJ'!AC31</f>
        <v>3.788815672726064E-2</v>
      </c>
      <c r="DG29" s="266">
        <f>+'WICHE Public Grads-RE PROJ'!EW31/'WICHE Public Grads-RE PROJ'!AD31</f>
        <v>3.7703824388459567E-2</v>
      </c>
      <c r="DH29" s="266">
        <f>+'WICHE Public Grads-RE PROJ'!EX31/'WICHE Public Grads-RE PROJ'!AE31</f>
        <v>3.8808450859866034E-2</v>
      </c>
      <c r="DI29" s="266">
        <f>+'WICHE Public Grads-RE PROJ'!EY31/'WICHE Public Grads-RE PROJ'!AF31</f>
        <v>3.8275493913913737E-2</v>
      </c>
      <c r="DJ29" s="266">
        <f>+'WICHE Public Grads-RE PROJ'!EZ31/'WICHE Public Grads-RE PROJ'!AG31</f>
        <v>3.6828735083217268E-2</v>
      </c>
      <c r="DK29" s="268">
        <f>+'WICHE Public Grads-RE PROJ'!FA31/'WICHE Public Grads-RE PROJ'!AH31</f>
        <v>3.7171153653623751E-2</v>
      </c>
      <c r="DL29" s="266">
        <f>+'WICHE Public Grads-RE PROJ'!FB31/'WICHE Public Grads-RE PROJ'!AI31</f>
        <v>3.3578953106539106E-2</v>
      </c>
      <c r="DM29" s="266">
        <f>+'WICHE Public Grads-RE PROJ'!FC31/'WICHE Public Grads-RE PROJ'!AJ31</f>
        <v>3.2847609319509335E-2</v>
      </c>
      <c r="DN29" s="266">
        <f>+'WICHE Public Grads-RE PROJ'!FD31/'WICHE Public Grads-RE PROJ'!AK31</f>
        <v>3.4778935113319573E-2</v>
      </c>
      <c r="DO29" s="266">
        <f>+'WICHE Public Grads-RE PROJ'!FE31/'WICHE Public Grads-RE PROJ'!AL31</f>
        <v>3.7155009586675364E-2</v>
      </c>
      <c r="DP29" s="266">
        <f>+'WICHE Public Grads-RE PROJ'!FF31/'WICHE Public Grads-RE PROJ'!AM31</f>
        <v>3.8447544703331386E-2</v>
      </c>
      <c r="DQ29" s="266">
        <f>+'WICHE Public Grads-RE PROJ'!FG31/'WICHE Public Grads-RE PROJ'!AN31</f>
        <v>3.8301842396036394E-2</v>
      </c>
      <c r="DR29" s="266">
        <f>+'WICHE Public Grads-RE PROJ'!FH31/'WICHE Public Grads-RE PROJ'!AO31</f>
        <v>4.2142585127484124E-2</v>
      </c>
      <c r="DS29" s="266">
        <f>+'WICHE Public Grads-RE PROJ'!FI31/'WICHE Public Grads-RE PROJ'!AP31</f>
        <v>4.2575275730067683E-2</v>
      </c>
      <c r="DT29" s="282">
        <f>+'WICHE Public Grads-RE PROJ'!FJ31/'WICHE Public Grads-RE PROJ'!AQ31</f>
        <v>4.460992425590124E-2</v>
      </c>
      <c r="DU29" s="262">
        <f>+'WICHE Public Grads-RE PROJ'!FK31/'WICHE Public Grads-RE PROJ'!B31</f>
        <v>4.140506777423613E-2</v>
      </c>
      <c r="DV29" s="262">
        <f>+'WICHE Public Grads-RE PROJ'!FL31/'WICHE Public Grads-RE PROJ'!C31</f>
        <v>4.2589277301422784E-2</v>
      </c>
      <c r="DW29" s="262">
        <f>+'WICHE Public Grads-RE PROJ'!FM31/'WICHE Public Grads-RE PROJ'!D31</f>
        <v>4.2238051903222773E-2</v>
      </c>
      <c r="DX29" s="262">
        <f>+'WICHE Public Grads-RE PROJ'!FN31/'WICHE Public Grads-RE PROJ'!E31</f>
        <v>4.3074454626801199E-2</v>
      </c>
      <c r="DY29" s="262">
        <f>+'WICHE Public Grads-RE PROJ'!FO31/'WICHE Public Grads-RE PROJ'!F31</f>
        <v>4.1830225711481844E-2</v>
      </c>
      <c r="DZ29" s="262">
        <f>+'WICHE Public Grads-RE PROJ'!FP31/'WICHE Public Grads-RE PROJ'!G31</f>
        <v>4.5485086617393589E-2</v>
      </c>
      <c r="EA29" s="267">
        <f>+'WICHE Public Grads-RE PROJ'!FQ31/'WICHE Public Grads-RE PROJ'!H31</f>
        <v>4.4532603229591551E-2</v>
      </c>
      <c r="EB29" s="267">
        <f>+'WICHE Public Grads-RE PROJ'!FR31/'WICHE Public Grads-RE PROJ'!I31</f>
        <v>4.3535905622598625E-2</v>
      </c>
      <c r="EC29" s="267">
        <f>+'WICHE Public Grads-RE PROJ'!FS31/'WICHE Public Grads-RE PROJ'!J31</f>
        <v>4.3495015928476002E-2</v>
      </c>
      <c r="ED29" s="267">
        <f>+'WICHE Public Grads-RE PROJ'!FT31/'WICHE Public Grads-RE PROJ'!K31</f>
        <v>4.2837848169006904E-2</v>
      </c>
      <c r="EE29" s="262">
        <f>+'WICHE Public Grads-RE PROJ'!FU31/'WICHE Public Grads-RE PROJ'!L31</f>
        <v>4.411187438665358E-2</v>
      </c>
      <c r="EF29" s="267">
        <f>+'WICHE Public Grads-RE PROJ'!FV31/'WICHE Public Grads-RE PROJ'!M31</f>
        <v>4.3630099813586919E-2</v>
      </c>
      <c r="EG29" s="267">
        <f>+'WICHE Public Grads-RE PROJ'!FW31/'WICHE Public Grads-RE PROJ'!N31</f>
        <v>4.8998369698729255E-2</v>
      </c>
      <c r="EH29" s="267">
        <f>+'WICHE Public Grads-RE PROJ'!FX31/'WICHE Public Grads-RE PROJ'!O31</f>
        <v>4.9941615018413724E-2</v>
      </c>
      <c r="EI29" s="267">
        <f>+'WICHE Public Grads-RE PROJ'!FY31/'WICHE Public Grads-RE PROJ'!P31</f>
        <v>4.7924545290833787E-2</v>
      </c>
      <c r="EJ29" s="267">
        <f>+'WICHE Public Grads-RE PROJ'!FZ31/'WICHE Public Grads-RE PROJ'!Q31</f>
        <v>5.2971859384588413E-2</v>
      </c>
      <c r="EK29" s="267">
        <f>+'WICHE Public Grads-RE PROJ'!GA31/'WICHE Public Grads-RE PROJ'!R31</f>
        <v>5.420771667896359E-2</v>
      </c>
      <c r="EL29" s="267">
        <f>+'WICHE Public Grads-RE PROJ'!GB31/'WICHE Public Grads-RE PROJ'!S31</f>
        <v>5.5184475020544049E-2</v>
      </c>
      <c r="EM29" s="267">
        <f>+'WICHE Public Grads-RE PROJ'!GC31/'WICHE Public Grads-RE PROJ'!T31</f>
        <v>5.9062062813000547E-2</v>
      </c>
      <c r="EN29" s="267">
        <f>+'WICHE Public Grads-RE PROJ'!GD31/'WICHE Public Grads-RE PROJ'!U31</f>
        <v>5.322984925272712E-2</v>
      </c>
      <c r="EO29" s="267">
        <f>+'WICHE Public Grads-RE PROJ'!GE31/'WICHE Public Grads-RE PROJ'!V31</f>
        <v>5.1199295015847995E-2</v>
      </c>
      <c r="EP29" s="267">
        <f>+'WICHE Public Grads-RE PROJ'!GF31/'WICHE Public Grads-RE PROJ'!W31</f>
        <v>4.9789669544619983E-2</v>
      </c>
      <c r="EQ29" s="268">
        <f>+'WICHE Public Grads-RE PROJ'!GG31/'WICHE Public Grads-RE PROJ'!Y31</f>
        <v>4.8888018725325548E-2</v>
      </c>
      <c r="ER29" s="268">
        <f>+'WICHE Public Grads-RE PROJ'!GH31/'WICHE Public Grads-RE PROJ'!Z31</f>
        <v>4.6947321891816989E-2</v>
      </c>
      <c r="ES29" s="268">
        <f>+'WICHE Public Grads-RE PROJ'!GI31/'WICHE Public Grads-RE PROJ'!AA31</f>
        <v>4.7286364312254539E-2</v>
      </c>
      <c r="ET29" s="268">
        <f>+'WICHE Public Grads-RE PROJ'!GJ31/'WICHE Public Grads-RE PROJ'!AB31</f>
        <v>4.6193234464312935E-2</v>
      </c>
      <c r="EU29" s="266">
        <f>+'WICHE Public Grads-RE PROJ'!GK31/'WICHE Public Grads-RE PROJ'!AC31</f>
        <v>4.4485298686631827E-2</v>
      </c>
      <c r="EV29" s="266">
        <f>+'WICHE Public Grads-RE PROJ'!GL31/'WICHE Public Grads-RE PROJ'!AD31</f>
        <v>4.2562389688641782E-2</v>
      </c>
      <c r="EW29" s="266">
        <f>+'WICHE Public Grads-RE PROJ'!GM31/'WICHE Public Grads-RE PROJ'!AE31</f>
        <v>4.1126510510934425E-2</v>
      </c>
      <c r="EX29" s="266">
        <f>+'WICHE Public Grads-RE PROJ'!GN31/'WICHE Public Grads-RE PROJ'!AF31</f>
        <v>4.0101403190157162E-2</v>
      </c>
      <c r="EY29" s="266">
        <f>+'WICHE Public Grads-RE PROJ'!GO31/'WICHE Public Grads-RE PROJ'!AG31</f>
        <v>3.8440612620459592E-2</v>
      </c>
      <c r="EZ29" s="268">
        <f>+'WICHE Public Grads-RE PROJ'!GP31/'WICHE Public Grads-RE PROJ'!AH31</f>
        <v>3.9602560777289471E-2</v>
      </c>
      <c r="FA29" s="266">
        <f>+'WICHE Public Grads-RE PROJ'!GQ31/'WICHE Public Grads-RE PROJ'!AI31</f>
        <v>3.7843515248317826E-2</v>
      </c>
      <c r="FB29" s="266">
        <f>+'WICHE Public Grads-RE PROJ'!GR31/'WICHE Public Grads-RE PROJ'!AJ31</f>
        <v>3.8612598586868767E-2</v>
      </c>
      <c r="FC29" s="266">
        <f>+'WICHE Public Grads-RE PROJ'!GS31/'WICHE Public Grads-RE PROJ'!AK31</f>
        <v>4.1438094696472881E-2</v>
      </c>
      <c r="FD29" s="266">
        <f>+'WICHE Public Grads-RE PROJ'!GT31/'WICHE Public Grads-RE PROJ'!AL31</f>
        <v>4.19078602442629E-2</v>
      </c>
      <c r="FE29" s="266">
        <f>+'WICHE Public Grads-RE PROJ'!GU31/'WICHE Public Grads-RE PROJ'!AM31</f>
        <v>4.3988012527181437E-2</v>
      </c>
      <c r="FF29" s="266">
        <f>+'WICHE Public Grads-RE PROJ'!GV31/'WICHE Public Grads-RE PROJ'!AN31</f>
        <v>4.2249694684643783E-2</v>
      </c>
      <c r="FG29" s="266">
        <f>+'WICHE Public Grads-RE PROJ'!GW31/'WICHE Public Grads-RE PROJ'!AO31</f>
        <v>4.3046586760163409E-2</v>
      </c>
      <c r="FH29" s="266">
        <f>+'WICHE Public Grads-RE PROJ'!GX31/'WICHE Public Grads-RE PROJ'!AP31</f>
        <v>4.4818330930487232E-2</v>
      </c>
      <c r="FI29" s="282">
        <f>+'WICHE Public Grads-RE PROJ'!GY31/'WICHE Public Grads-RE PROJ'!AQ31</f>
        <v>4.604192467732119E-2</v>
      </c>
      <c r="FJ29" s="262">
        <f>+'WICHE Public Grads-RE PROJ'!GZ31/'WICHE Public Grads-RE PROJ'!B31</f>
        <v>0.13181364499822917</v>
      </c>
      <c r="FK29" s="262">
        <f>+'WICHE Public Grads-RE PROJ'!HA31/'WICHE Public Grads-RE PROJ'!C31</f>
        <v>0.13338986777222903</v>
      </c>
      <c r="FL29" s="262">
        <f>+'WICHE Public Grads-RE PROJ'!HB31/'WICHE Public Grads-RE PROJ'!D31</f>
        <v>0.13135845859352935</v>
      </c>
      <c r="FM29" s="262">
        <f>+'WICHE Public Grads-RE PROJ'!HC31/'WICHE Public Grads-RE PROJ'!E31</f>
        <v>0.12943935326606806</v>
      </c>
      <c r="FN29" s="262">
        <f>+'WICHE Public Grads-RE PROJ'!HD31/'WICHE Public Grads-RE PROJ'!F31</f>
        <v>0.12601202158979391</v>
      </c>
      <c r="FO29" s="262">
        <f>+'WICHE Public Grads-RE PROJ'!HE31/'WICHE Public Grads-RE PROJ'!G31</f>
        <v>0.12950249773597031</v>
      </c>
      <c r="FP29" s="267">
        <f>+'WICHE Public Grads-RE PROJ'!HF31/'WICHE Public Grads-RE PROJ'!H31</f>
        <v>0.12884841034810304</v>
      </c>
      <c r="FQ29" s="267">
        <f>+'WICHE Public Grads-RE PROJ'!HG31/'WICHE Public Grads-RE PROJ'!I31</f>
        <v>0.13455814708588126</v>
      </c>
      <c r="FR29" s="267">
        <f>+'WICHE Public Grads-RE PROJ'!HH31/'WICHE Public Grads-RE PROJ'!J31</f>
        <v>0.13287431918610626</v>
      </c>
      <c r="FS29" s="267">
        <f>+'WICHE Public Grads-RE PROJ'!HI31/'WICHE Public Grads-RE PROJ'!K31</f>
        <v>0.13559797150939068</v>
      </c>
      <c r="FT29" s="262">
        <f>+'WICHE Public Grads-RE PROJ'!HJ31/'WICHE Public Grads-RE PROJ'!L31</f>
        <v>0.13984298331697742</v>
      </c>
      <c r="FU29" s="267">
        <f>+'WICHE Public Grads-RE PROJ'!HK31/'WICHE Public Grads-RE PROJ'!M31</f>
        <v>0.14795063592817198</v>
      </c>
      <c r="FV29" s="267">
        <f>+'WICHE Public Grads-RE PROJ'!HL31/'WICHE Public Grads-RE PROJ'!N31</f>
        <v>0.16075217187395316</v>
      </c>
      <c r="FW29" s="267">
        <f>+'WICHE Public Grads-RE PROJ'!HM31/'WICHE Public Grads-RE PROJ'!O31</f>
        <v>0.16531932093775262</v>
      </c>
      <c r="FX29" s="267">
        <f>+'WICHE Public Grads-RE PROJ'!HN31/'WICHE Public Grads-RE PROJ'!P31</f>
        <v>0.17393751125517737</v>
      </c>
      <c r="FY29" s="267">
        <f>+'WICHE Public Grads-RE PROJ'!HO31/'WICHE Public Grads-RE PROJ'!Q31</f>
        <v>0.17752257385815728</v>
      </c>
      <c r="FZ29" s="267">
        <f>+'WICHE Public Grads-RE PROJ'!HP31/'WICHE Public Grads-RE PROJ'!R31</f>
        <v>0.18345557918493122</v>
      </c>
      <c r="GA29" s="267">
        <f>+'WICHE Public Grads-RE PROJ'!HQ31/'WICHE Public Grads-RE PROJ'!S31</f>
        <v>0.19730714932889443</v>
      </c>
      <c r="GB29" s="267">
        <f>+'WICHE Public Grads-RE PROJ'!HR31/'WICHE Public Grads-RE PROJ'!T31</f>
        <v>0.21356014679345511</v>
      </c>
      <c r="GC29" s="267">
        <f>+'WICHE Public Grads-RE PROJ'!HS31/'WICHE Public Grads-RE PROJ'!U31</f>
        <v>0.24625912772834285</v>
      </c>
      <c r="GD29" s="267">
        <f>+'WICHE Public Grads-RE PROJ'!HT31/'WICHE Public Grads-RE PROJ'!V31</f>
        <v>0.25074370595164414</v>
      </c>
      <c r="GE29" s="267">
        <f>+'WICHE Public Grads-RE PROJ'!HU31/'WICHE Public Grads-RE PROJ'!W31</f>
        <v>0.25935881337309685</v>
      </c>
      <c r="GF29" s="268">
        <f>+'WICHE Public Grads-RE PROJ'!HV31/'WICHE Public Grads-RE PROJ'!Y31</f>
        <v>0.26595318271249718</v>
      </c>
      <c r="GG29" s="268">
        <f>+'WICHE Public Grads-RE PROJ'!HW31/'WICHE Public Grads-RE PROJ'!Z31</f>
        <v>0.2745820570571823</v>
      </c>
      <c r="GH29" s="268">
        <f>+'WICHE Public Grads-RE PROJ'!HX31/'WICHE Public Grads-RE PROJ'!AA31</f>
        <v>0.28612409204418271</v>
      </c>
      <c r="GI29" s="268">
        <f>+'WICHE Public Grads-RE PROJ'!HY31/'WICHE Public Grads-RE PROJ'!AB31</f>
        <v>0.28909885534585478</v>
      </c>
      <c r="GJ29" s="266">
        <f>+'WICHE Public Grads-RE PROJ'!HZ31/'WICHE Public Grads-RE PROJ'!AC31</f>
        <v>0.30370784825128183</v>
      </c>
      <c r="GK29" s="266">
        <f>+'WICHE Public Grads-RE PROJ'!IA31/'WICHE Public Grads-RE PROJ'!AD31</f>
        <v>0.30699804868293618</v>
      </c>
      <c r="GL29" s="266">
        <f>+'WICHE Public Grads-RE PROJ'!IB31/'WICHE Public Grads-RE PROJ'!AE31</f>
        <v>0.31269903114232173</v>
      </c>
      <c r="GM29" s="266">
        <f>+'WICHE Public Grads-RE PROJ'!IC31/'WICHE Public Grads-RE PROJ'!AF31</f>
        <v>0.31660716361540048</v>
      </c>
      <c r="GN29" s="266">
        <f>+'WICHE Public Grads-RE PROJ'!ID31/'WICHE Public Grads-RE PROJ'!AG31</f>
        <v>0.3208093824120799</v>
      </c>
      <c r="GO29" s="268">
        <f>+'WICHE Public Grads-RE PROJ'!IE31/'WICHE Public Grads-RE PROJ'!AH31</f>
        <v>0.32789115376296135</v>
      </c>
      <c r="GP29" s="266">
        <f>+'WICHE Public Grads-RE PROJ'!IF31/'WICHE Public Grads-RE PROJ'!AI31</f>
        <v>0.32736710253717533</v>
      </c>
      <c r="GQ29" s="266">
        <f>+'WICHE Public Grads-RE PROJ'!IG31/'WICHE Public Grads-RE PROJ'!AJ31</f>
        <v>0.33802251484507917</v>
      </c>
      <c r="GR29" s="266">
        <f>+'WICHE Public Grads-RE PROJ'!IH31/'WICHE Public Grads-RE PROJ'!AK31</f>
        <v>0.32623367926900915</v>
      </c>
      <c r="GS29" s="266">
        <f>+'WICHE Public Grads-RE PROJ'!II31/'WICHE Public Grads-RE PROJ'!AL31</f>
        <v>0.3130715328720729</v>
      </c>
      <c r="GT29" s="266">
        <f>+'WICHE Public Grads-RE PROJ'!IJ31/'WICHE Public Grads-RE PROJ'!AM31</f>
        <v>0.30545489174580853</v>
      </c>
      <c r="GU29" s="266">
        <f>+'WICHE Public Grads-RE PROJ'!IK31/'WICHE Public Grads-RE PROJ'!AN31</f>
        <v>0.28979537134099509</v>
      </c>
      <c r="GV29" s="266">
        <f>+'WICHE Public Grads-RE PROJ'!IL31/'WICHE Public Grads-RE PROJ'!AO31</f>
        <v>0.28584214493163229</v>
      </c>
      <c r="GW29" s="266">
        <f>+'WICHE Public Grads-RE PROJ'!IM31/'WICHE Public Grads-RE PROJ'!AP31</f>
        <v>0.28625078543404314</v>
      </c>
      <c r="GX29" s="282">
        <f>+'WICHE Public Grads-RE PROJ'!IN31/'WICHE Public Grads-RE PROJ'!AQ31</f>
        <v>0.27980089273748604</v>
      </c>
      <c r="GY29" s="262">
        <f>+'WICHE Public Grads-RE PROJ'!IO31/'WICHE Public Grads-RE PROJ'!B31</f>
        <v>0.79017354068064005</v>
      </c>
      <c r="GZ29" s="262">
        <f>+'WICHE Public Grads-RE PROJ'!IP31/'WICHE Public Grads-RE PROJ'!C31</f>
        <v>0.7878702220547128</v>
      </c>
      <c r="HA29" s="262">
        <f>+'WICHE Public Grads-RE PROJ'!IQ31/'WICHE Public Grads-RE PROJ'!D31</f>
        <v>0.78865283835943134</v>
      </c>
      <c r="HB29" s="262">
        <f>+'WICHE Public Grads-RE PROJ'!IR31/'WICHE Public Grads-RE PROJ'!E31</f>
        <v>0.78941034897713602</v>
      </c>
      <c r="HC29" s="262">
        <f>+'WICHE Public Grads-RE PROJ'!IS31/'WICHE Public Grads-RE PROJ'!F31</f>
        <v>0.79480495583905786</v>
      </c>
      <c r="HD29" s="262">
        <f>+'WICHE Public Grads-RE PROJ'!IT31/'WICHE Public Grads-RE PROJ'!G31</f>
        <v>0.7886710876106453</v>
      </c>
      <c r="HE29" s="267">
        <f>+'WICHE Public Grads-RE PROJ'!IU31/'WICHE Public Grads-RE PROJ'!H31</f>
        <v>0.78881935519919544</v>
      </c>
      <c r="HF29" s="267">
        <f>+'WICHE Public Grads-RE PROJ'!IV31/'WICHE Public Grads-RE PROJ'!I31</f>
        <v>0.7855944585745982</v>
      </c>
      <c r="HG29" s="267">
        <f>+'WICHE Public Grads-RE PROJ'!IW31/'WICHE Public Grads-RE PROJ'!J31</f>
        <v>0.78229370054465108</v>
      </c>
      <c r="HH29" s="267">
        <f>+'WICHE Public Grads-RE PROJ'!IX31/'WICHE Public Grads-RE PROJ'!K31</f>
        <v>0.7819372594989934</v>
      </c>
      <c r="HI29" s="262">
        <f>+'WICHE Public Grads-RE PROJ'!IY31/'WICHE Public Grads-RE PROJ'!L31</f>
        <v>0.772963689892051</v>
      </c>
      <c r="HJ29" s="267">
        <f>+'WICHE Public Grads-RE PROJ'!IZ31/'WICHE Public Grads-RE PROJ'!M31</f>
        <v>0.76677127822742397</v>
      </c>
      <c r="HK29" s="267">
        <f>+'WICHE Public Grads-RE PROJ'!JA31/'WICHE Public Grads-RE PROJ'!N31</f>
        <v>0.74558367018781968</v>
      </c>
      <c r="HL29" s="267">
        <f>+'WICHE Public Grads-RE PROJ'!JB31/'WICHE Public Grads-RE PROJ'!O31</f>
        <v>0.74101769514057303</v>
      </c>
      <c r="HM29" s="267">
        <f>+'WICHE Public Grads-RE PROJ'!JC31/'WICHE Public Grads-RE PROJ'!P31</f>
        <v>0.73277957860615883</v>
      </c>
      <c r="HN29" s="267">
        <f>+'WICHE Public Grads-RE PROJ'!JD31/'WICHE Public Grads-RE PROJ'!Q31</f>
        <v>0.72391952309985097</v>
      </c>
      <c r="HO29" s="267">
        <f>+'WICHE Public Grads-RE PROJ'!JE31/'WICHE Public Grads-RE PROJ'!R31</f>
        <v>0.7177422854910811</v>
      </c>
      <c r="HP29" s="267">
        <f>+'WICHE Public Grads-RE PROJ'!JF31/'WICHE Public Grads-RE PROJ'!S31</f>
        <v>0.70106829052445263</v>
      </c>
      <c r="HQ29" s="267">
        <f>+'WICHE Public Grads-RE PROJ'!JG31/'WICHE Public Grads-RE PROJ'!T31</f>
        <v>0.68039982968715151</v>
      </c>
      <c r="HR29" s="267">
        <f>+'WICHE Public Grads-RE PROJ'!JH31/'WICHE Public Grads-RE PROJ'!U31</f>
        <v>0.65931936391135559</v>
      </c>
      <c r="HS29" s="267">
        <f>+'WICHE Public Grads-RE PROJ'!JI31/'WICHE Public Grads-RE PROJ'!V31</f>
        <v>0.65261646766998938</v>
      </c>
      <c r="HT29" s="267">
        <f>+'WICHE Public Grads-RE PROJ'!JJ31/'WICHE Public Grads-RE PROJ'!W31</f>
        <v>0.64312674587372398</v>
      </c>
      <c r="HU29" s="268">
        <f>+'WICHE Public Grads-RE PROJ'!JK31/'WICHE Public Grads-RE PROJ'!Y31</f>
        <v>0.63420732568472404</v>
      </c>
      <c r="HV29" s="268">
        <f>+'WICHE Public Grads-RE PROJ'!JL31/'WICHE Public Grads-RE PROJ'!Z31</f>
        <v>0.62964193996514983</v>
      </c>
      <c r="HW29" s="268">
        <f>+'WICHE Public Grads-RE PROJ'!JM31/'WICHE Public Grads-RE PROJ'!AA31</f>
        <v>0.61845619361963355</v>
      </c>
      <c r="HX29" s="268">
        <f>+'WICHE Public Grads-RE PROJ'!JN31/'WICHE Public Grads-RE PROJ'!AB31</f>
        <v>0.61628755269846003</v>
      </c>
      <c r="HY29" s="266">
        <f>+'WICHE Public Grads-RE PROJ'!JO31/'WICHE Public Grads-RE PROJ'!AC31</f>
        <v>0.60315833601616864</v>
      </c>
      <c r="HZ29" s="266">
        <f>+'WICHE Public Grads-RE PROJ'!JP31/'WICHE Public Grads-RE PROJ'!AD31</f>
        <v>0.60253262641992733</v>
      </c>
      <c r="IA29" s="266">
        <f>+'WICHE Public Grads-RE PROJ'!JQ31/'WICHE Public Grads-RE PROJ'!AE31</f>
        <v>0.59922861319654386</v>
      </c>
      <c r="IB29" s="266">
        <f>+'WICHE Public Grads-RE PROJ'!JR31/'WICHE Public Grads-RE PROJ'!AF31</f>
        <v>0.59736389151780489</v>
      </c>
      <c r="IC29" s="266">
        <f>+'WICHE Public Grads-RE PROJ'!JS31/'WICHE Public Grads-RE PROJ'!AG31</f>
        <v>0.59661564778218545</v>
      </c>
      <c r="ID29" s="268">
        <f>+'WICHE Public Grads-RE PROJ'!JT31/'WICHE Public Grads-RE PROJ'!AH31</f>
        <v>0.58858293410942319</v>
      </c>
      <c r="IE29" s="266">
        <f>+'WICHE Public Grads-RE PROJ'!JU31/'WICHE Public Grads-RE PROJ'!AI31</f>
        <v>0.59558644576111941</v>
      </c>
      <c r="IF29" s="266">
        <f>+'WICHE Public Grads-RE PROJ'!JV31/'WICHE Public Grads-RE PROJ'!AJ31</f>
        <v>0.58598467588426462</v>
      </c>
      <c r="IG29" s="266">
        <f>+'WICHE Public Grads-RE PROJ'!JW31/'WICHE Public Grads-RE PROJ'!AK31</f>
        <v>0.59148957318692785</v>
      </c>
      <c r="IH29" s="266">
        <f>+'WICHE Public Grads-RE PROJ'!JX31/'WICHE Public Grads-RE PROJ'!AL31</f>
        <v>0.60031676730590322</v>
      </c>
      <c r="II29" s="266">
        <f>+'WICHE Public Grads-RE PROJ'!JY31/'WICHE Public Grads-RE PROJ'!AM31</f>
        <v>0.60462006899976484</v>
      </c>
      <c r="IJ29" s="266">
        <f>+'WICHE Public Grads-RE PROJ'!JZ31/'WICHE Public Grads-RE PROJ'!AN31</f>
        <v>0.61267771830771944</v>
      </c>
      <c r="IK29" s="266">
        <f>+'WICHE Public Grads-RE PROJ'!KA31/'WICHE Public Grads-RE PROJ'!AO31</f>
        <v>0.60355613991233015</v>
      </c>
      <c r="IL29" s="266">
        <f>+'WICHE Public Grads-RE PROJ'!KB31/'WICHE Public Grads-RE PROJ'!AP31</f>
        <v>0.60369355230802824</v>
      </c>
      <c r="IM29" s="282">
        <f>+'WICHE Public Grads-RE PROJ'!KC31/'WICHE Public Grads-RE PROJ'!AQ31</f>
        <v>0.60767961601897902</v>
      </c>
      <c r="IN29" s="278">
        <f t="shared" si="44"/>
        <v>1</v>
      </c>
      <c r="IO29" s="278">
        <f t="shared" si="45"/>
        <v>1</v>
      </c>
      <c r="IP29" s="278">
        <f t="shared" si="46"/>
        <v>1</v>
      </c>
      <c r="IQ29" s="278">
        <f t="shared" si="47"/>
        <v>1</v>
      </c>
      <c r="IR29" s="278">
        <f t="shared" si="48"/>
        <v>1</v>
      </c>
      <c r="IS29" s="278">
        <f t="shared" si="49"/>
        <v>1</v>
      </c>
      <c r="IT29" s="278">
        <f t="shared" si="50"/>
        <v>1</v>
      </c>
      <c r="IU29" s="278">
        <f t="shared" si="51"/>
        <v>1</v>
      </c>
      <c r="IV29" s="278">
        <f t="shared" si="52"/>
        <v>1</v>
      </c>
      <c r="IW29" s="278">
        <f t="shared" si="53"/>
        <v>1</v>
      </c>
      <c r="IX29" s="278">
        <f t="shared" si="54"/>
        <v>1</v>
      </c>
      <c r="IY29" s="278">
        <f t="shared" si="55"/>
        <v>1</v>
      </c>
      <c r="IZ29" s="278">
        <f t="shared" si="56"/>
        <v>1</v>
      </c>
      <c r="JA29" s="278">
        <f t="shared" si="57"/>
        <v>1</v>
      </c>
      <c r="JB29" s="278">
        <f t="shared" si="58"/>
        <v>1</v>
      </c>
      <c r="JC29" s="278">
        <f t="shared" si="59"/>
        <v>1</v>
      </c>
      <c r="JD29" s="278">
        <f t="shared" si="60"/>
        <v>1</v>
      </c>
      <c r="JE29" s="278">
        <f t="shared" si="61"/>
        <v>1</v>
      </c>
      <c r="JF29" s="278">
        <f t="shared" si="62"/>
        <v>1</v>
      </c>
      <c r="JG29" s="278">
        <f t="shared" si="63"/>
        <v>0.99999999999999989</v>
      </c>
      <c r="JH29" s="278">
        <f t="shared" si="64"/>
        <v>1</v>
      </c>
      <c r="JI29" s="278">
        <f t="shared" si="65"/>
        <v>1</v>
      </c>
      <c r="JJ29" s="278">
        <f t="shared" si="66"/>
        <v>0.99572699467640602</v>
      </c>
      <c r="JK29" s="278">
        <f t="shared" si="67"/>
        <v>0.99685241843713879</v>
      </c>
      <c r="JL29" s="278">
        <f t="shared" si="68"/>
        <v>0.99631358150373872</v>
      </c>
      <c r="JM29" s="278">
        <f t="shared" si="69"/>
        <v>0.99547066225030334</v>
      </c>
      <c r="JN29" s="278">
        <f t="shared" si="70"/>
        <v>0.99544417942847074</v>
      </c>
      <c r="JO29" s="278">
        <f t="shared" si="71"/>
        <v>0.99580541113329257</v>
      </c>
      <c r="JP29" s="278">
        <f t="shared" si="72"/>
        <v>0.99679881387813585</v>
      </c>
      <c r="JQ29" s="278">
        <f t="shared" si="73"/>
        <v>0.99722637645703449</v>
      </c>
      <c r="JR29" s="278">
        <f t="shared" si="74"/>
        <v>0.99765249914406628</v>
      </c>
      <c r="JS29" s="278">
        <f t="shared" si="75"/>
        <v>0.99780619861870168</v>
      </c>
      <c r="JT29" s="278">
        <f t="shared" si="76"/>
        <v>0.99881820445942904</v>
      </c>
      <c r="JU29" s="278">
        <f t="shared" si="77"/>
        <v>0.99931084437262985</v>
      </c>
      <c r="JV29" s="278">
        <f t="shared" si="78"/>
        <v>0.99861912370973571</v>
      </c>
      <c r="JW29" s="278">
        <f t="shared" si="79"/>
        <v>0.99751169174212539</v>
      </c>
      <c r="JX29" s="278">
        <f t="shared" si="80"/>
        <v>0.99712215107745461</v>
      </c>
      <c r="JY29" s="278">
        <f t="shared" si="81"/>
        <v>0.9872186704361513</v>
      </c>
      <c r="JZ29" s="278">
        <f t="shared" si="81"/>
        <v>0.97915185671049787</v>
      </c>
      <c r="KA29" s="278">
        <f t="shared" si="81"/>
        <v>0.9820124285446783</v>
      </c>
      <c r="KB29" s="278">
        <f t="shared" si="81"/>
        <v>0.98269086114451987</v>
      </c>
    </row>
    <row r="30" spans="1:288" s="17" customFormat="1">
      <c r="A30" s="175" t="s">
        <v>55</v>
      </c>
      <c r="B30" s="262">
        <f>+'WICHE Public Grads-RE PROJ'!AR32/'WICHE Public Grads-RE PROJ'!B32</f>
        <v>0.7427947598253275</v>
      </c>
      <c r="C30" s="262">
        <f>+'WICHE Public Grads-RE PROJ'!AS32/'WICHE Public Grads-RE PROJ'!C32</f>
        <v>0.73751976507793093</v>
      </c>
      <c r="D30" s="262">
        <f>+'WICHE Public Grads-RE PROJ'!AT32/'WICHE Public Grads-RE PROJ'!D32</f>
        <v>0.73892624613085711</v>
      </c>
      <c r="E30" s="262">
        <f>+'WICHE Public Grads-RE PROJ'!AU32/'WICHE Public Grads-RE PROJ'!E32</f>
        <v>0.74083129584352081</v>
      </c>
      <c r="F30" s="262">
        <f>+'WICHE Public Grads-RE PROJ'!AV32/'WICHE Public Grads-RE PROJ'!F32</f>
        <v>0.740598700330244</v>
      </c>
      <c r="G30" s="262">
        <f>+'WICHE Public Grads-RE PROJ'!AW32/'WICHE Public Grads-RE PROJ'!G32</f>
        <v>0.73826856310897082</v>
      </c>
      <c r="H30" s="267">
        <f>+'WICHE Public Grads-RE PROJ'!AX32/'WICHE Public Grads-RE PROJ'!H32</f>
        <v>0.74777662874870732</v>
      </c>
      <c r="I30" s="267">
        <f>+'WICHE Public Grads-RE PROJ'!AY32/'WICHE Public Grads-RE PROJ'!I32</f>
        <v>0.74891908585546629</v>
      </c>
      <c r="J30" s="267">
        <f>+'WICHE Public Grads-RE PROJ'!AZ32/'WICHE Public Grads-RE PROJ'!J32</f>
        <v>0.75385647216633134</v>
      </c>
      <c r="K30" s="267">
        <f>+'WICHE Public Grads-RE PROJ'!BA32/'WICHE Public Grads-RE PROJ'!K32</f>
        <v>0.74905959215996831</v>
      </c>
      <c r="L30" s="262">
        <f>+'WICHE Public Grads-RE PROJ'!BB32/'WICHE Public Grads-RE PROJ'!L32</f>
        <v>0.74674703406046694</v>
      </c>
      <c r="M30" s="267">
        <f>+'WICHE Public Grads-RE PROJ'!BC32/'WICHE Public Grads-RE PROJ'!M32</f>
        <v>0.74103665235194249</v>
      </c>
      <c r="N30" s="267">
        <f>+'WICHE Public Grads-RE PROJ'!BD32/'WICHE Public Grads-RE PROJ'!N32</f>
        <v>0.74593180937621073</v>
      </c>
      <c r="O30" s="267">
        <f>+'WICHE Public Grads-RE PROJ'!BE32/'WICHE Public Grads-RE PROJ'!O32</f>
        <v>0.74419680014797007</v>
      </c>
      <c r="P30" s="267">
        <f>+'WICHE Public Grads-RE PROJ'!BF32/'WICHE Public Grads-RE PROJ'!P32</f>
        <v>0.75297564548617468</v>
      </c>
      <c r="Q30" s="267">
        <f>+'WICHE Public Grads-RE PROJ'!BG32/'WICHE Public Grads-RE PROJ'!Q32</f>
        <v>0.75431618909879783</v>
      </c>
      <c r="R30" s="267">
        <f>+'WICHE Public Grads-RE PROJ'!BH32/'WICHE Public Grads-RE PROJ'!R32</f>
        <v>0.75527426160337552</v>
      </c>
      <c r="S30" s="267">
        <f>+'WICHE Public Grads-RE PROJ'!BI32/'WICHE Public Grads-RE PROJ'!S32</f>
        <v>0.7586027111574557</v>
      </c>
      <c r="T30" s="267">
        <f>+'WICHE Public Grads-RE PROJ'!BJ32/'WICHE Public Grads-RE PROJ'!T32</f>
        <v>0.75950172758683399</v>
      </c>
      <c r="U30" s="267">
        <f>+'WICHE Public Grads-RE PROJ'!BK32/'WICHE Public Grads-RE PROJ'!U32</f>
        <v>0.79777163070175361</v>
      </c>
      <c r="V30" s="267">
        <f>+'WICHE Public Grads-RE PROJ'!BL32/'WICHE Public Grads-RE PROJ'!V32</f>
        <v>0.78812626351982773</v>
      </c>
      <c r="W30" s="267">
        <f>+'WICHE Public Grads-RE PROJ'!BM32/'WICHE Public Grads-RE PROJ'!W32</f>
        <v>0.79481664050271095</v>
      </c>
      <c r="X30" s="268">
        <f>+'WICHE Public Grads-RE PROJ'!BN32/'WICHE Public Grads-RE PROJ'!Y32</f>
        <v>0.74402822069516172</v>
      </c>
      <c r="Y30" s="268">
        <f>+'WICHE Public Grads-RE PROJ'!BO32/'WICHE Public Grads-RE PROJ'!Z32</f>
        <v>0.74988470983582189</v>
      </c>
      <c r="Z30" s="268">
        <f>+'WICHE Public Grads-RE PROJ'!BP32/'WICHE Public Grads-RE PROJ'!AA32</f>
        <v>0.76988265138123479</v>
      </c>
      <c r="AA30" s="268">
        <f>+'WICHE Public Grads-RE PROJ'!BQ32/'WICHE Public Grads-RE PROJ'!AB32</f>
        <v>0.76451031191141239</v>
      </c>
      <c r="AB30" s="266">
        <f>+'WICHE Public Grads-RE PROJ'!BR32/'WICHE Public Grads-RE PROJ'!AC32</f>
        <v>0.76378325498326582</v>
      </c>
      <c r="AC30" s="266">
        <f>+'WICHE Public Grads-RE PROJ'!BS32/'WICHE Public Grads-RE PROJ'!AD32</f>
        <v>0.76467123683101934</v>
      </c>
      <c r="AD30" s="266">
        <f>+'WICHE Public Grads-RE PROJ'!BT32/'WICHE Public Grads-RE PROJ'!AE32</f>
        <v>0.75450358396925887</v>
      </c>
      <c r="AE30" s="266">
        <f>+'WICHE Public Grads-RE PROJ'!BU32/'WICHE Public Grads-RE PROJ'!AF32</f>
        <v>0.7606699579930829</v>
      </c>
      <c r="AF30" s="266">
        <f>+'WICHE Public Grads-RE PROJ'!BV32/'WICHE Public Grads-RE PROJ'!AG32</f>
        <v>0.75975606358105818</v>
      </c>
      <c r="AG30" s="268">
        <f>+'WICHE Public Grads-RE PROJ'!BW32/'WICHE Public Grads-RE PROJ'!AH32</f>
        <v>0.74764531340848484</v>
      </c>
      <c r="AH30" s="266">
        <f>+'WICHE Public Grads-RE PROJ'!BX32/'WICHE Public Grads-RE PROJ'!AI32</f>
        <v>0.66981658614402906</v>
      </c>
      <c r="AI30" s="266">
        <f>+'WICHE Public Grads-RE PROJ'!BY32/'WICHE Public Grads-RE PROJ'!AJ32</f>
        <v>0.64801472276440508</v>
      </c>
      <c r="AJ30" s="266">
        <f>+'WICHE Public Grads-RE PROJ'!BZ32/'WICHE Public Grads-RE PROJ'!AK32</f>
        <v>0.71968157731106674</v>
      </c>
      <c r="AK30" s="266">
        <f>+'WICHE Public Grads-RE PROJ'!CA32/'WICHE Public Grads-RE PROJ'!AL32</f>
        <v>0.71701734423343588</v>
      </c>
      <c r="AL30" s="266">
        <f>+'WICHE Public Grads-RE PROJ'!CB32/'WICHE Public Grads-RE PROJ'!AM32</f>
        <v>0.69648068064325697</v>
      </c>
      <c r="AM30" s="266">
        <f>+'WICHE Public Grads-RE PROJ'!CC32/'WICHE Public Grads-RE PROJ'!AN32</f>
        <v>0.67399079620369329</v>
      </c>
      <c r="AN30" s="266">
        <f>+'WICHE Public Grads-RE PROJ'!CD32/'WICHE Public Grads-RE PROJ'!AO32</f>
        <v>0.69122026614735188</v>
      </c>
      <c r="AO30" s="266">
        <f>+'WICHE Public Grads-RE PROJ'!CE32/'WICHE Public Grads-RE PROJ'!AP32</f>
        <v>0.68063405313912662</v>
      </c>
      <c r="AP30" s="282">
        <f>+'WICHE Public Grads-RE PROJ'!CF32/'WICHE Public Grads-RE PROJ'!AQ32</f>
        <v>0.68786230049791441</v>
      </c>
      <c r="AQ30" s="262">
        <f>+'WICHE Public Grads-RE PROJ'!CG32/'WICHE Public Grads-RE PROJ'!B32</f>
        <v>3.1659388646288209E-3</v>
      </c>
      <c r="AR30" s="262">
        <f>+'WICHE Public Grads-RE PROJ'!CH32/'WICHE Public Grads-RE PROJ'!C32</f>
        <v>3.2753557714027557E-3</v>
      </c>
      <c r="AS30" s="262">
        <f>+'WICHE Public Grads-RE PROJ'!CI32/'WICHE Public Grads-RE PROJ'!D32</f>
        <v>2.7751094033514781E-3</v>
      </c>
      <c r="AT30" s="262">
        <f>+'WICHE Public Grads-RE PROJ'!CJ32/'WICHE Public Grads-RE PROJ'!E32</f>
        <v>3.295418305517168E-3</v>
      </c>
      <c r="AU30" s="262">
        <f>+'WICHE Public Grads-RE PROJ'!CK32/'WICHE Public Grads-RE PROJ'!F32</f>
        <v>2.2371364653243847E-3</v>
      </c>
      <c r="AV30" s="262">
        <f>+'WICHE Public Grads-RE PROJ'!CL32/'WICHE Public Grads-RE PROJ'!G32</f>
        <v>1.1199462425803562E-4</v>
      </c>
      <c r="AW30" s="267">
        <f>+'WICHE Public Grads-RE PROJ'!CM32/'WICHE Public Grads-RE PROJ'!H32</f>
        <v>2.6887280248190279E-3</v>
      </c>
      <c r="AX30" s="267">
        <f>+'WICHE Public Grads-RE PROJ'!CN32/'WICHE Public Grads-RE PROJ'!I32</f>
        <v>2.7794935145151328E-3</v>
      </c>
      <c r="AY30" s="267">
        <f>+'WICHE Public Grads-RE PROJ'!CO32/'WICHE Public Grads-RE PROJ'!J32</f>
        <v>2.5869502730669733E-3</v>
      </c>
      <c r="AZ30" s="267">
        <f>+'WICHE Public Grads-RE PROJ'!CP32/'WICHE Public Grads-RE PROJ'!K32</f>
        <v>3.2666798653731934E-3</v>
      </c>
      <c r="BA30" s="262">
        <f>+'WICHE Public Grads-RE PROJ'!CQ32/'WICHE Public Grads-RE PROJ'!L32</f>
        <v>3.2529659395331037E-3</v>
      </c>
      <c r="BB30" s="267">
        <f>+'WICHE Public Grads-RE PROJ'!CR32/'WICHE Public Grads-RE PROJ'!M32</f>
        <v>3.4954559073204832E-3</v>
      </c>
      <c r="BC30" s="267">
        <f>+'WICHE Public Grads-RE PROJ'!CS32/'WICHE Public Grads-RE PROJ'!N32</f>
        <v>3.0995738086013174E-3</v>
      </c>
      <c r="BD30" s="267">
        <f>+'WICHE Public Grads-RE PROJ'!CT32/'WICHE Public Grads-RE PROJ'!O32</f>
        <v>4.0691759918616479E-3</v>
      </c>
      <c r="BE30" s="267">
        <f>+'WICHE Public Grads-RE PROJ'!CU32/'WICHE Public Grads-RE PROJ'!P32</f>
        <v>2.4720747115912836E-3</v>
      </c>
      <c r="BF30" s="267">
        <f>+'WICHE Public Grads-RE PROJ'!CV32/'WICHE Public Grads-RE PROJ'!Q32</f>
        <v>3.9772213685257164E-3</v>
      </c>
      <c r="BG30" s="267">
        <f>+'WICHE Public Grads-RE PROJ'!CW32/'WICHE Public Grads-RE PROJ'!R32</f>
        <v>4.5638508567984156E-3</v>
      </c>
      <c r="BH30" s="267">
        <f>+'WICHE Public Grads-RE PROJ'!CX32/'WICHE Public Grads-RE PROJ'!S32</f>
        <v>4.9530761209593327E-3</v>
      </c>
      <c r="BI30" s="267">
        <f>+'WICHE Public Grads-RE PROJ'!CY32/'WICHE Public Grads-RE PROJ'!T32</f>
        <v>5.0918348790689218E-3</v>
      </c>
      <c r="BJ30" s="267">
        <f>+'WICHE Public Grads-RE PROJ'!CZ32/'WICHE Public Grads-RE PROJ'!U32</f>
        <v>3.864172032885201E-3</v>
      </c>
      <c r="BK30" s="267">
        <f>+'WICHE Public Grads-RE PROJ'!DA32/'WICHE Public Grads-RE PROJ'!V32</f>
        <v>5.3805732320812392E-3</v>
      </c>
      <c r="BL30" s="267">
        <f>+'WICHE Public Grads-RE PROJ'!DB32/'WICHE Public Grads-RE PROJ'!W32</f>
        <v>4.1616352112583367E-3</v>
      </c>
      <c r="BM30" s="268">
        <f>+'WICHE Public Grads-RE PROJ'!DC32/'WICHE Public Grads-RE PROJ'!Y32</f>
        <v>3.2681022753545974E-3</v>
      </c>
      <c r="BN30" s="268">
        <f>+'WICHE Public Grads-RE PROJ'!DD32/'WICHE Public Grads-RE PROJ'!Z32</f>
        <v>3.8284904469017287E-3</v>
      </c>
      <c r="BO30" s="268">
        <f>+'WICHE Public Grads-RE PROJ'!DE32/'WICHE Public Grads-RE PROJ'!AA32</f>
        <v>4.7775457776869038E-3</v>
      </c>
      <c r="BP30" s="268">
        <f>+'WICHE Public Grads-RE PROJ'!DF32/'WICHE Public Grads-RE PROJ'!AB32</f>
        <v>4.576523801672454E-3</v>
      </c>
      <c r="BQ30" s="266">
        <f>+'WICHE Public Grads-RE PROJ'!DG32/'WICHE Public Grads-RE PROJ'!AC32</f>
        <v>5.4171886037794438E-3</v>
      </c>
      <c r="BR30" s="266">
        <f>+'WICHE Public Grads-RE PROJ'!DH32/'WICHE Public Grads-RE PROJ'!AD32</f>
        <v>3.3876119440642495E-3</v>
      </c>
      <c r="BS30" s="266">
        <f>+'WICHE Public Grads-RE PROJ'!DI32/'WICHE Public Grads-RE PROJ'!AE32</f>
        <v>3.1477170399966704E-3</v>
      </c>
      <c r="BT30" s="266">
        <f>+'WICHE Public Grads-RE PROJ'!DJ32/'WICHE Public Grads-RE PROJ'!AF32</f>
        <v>2.7024781697610948E-3</v>
      </c>
      <c r="BU30" s="266">
        <f>+'WICHE Public Grads-RE PROJ'!DK32/'WICHE Public Grads-RE PROJ'!AG32</f>
        <v>2.2075405620833174E-3</v>
      </c>
      <c r="BV30" s="268">
        <f>+'WICHE Public Grads-RE PROJ'!DL32/'WICHE Public Grads-RE PROJ'!AH32</f>
        <v>2.291179385595503E-3</v>
      </c>
      <c r="BW30" s="266">
        <f>+'WICHE Public Grads-RE PROJ'!DM32/'WICHE Public Grads-RE PROJ'!AI32</f>
        <v>1.5927978386449664E-3</v>
      </c>
      <c r="BX30" s="266">
        <f>+'WICHE Public Grads-RE PROJ'!DN32/'WICHE Public Grads-RE PROJ'!AJ32</f>
        <v>1.2516508495852734E-3</v>
      </c>
      <c r="BY30" s="266">
        <f>+'WICHE Public Grads-RE PROJ'!DO32/'WICHE Public Grads-RE PROJ'!AK32</f>
        <v>1.931761584690539E-3</v>
      </c>
      <c r="BZ30" s="266">
        <f>+'WICHE Public Grads-RE PROJ'!DP32/'WICHE Public Grads-RE PROJ'!AL32</f>
        <v>1.9519832268027138E-3</v>
      </c>
      <c r="CA30" s="266">
        <f>+'WICHE Public Grads-RE PROJ'!DQ32/'WICHE Public Grads-RE PROJ'!AM32</f>
        <v>1.555284954918165E-3</v>
      </c>
      <c r="CB30" s="266">
        <f>+'WICHE Public Grads-RE PROJ'!DR32/'WICHE Public Grads-RE PROJ'!AN32</f>
        <v>1.9238958220463992E-3</v>
      </c>
      <c r="CC30" s="266">
        <f>+'WICHE Public Grads-RE PROJ'!DS32/'WICHE Public Grads-RE PROJ'!AO32</f>
        <v>1.5936292751030951E-3</v>
      </c>
      <c r="CD30" s="266">
        <f>+'WICHE Public Grads-RE PROJ'!DT32/'WICHE Public Grads-RE PROJ'!AP32</f>
        <v>1.2598984365360915E-3</v>
      </c>
      <c r="CE30" s="282">
        <f>+'WICHE Public Grads-RE PROJ'!DU32/'WICHE Public Grads-RE PROJ'!AQ32</f>
        <v>8.5466179449790664E-4</v>
      </c>
      <c r="CF30" s="262">
        <f>+'WICHE Public Grads-RE PROJ'!DV32/'WICHE Public Grads-RE PROJ'!B32</f>
        <v>0.73962882096069871</v>
      </c>
      <c r="CG30" s="262">
        <f>+'WICHE Public Grads-RE PROJ'!DW32/'WICHE Public Grads-RE PROJ'!C32</f>
        <v>0.73424440930652812</v>
      </c>
      <c r="CH30" s="262">
        <f>+'WICHE Public Grads-RE PROJ'!DX32/'WICHE Public Grads-RE PROJ'!D32</f>
        <v>0.73615113672750565</v>
      </c>
      <c r="CI30" s="262">
        <f>+'WICHE Public Grads-RE PROJ'!DY32/'WICHE Public Grads-RE PROJ'!E32</f>
        <v>0.73753587753800365</v>
      </c>
      <c r="CJ30" s="262">
        <f>+'WICHE Public Grads-RE PROJ'!DZ32/'WICHE Public Grads-RE PROJ'!F32</f>
        <v>0.73836156386491958</v>
      </c>
      <c r="CK30" s="262">
        <f>+'WICHE Public Grads-RE PROJ'!EA32/'WICHE Public Grads-RE PROJ'!G32</f>
        <v>0.73815656848471278</v>
      </c>
      <c r="CL30" s="267">
        <f>+'WICHE Public Grads-RE PROJ'!EB32/'WICHE Public Grads-RE PROJ'!H32</f>
        <v>0.74508790072388831</v>
      </c>
      <c r="CM30" s="267">
        <f>+'WICHE Public Grads-RE PROJ'!EC32/'WICHE Public Grads-RE PROJ'!I32</f>
        <v>0.74613959234095117</v>
      </c>
      <c r="CN30" s="267">
        <f>+'WICHE Public Grads-RE PROJ'!ED32/'WICHE Public Grads-RE PROJ'!J32</f>
        <v>0.75126952189326435</v>
      </c>
      <c r="CO30" s="267">
        <f>+'WICHE Public Grads-RE PROJ'!EE32/'WICHE Public Grads-RE PROJ'!K32</f>
        <v>0.7457929122945951</v>
      </c>
      <c r="CP30" s="262">
        <f>+'WICHE Public Grads-RE PROJ'!EF32/'WICHE Public Grads-RE PROJ'!L32</f>
        <v>0.74349406812093377</v>
      </c>
      <c r="CQ30" s="267">
        <f>+'WICHE Public Grads-RE PROJ'!EG32/'WICHE Public Grads-RE PROJ'!M32</f>
        <v>0.73754119644462202</v>
      </c>
      <c r="CR30" s="267">
        <f>+'WICHE Public Grads-RE PROJ'!EH32/'WICHE Public Grads-RE PROJ'!N32</f>
        <v>0.74283223556760947</v>
      </c>
      <c r="CS30" s="267">
        <f>+'WICHE Public Grads-RE PROJ'!EI32/'WICHE Public Grads-RE PROJ'!O32</f>
        <v>0.74012762415610844</v>
      </c>
      <c r="CT30" s="267">
        <f>+'WICHE Public Grads-RE PROJ'!EJ32/'WICHE Public Grads-RE PROJ'!P32</f>
        <v>0.75050357077458341</v>
      </c>
      <c r="CU30" s="267">
        <f>+'WICHE Public Grads-RE PROJ'!EK32/'WICHE Public Grads-RE PROJ'!Q32</f>
        <v>0.75033896773027209</v>
      </c>
      <c r="CV30" s="267">
        <f>+'WICHE Public Grads-RE PROJ'!EL32/'WICHE Public Grads-RE PROJ'!R32</f>
        <v>0.75071041074657707</v>
      </c>
      <c r="CW30" s="267">
        <f>+'WICHE Public Grads-RE PROJ'!EM32/'WICHE Public Grads-RE PROJ'!S32</f>
        <v>0.7536496350364964</v>
      </c>
      <c r="CX30" s="267">
        <f>+'WICHE Public Grads-RE PROJ'!EN32/'WICHE Public Grads-RE PROJ'!T32</f>
        <v>0.75440989270776504</v>
      </c>
      <c r="CY30" s="267">
        <f>+'WICHE Public Grads-RE PROJ'!EO32/'WICHE Public Grads-RE PROJ'!U32</f>
        <v>0.79390745866886836</v>
      </c>
      <c r="CZ30" s="267">
        <f>+'WICHE Public Grads-RE PROJ'!EP32/'WICHE Public Grads-RE PROJ'!V32</f>
        <v>0.78274569028774643</v>
      </c>
      <c r="DA30" s="267">
        <f>+'WICHE Public Grads-RE PROJ'!EQ32/'WICHE Public Grads-RE PROJ'!W32</f>
        <v>0.79065500529145272</v>
      </c>
      <c r="DB30" s="268">
        <f>+'WICHE Public Grads-RE PROJ'!ER32/'WICHE Public Grads-RE PROJ'!Y32</f>
        <v>0.74076011841980705</v>
      </c>
      <c r="DC30" s="268">
        <f>+'WICHE Public Grads-RE PROJ'!ES32/'WICHE Public Grads-RE PROJ'!Z32</f>
        <v>0.74605621938892008</v>
      </c>
      <c r="DD30" s="268">
        <f>+'WICHE Public Grads-RE PROJ'!ET32/'WICHE Public Grads-RE PROJ'!AA32</f>
        <v>0.76510510560354794</v>
      </c>
      <c r="DE30" s="268">
        <f>+'WICHE Public Grads-RE PROJ'!EU32/'WICHE Public Grads-RE PROJ'!AB32</f>
        <v>0.75993378810973999</v>
      </c>
      <c r="DF30" s="266">
        <f>+'WICHE Public Grads-RE PROJ'!EV32/'WICHE Public Grads-RE PROJ'!AC32</f>
        <v>0.75836606637948645</v>
      </c>
      <c r="DG30" s="266">
        <f>+'WICHE Public Grads-RE PROJ'!EW32/'WICHE Public Grads-RE PROJ'!AD32</f>
        <v>0.76128362488695511</v>
      </c>
      <c r="DH30" s="266">
        <f>+'WICHE Public Grads-RE PROJ'!EX32/'WICHE Public Grads-RE PROJ'!AE32</f>
        <v>0.75135586692926215</v>
      </c>
      <c r="DI30" s="266">
        <f>+'WICHE Public Grads-RE PROJ'!EY32/'WICHE Public Grads-RE PROJ'!AF32</f>
        <v>0.7579674798233218</v>
      </c>
      <c r="DJ30" s="266">
        <f>+'WICHE Public Grads-RE PROJ'!EZ32/'WICHE Public Grads-RE PROJ'!AG32</f>
        <v>0.75754852301897491</v>
      </c>
      <c r="DK30" s="268">
        <f>+'WICHE Public Grads-RE PROJ'!FA32/'WICHE Public Grads-RE PROJ'!AH32</f>
        <v>0.7453541340228893</v>
      </c>
      <c r="DL30" s="266">
        <f>+'WICHE Public Grads-RE PROJ'!FB32/'WICHE Public Grads-RE PROJ'!AI32</f>
        <v>0.66822378830538398</v>
      </c>
      <c r="DM30" s="266">
        <f>+'WICHE Public Grads-RE PROJ'!FC32/'WICHE Public Grads-RE PROJ'!AJ32</f>
        <v>0.64676307191481985</v>
      </c>
      <c r="DN30" s="266">
        <f>+'WICHE Public Grads-RE PROJ'!FD32/'WICHE Public Grads-RE PROJ'!AK32</f>
        <v>0.71774981572637619</v>
      </c>
      <c r="DO30" s="266">
        <f>+'WICHE Public Grads-RE PROJ'!FE32/'WICHE Public Grads-RE PROJ'!AL32</f>
        <v>0.71506536100663309</v>
      </c>
      <c r="DP30" s="266">
        <f>+'WICHE Public Grads-RE PROJ'!FF32/'WICHE Public Grads-RE PROJ'!AM32</f>
        <v>0.69492539568833878</v>
      </c>
      <c r="DQ30" s="266">
        <f>+'WICHE Public Grads-RE PROJ'!FG32/'WICHE Public Grads-RE PROJ'!AN32</f>
        <v>0.67206690038164696</v>
      </c>
      <c r="DR30" s="266">
        <f>+'WICHE Public Grads-RE PROJ'!FH32/'WICHE Public Grads-RE PROJ'!AO32</f>
        <v>0.68962663687224879</v>
      </c>
      <c r="DS30" s="266">
        <f>+'WICHE Public Grads-RE PROJ'!FI32/'WICHE Public Grads-RE PROJ'!AP32</f>
        <v>0.67937415470259055</v>
      </c>
      <c r="DT30" s="282">
        <f>+'WICHE Public Grads-RE PROJ'!FJ32/'WICHE Public Grads-RE PROJ'!AQ32</f>
        <v>0.68700763870341652</v>
      </c>
      <c r="DU30" s="262">
        <f>+'WICHE Public Grads-RE PROJ'!FK32/'WICHE Public Grads-RE PROJ'!B32</f>
        <v>1.4956331877729257E-2</v>
      </c>
      <c r="DV30" s="262">
        <f>+'WICHE Public Grads-RE PROJ'!FL32/'WICHE Public Grads-RE PROJ'!C32</f>
        <v>1.3779082900384007E-2</v>
      </c>
      <c r="DW30" s="262">
        <f>+'WICHE Public Grads-RE PROJ'!FM32/'WICHE Public Grads-RE PROJ'!D32</f>
        <v>1.835841605294055E-2</v>
      </c>
      <c r="DX30" s="262">
        <f>+'WICHE Public Grads-RE PROJ'!FN32/'WICHE Public Grads-RE PROJ'!E32</f>
        <v>1.8177952588497928E-2</v>
      </c>
      <c r="DY30" s="262">
        <f>+'WICHE Public Grads-RE PROJ'!FO32/'WICHE Public Grads-RE PROJ'!F32</f>
        <v>1.8855864493448386E-2</v>
      </c>
      <c r="DZ30" s="262">
        <f>+'WICHE Public Grads-RE PROJ'!FP32/'WICHE Public Grads-RE PROJ'!G32</f>
        <v>1.5231268899092843E-2</v>
      </c>
      <c r="EA30" s="267">
        <f>+'WICHE Public Grads-RE PROJ'!FQ32/'WICHE Public Grads-RE PROJ'!H32</f>
        <v>1.4994829369183039E-2</v>
      </c>
      <c r="EB30" s="267">
        <f>+'WICHE Public Grads-RE PROJ'!FR32/'WICHE Public Grads-RE PROJ'!I32</f>
        <v>1.6574016882849495E-2</v>
      </c>
      <c r="EC30" s="267">
        <f>+'WICHE Public Grads-RE PROJ'!FS32/'WICHE Public Grads-RE PROJ'!J32</f>
        <v>1.6479831369167385E-2</v>
      </c>
      <c r="ED30" s="267">
        <f>+'WICHE Public Grads-RE PROJ'!FT32/'WICHE Public Grads-RE PROJ'!K32</f>
        <v>1.7521282914274402E-2</v>
      </c>
      <c r="EE30" s="262">
        <f>+'WICHE Public Grads-RE PROJ'!FU32/'WICHE Public Grads-RE PROJ'!L32</f>
        <v>1.5977803291236128E-2</v>
      </c>
      <c r="EF30" s="267">
        <f>+'WICHE Public Grads-RE PROJ'!FV32/'WICHE Public Grads-RE PROJ'!M32</f>
        <v>1.9175072405872365E-2</v>
      </c>
      <c r="EG30" s="267">
        <f>+'WICHE Public Grads-RE PROJ'!FW32/'WICHE Public Grads-RE PROJ'!N32</f>
        <v>1.6175900813638126E-2</v>
      </c>
      <c r="EH30" s="267">
        <f>+'WICHE Public Grads-RE PROJ'!FX32/'WICHE Public Grads-RE PROJ'!O32</f>
        <v>1.6924072875242762E-2</v>
      </c>
      <c r="EI30" s="267">
        <f>+'WICHE Public Grads-RE PROJ'!FY32/'WICHE Public Grads-RE PROJ'!P32</f>
        <v>1.8403222852957334E-2</v>
      </c>
      <c r="EJ30" s="267">
        <f>+'WICHE Public Grads-RE PROJ'!FZ32/'WICHE Public Grads-RE PROJ'!Q32</f>
        <v>1.7807104763626503E-2</v>
      </c>
      <c r="EK30" s="267">
        <f>+'WICHE Public Grads-RE PROJ'!GA32/'WICHE Public Grads-RE PROJ'!R32</f>
        <v>1.8685955394816153E-2</v>
      </c>
      <c r="EL30" s="267">
        <f>+'WICHE Public Grads-RE PROJ'!GB32/'WICHE Public Grads-RE PROJ'!S32</f>
        <v>1.9638512339242267E-2</v>
      </c>
      <c r="EM30" s="267">
        <f>+'WICHE Public Grads-RE PROJ'!GC32/'WICHE Public Grads-RE PROJ'!T32</f>
        <v>1.9094380796508457E-2</v>
      </c>
      <c r="EN30" s="267">
        <f>+'WICHE Public Grads-RE PROJ'!GD32/'WICHE Public Grads-RE PROJ'!U32</f>
        <v>2.3932249476015917E-2</v>
      </c>
      <c r="EO30" s="267">
        <f>+'WICHE Public Grads-RE PROJ'!GE32/'WICHE Public Grads-RE PROJ'!V32</f>
        <v>2.3885158279613204E-2</v>
      </c>
      <c r="EP30" s="267">
        <f>+'WICHE Public Grads-RE PROJ'!GF32/'WICHE Public Grads-RE PROJ'!W32</f>
        <v>2.2172429907894739E-2</v>
      </c>
      <c r="EQ30" s="268">
        <f>+'WICHE Public Grads-RE PROJ'!GG32/'WICHE Public Grads-RE PROJ'!Y32</f>
        <v>2.206281875374895E-2</v>
      </c>
      <c r="ER30" s="268">
        <f>+'WICHE Public Grads-RE PROJ'!GH32/'WICHE Public Grads-RE PROJ'!Z32</f>
        <v>2.4301700107656216E-2</v>
      </c>
      <c r="ES30" s="268">
        <f>+'WICHE Public Grads-RE PROJ'!GI32/'WICHE Public Grads-RE PROJ'!AA32</f>
        <v>2.2152824934491437E-2</v>
      </c>
      <c r="ET30" s="268">
        <f>+'WICHE Public Grads-RE PROJ'!GJ32/'WICHE Public Grads-RE PROJ'!AB32</f>
        <v>2.2871344416226336E-2</v>
      </c>
      <c r="EU30" s="266">
        <f>+'WICHE Public Grads-RE PROJ'!GK32/'WICHE Public Grads-RE PROJ'!AC32</f>
        <v>2.1348319910729194E-2</v>
      </c>
      <c r="EV30" s="266">
        <f>+'WICHE Public Grads-RE PROJ'!GL32/'WICHE Public Grads-RE PROJ'!AD32</f>
        <v>2.1898437171726185E-2</v>
      </c>
      <c r="EW30" s="266">
        <f>+'WICHE Public Grads-RE PROJ'!GM32/'WICHE Public Grads-RE PROJ'!AE32</f>
        <v>2.1250777252038323E-2</v>
      </c>
      <c r="EX30" s="266">
        <f>+'WICHE Public Grads-RE PROJ'!GN32/'WICHE Public Grads-RE PROJ'!AF32</f>
        <v>2.0243541618754319E-2</v>
      </c>
      <c r="EY30" s="266">
        <f>+'WICHE Public Grads-RE PROJ'!GO32/'WICHE Public Grads-RE PROJ'!AG32</f>
        <v>1.8393914945646579E-2</v>
      </c>
      <c r="EZ30" s="268">
        <f>+'WICHE Public Grads-RE PROJ'!GP32/'WICHE Public Grads-RE PROJ'!AH32</f>
        <v>1.8647227465262602E-2</v>
      </c>
      <c r="FA30" s="266">
        <f>+'WICHE Public Grads-RE PROJ'!GQ32/'WICHE Public Grads-RE PROJ'!AI32</f>
        <v>1.7851940536353722E-2</v>
      </c>
      <c r="FB30" s="266">
        <f>+'WICHE Public Grads-RE PROJ'!GR32/'WICHE Public Grads-RE PROJ'!AJ32</f>
        <v>1.8987610555774036E-2</v>
      </c>
      <c r="FC30" s="266">
        <f>+'WICHE Public Grads-RE PROJ'!GS32/'WICHE Public Grads-RE PROJ'!AK32</f>
        <v>1.9468699536287833E-2</v>
      </c>
      <c r="FD30" s="266">
        <f>+'WICHE Public Grads-RE PROJ'!GT32/'WICHE Public Grads-RE PROJ'!AL32</f>
        <v>1.6856132431898246E-2</v>
      </c>
      <c r="FE30" s="266">
        <f>+'WICHE Public Grads-RE PROJ'!GU32/'WICHE Public Grads-RE PROJ'!AM32</f>
        <v>2.095975690334418E-2</v>
      </c>
      <c r="FF30" s="266">
        <f>+'WICHE Public Grads-RE PROJ'!GV32/'WICHE Public Grads-RE PROJ'!AN32</f>
        <v>2.0835529334367046E-2</v>
      </c>
      <c r="FG30" s="266">
        <f>+'WICHE Public Grads-RE PROJ'!GW32/'WICHE Public Grads-RE PROJ'!AO32</f>
        <v>2.0337139039261289E-2</v>
      </c>
      <c r="FH30" s="266">
        <f>+'WICHE Public Grads-RE PROJ'!GX32/'WICHE Public Grads-RE PROJ'!AP32</f>
        <v>2.2410900568784763E-2</v>
      </c>
      <c r="FI30" s="282">
        <f>+'WICHE Public Grads-RE PROJ'!GY32/'WICHE Public Grads-RE PROJ'!AQ32</f>
        <v>2.3552031512602933E-2</v>
      </c>
      <c r="FJ30" s="262">
        <f>+'WICHE Public Grads-RE PROJ'!GZ32/'WICHE Public Grads-RE PROJ'!B32</f>
        <v>5.6877729257641924E-2</v>
      </c>
      <c r="FK30" s="262">
        <f>+'WICHE Public Grads-RE PROJ'!HA32/'WICHE Public Grads-RE PROJ'!C32</f>
        <v>5.4664558391687372E-2</v>
      </c>
      <c r="FL30" s="262">
        <f>+'WICHE Public Grads-RE PROJ'!HB32/'WICHE Public Grads-RE PROJ'!D32</f>
        <v>4.8991354466858789E-2</v>
      </c>
      <c r="FM30" s="262">
        <f>+'WICHE Public Grads-RE PROJ'!HC32/'WICHE Public Grads-RE PROJ'!E32</f>
        <v>4.847454023599447E-2</v>
      </c>
      <c r="FN30" s="262">
        <f>+'WICHE Public Grads-RE PROJ'!HD32/'WICHE Public Grads-RE PROJ'!F32</f>
        <v>4.9643123468626822E-2</v>
      </c>
      <c r="FO30" s="262">
        <f>+'WICHE Public Grads-RE PROJ'!HE32/'WICHE Public Grads-RE PROJ'!G32</f>
        <v>4.9389629297793704E-2</v>
      </c>
      <c r="FP30" s="267">
        <f>+'WICHE Public Grads-RE PROJ'!HF32/'WICHE Public Grads-RE PROJ'!H32</f>
        <v>4.8603929679420892E-2</v>
      </c>
      <c r="FQ30" s="267">
        <f>+'WICHE Public Grads-RE PROJ'!HG32/'WICHE Public Grads-RE PROJ'!I32</f>
        <v>4.0765904879555281E-2</v>
      </c>
      <c r="FR30" s="267">
        <f>+'WICHE Public Grads-RE PROJ'!HH32/'WICHE Public Grads-RE PROJ'!J32</f>
        <v>4.7044169780588292E-2</v>
      </c>
      <c r="FS30" s="267">
        <f>+'WICHE Public Grads-RE PROJ'!HI32/'WICHE Public Grads-RE PROJ'!K32</f>
        <v>4.3654721837259949E-2</v>
      </c>
      <c r="FT30" s="262">
        <f>+'WICHE Public Grads-RE PROJ'!HJ32/'WICHE Public Grads-RE PROJ'!L32</f>
        <v>4.4680443934175279E-2</v>
      </c>
      <c r="FU30" s="267">
        <f>+'WICHE Public Grads-RE PROJ'!HK32/'WICHE Public Grads-RE PROJ'!M32</f>
        <v>4.763807050833916E-2</v>
      </c>
      <c r="FV30" s="267">
        <f>+'WICHE Public Grads-RE PROJ'!HL32/'WICHE Public Grads-RE PROJ'!N32</f>
        <v>4.5040681906237889E-2</v>
      </c>
      <c r="FW30" s="267">
        <f>+'WICHE Public Grads-RE PROJ'!HM32/'WICHE Public Grads-RE PROJ'!O32</f>
        <v>4.5223342273189679E-2</v>
      </c>
      <c r="FX30" s="267">
        <f>+'WICHE Public Grads-RE PROJ'!HN32/'WICHE Public Grads-RE PROJ'!P32</f>
        <v>3.9278520417505951E-2</v>
      </c>
      <c r="FY30" s="267">
        <f>+'WICHE Public Grads-RE PROJ'!HO32/'WICHE Public Grads-RE PROJ'!Q32</f>
        <v>4.067612763264937E-2</v>
      </c>
      <c r="FZ30" s="267">
        <f>+'WICHE Public Grads-RE PROJ'!HP32/'WICHE Public Grads-RE PROJ'!R32</f>
        <v>4.0299664169465253E-2</v>
      </c>
      <c r="GA30" s="267">
        <f>+'WICHE Public Grads-RE PROJ'!HQ32/'WICHE Public Grads-RE PROJ'!S32</f>
        <v>4.2318387208898155E-2</v>
      </c>
      <c r="GB30" s="267">
        <f>+'WICHE Public Grads-RE PROJ'!HR32/'WICHE Public Grads-RE PROJ'!T32</f>
        <v>4.3735224586288417E-2</v>
      </c>
      <c r="GC30" s="267">
        <f>+'WICHE Public Grads-RE PROJ'!HS32/'WICHE Public Grads-RE PROJ'!U32</f>
        <v>3.5274356103023513E-2</v>
      </c>
      <c r="GD30" s="267">
        <f>+'WICHE Public Grads-RE PROJ'!HT32/'WICHE Public Grads-RE PROJ'!V32</f>
        <v>4.1989436619718309E-2</v>
      </c>
      <c r="GE30" s="267">
        <f>+'WICHE Public Grads-RE PROJ'!HU32/'WICHE Public Grads-RE PROJ'!W32</f>
        <v>4.6709916589434665E-2</v>
      </c>
      <c r="GF30" s="268">
        <f>+'WICHE Public Grads-RE PROJ'!HV32/'WICHE Public Grads-RE PROJ'!Y32</f>
        <v>5.3063667917268034E-2</v>
      </c>
      <c r="GG30" s="268">
        <f>+'WICHE Public Grads-RE PROJ'!HW32/'WICHE Public Grads-RE PROJ'!Z32</f>
        <v>6.0330097399041813E-2</v>
      </c>
      <c r="GH30" s="268">
        <f>+'WICHE Public Grads-RE PROJ'!HX32/'WICHE Public Grads-RE PROJ'!AA32</f>
        <v>5.970793616052366E-2</v>
      </c>
      <c r="GI30" s="268">
        <f>+'WICHE Public Grads-RE PROJ'!HY32/'WICHE Public Grads-RE PROJ'!AB32</f>
        <v>6.5712513747455681E-2</v>
      </c>
      <c r="GJ30" s="266">
        <f>+'WICHE Public Grads-RE PROJ'!HZ32/'WICHE Public Grads-RE PROJ'!AC32</f>
        <v>7.1124454714124694E-2</v>
      </c>
      <c r="GK30" s="266">
        <f>+'WICHE Public Grads-RE PROJ'!IA32/'WICHE Public Grads-RE PROJ'!AD32</f>
        <v>7.2756308048480781E-2</v>
      </c>
      <c r="GL30" s="266">
        <f>+'WICHE Public Grads-RE PROJ'!IB32/'WICHE Public Grads-RE PROJ'!AE32</f>
        <v>8.0751351816308506E-2</v>
      </c>
      <c r="GM30" s="266">
        <f>+'WICHE Public Grads-RE PROJ'!IC32/'WICHE Public Grads-RE PROJ'!AF32</f>
        <v>7.8457329789596381E-2</v>
      </c>
      <c r="GN30" s="266">
        <f>+'WICHE Public Grads-RE PROJ'!ID32/'WICHE Public Grads-RE PROJ'!AG32</f>
        <v>7.9077333692982574E-2</v>
      </c>
      <c r="GO30" s="268">
        <f>+'WICHE Public Grads-RE PROJ'!IE32/'WICHE Public Grads-RE PROJ'!AH32</f>
        <v>8.4804923139411348E-2</v>
      </c>
      <c r="GP30" s="266">
        <f>+'WICHE Public Grads-RE PROJ'!IF32/'WICHE Public Grads-RE PROJ'!AI32</f>
        <v>0.16815014190179209</v>
      </c>
      <c r="GQ30" s="266">
        <f>+'WICHE Public Grads-RE PROJ'!IG32/'WICHE Public Grads-RE PROJ'!AJ32</f>
        <v>0.17305557159684723</v>
      </c>
      <c r="GR30" s="266">
        <f>+'WICHE Public Grads-RE PROJ'!IH32/'WICHE Public Grads-RE PROJ'!AK32</f>
        <v>0.1644675013315994</v>
      </c>
      <c r="GS30" s="266">
        <f>+'WICHE Public Grads-RE PROJ'!II32/'WICHE Public Grads-RE PROJ'!AL32</f>
        <v>0.17378922815713302</v>
      </c>
      <c r="GT30" s="266">
        <f>+'WICHE Public Grads-RE PROJ'!IJ32/'WICHE Public Grads-RE PROJ'!AM32</f>
        <v>0.16303491986883081</v>
      </c>
      <c r="GU30" s="266">
        <f>+'WICHE Public Grads-RE PROJ'!IK32/'WICHE Public Grads-RE PROJ'!AN32</f>
        <v>0.16753720963108984</v>
      </c>
      <c r="GV30" s="266">
        <f>+'WICHE Public Grads-RE PROJ'!IL32/'WICHE Public Grads-RE PROJ'!AO32</f>
        <v>0.16312147109553321</v>
      </c>
      <c r="GW30" s="266">
        <f>+'WICHE Public Grads-RE PROJ'!IM32/'WICHE Public Grads-RE PROJ'!AP32</f>
        <v>0.1651613646113268</v>
      </c>
      <c r="GX30" s="282">
        <f>+'WICHE Public Grads-RE PROJ'!IN32/'WICHE Public Grads-RE PROJ'!AQ32</f>
        <v>0.15564879650402111</v>
      </c>
      <c r="GY30" s="262">
        <f>+'WICHE Public Grads-RE PROJ'!IO32/'WICHE Public Grads-RE PROJ'!B32</f>
        <v>0.18537117903930131</v>
      </c>
      <c r="GZ30" s="262">
        <f>+'WICHE Public Grads-RE PROJ'!IP32/'WICHE Public Grads-RE PROJ'!C32</f>
        <v>0.19403659362999773</v>
      </c>
      <c r="HA30" s="262">
        <f>+'WICHE Public Grads-RE PROJ'!IQ32/'WICHE Public Grads-RE PROJ'!D32</f>
        <v>0.19372398334934357</v>
      </c>
      <c r="HB30" s="262">
        <f>+'WICHE Public Grads-RE PROJ'!IR32/'WICHE Public Grads-RE PROJ'!E32</f>
        <v>0.19251621133198682</v>
      </c>
      <c r="HC30" s="262">
        <f>+'WICHE Public Grads-RE PROJ'!IS32/'WICHE Public Grads-RE PROJ'!F32</f>
        <v>0.19090231170768082</v>
      </c>
      <c r="HD30" s="262">
        <f>+'WICHE Public Grads-RE PROJ'!IT32/'WICHE Public Grads-RE PROJ'!G32</f>
        <v>0.19711053869414269</v>
      </c>
      <c r="HE30" s="267">
        <f>+'WICHE Public Grads-RE PROJ'!IU32/'WICHE Public Grads-RE PROJ'!H32</f>
        <v>0.18862461220268872</v>
      </c>
      <c r="HF30" s="267">
        <f>+'WICHE Public Grads-RE PROJ'!IV32/'WICHE Public Grads-RE PROJ'!I32</f>
        <v>0.19374099238212888</v>
      </c>
      <c r="HG30" s="267">
        <f>+'WICHE Public Grads-RE PROJ'!IW32/'WICHE Public Grads-RE PROJ'!J32</f>
        <v>0.18261952668391301</v>
      </c>
      <c r="HH30" s="267">
        <f>+'WICHE Public Grads-RE PROJ'!IX32/'WICHE Public Grads-RE PROJ'!K32</f>
        <v>0.18976440308849732</v>
      </c>
      <c r="HI30" s="262">
        <f>+'WICHE Public Grads-RE PROJ'!IY32/'WICHE Public Grads-RE PROJ'!L32</f>
        <v>0.1925947187141217</v>
      </c>
      <c r="HJ30" s="267">
        <f>+'WICHE Public Grads-RE PROJ'!IZ32/'WICHE Public Grads-RE PROJ'!M32</f>
        <v>0.192150204733846</v>
      </c>
      <c r="HK30" s="267">
        <f>+'WICHE Public Grads-RE PROJ'!JA32/'WICHE Public Grads-RE PROJ'!N32</f>
        <v>0.1928516079039132</v>
      </c>
      <c r="HL30" s="267">
        <f>+'WICHE Public Grads-RE PROJ'!JB32/'WICHE Public Grads-RE PROJ'!O32</f>
        <v>0.19365578470359751</v>
      </c>
      <c r="HM30" s="267">
        <f>+'WICHE Public Grads-RE PROJ'!JC32/'WICHE Public Grads-RE PROJ'!P32</f>
        <v>0.18934261124336202</v>
      </c>
      <c r="HN30" s="267">
        <f>+'WICHE Public Grads-RE PROJ'!JD32/'WICHE Public Grads-RE PROJ'!Q32</f>
        <v>0.18720057850492633</v>
      </c>
      <c r="HO30" s="267">
        <f>+'WICHE Public Grads-RE PROJ'!JE32/'WICHE Public Grads-RE PROJ'!R32</f>
        <v>0.18574011883234307</v>
      </c>
      <c r="HP30" s="267">
        <f>+'WICHE Public Grads-RE PROJ'!JF32/'WICHE Public Grads-RE PROJ'!S32</f>
        <v>0.1794403892944039</v>
      </c>
      <c r="HQ30" s="267">
        <f>+'WICHE Public Grads-RE PROJ'!JG32/'WICHE Public Grads-RE PROJ'!T32</f>
        <v>0.17766866703036915</v>
      </c>
      <c r="HR30" s="267">
        <f>+'WICHE Public Grads-RE PROJ'!JH32/'WICHE Public Grads-RE PROJ'!U32</f>
        <v>0.14302176371920694</v>
      </c>
      <c r="HS30" s="267">
        <f>+'WICHE Public Grads-RE PROJ'!JI32/'WICHE Public Grads-RE PROJ'!V32</f>
        <v>0.14599914158084082</v>
      </c>
      <c r="HT30" s="267">
        <f>+'WICHE Public Grads-RE PROJ'!JJ32/'WICHE Public Grads-RE PROJ'!W32</f>
        <v>0.13630101299995956</v>
      </c>
      <c r="HU30" s="268">
        <f>+'WICHE Public Grads-RE PROJ'!JK32/'WICHE Public Grads-RE PROJ'!Y32</f>
        <v>0.1500959826483963</v>
      </c>
      <c r="HV30" s="268">
        <f>+'WICHE Public Grads-RE PROJ'!JL32/'WICHE Public Grads-RE PROJ'!Z32</f>
        <v>0.13492506933787707</v>
      </c>
      <c r="HW30" s="268">
        <f>+'WICHE Public Grads-RE PROJ'!JM32/'WICHE Public Grads-RE PROJ'!AA32</f>
        <v>0.12230157334652569</v>
      </c>
      <c r="HX30" s="268">
        <f>+'WICHE Public Grads-RE PROJ'!JN32/'WICHE Public Grads-RE PROJ'!AB32</f>
        <v>0.11666471977622257</v>
      </c>
      <c r="HY30" s="266">
        <f>+'WICHE Public Grads-RE PROJ'!JO32/'WICHE Public Grads-RE PROJ'!AC32</f>
        <v>0.11524545818552993</v>
      </c>
      <c r="HZ30" s="266">
        <f>+'WICHE Public Grads-RE PROJ'!JP32/'WICHE Public Grads-RE PROJ'!AD32</f>
        <v>0.10977766687380179</v>
      </c>
      <c r="IA30" s="266">
        <f>+'WICHE Public Grads-RE PROJ'!JQ32/'WICHE Public Grads-RE PROJ'!AE32</f>
        <v>0.11033670180449186</v>
      </c>
      <c r="IB30" s="266">
        <f>+'WICHE Public Grads-RE PROJ'!JR32/'WICHE Public Grads-RE PROJ'!AF32</f>
        <v>0.1070605574133922</v>
      </c>
      <c r="IC30" s="266">
        <f>+'WICHE Public Grads-RE PROJ'!JS32/'WICHE Public Grads-RE PROJ'!AG32</f>
        <v>0.10338197981791106</v>
      </c>
      <c r="ID30" s="268">
        <f>+'WICHE Public Grads-RE PROJ'!JT32/'WICHE Public Grads-RE PROJ'!AH32</f>
        <v>0.10277565090279192</v>
      </c>
      <c r="IE30" s="266">
        <f>+'WICHE Public Grads-RE PROJ'!JU32/'WICHE Public Grads-RE PROJ'!AI32</f>
        <v>9.5165993494646314E-2</v>
      </c>
      <c r="IF30" s="266">
        <f>+'WICHE Public Grads-RE PROJ'!JV32/'WICHE Public Grads-RE PROJ'!AJ32</f>
        <v>9.6623545160703359E-2</v>
      </c>
      <c r="IG30" s="266">
        <f>+'WICHE Public Grads-RE PROJ'!JW32/'WICHE Public Grads-RE PROJ'!AK32</f>
        <v>0.10486378558353579</v>
      </c>
      <c r="IH30" s="266">
        <f>+'WICHE Public Grads-RE PROJ'!JX32/'WICHE Public Grads-RE PROJ'!AL32</f>
        <v>0.10278765616712877</v>
      </c>
      <c r="II30" s="266">
        <f>+'WICHE Public Grads-RE PROJ'!JY32/'WICHE Public Grads-RE PROJ'!AM32</f>
        <v>0.1049318982433762</v>
      </c>
      <c r="IJ30" s="266">
        <f>+'WICHE Public Grads-RE PROJ'!JZ32/'WICHE Public Grads-RE PROJ'!AN32</f>
        <v>0.10622882619606723</v>
      </c>
      <c r="IK30" s="266">
        <f>+'WICHE Public Grads-RE PROJ'!KA32/'WICHE Public Grads-RE PROJ'!AO32</f>
        <v>0.10371704092910673</v>
      </c>
      <c r="IL30" s="266">
        <f>+'WICHE Public Grads-RE PROJ'!KB32/'WICHE Public Grads-RE PROJ'!AP32</f>
        <v>0.10882482256131303</v>
      </c>
      <c r="IM30" s="282">
        <f>+'WICHE Public Grads-RE PROJ'!KC32/'WICHE Public Grads-RE PROJ'!AQ32</f>
        <v>0.10996579380540682</v>
      </c>
      <c r="IN30" s="278">
        <f t="shared" si="44"/>
        <v>1</v>
      </c>
      <c r="IO30" s="278">
        <f t="shared" si="45"/>
        <v>1</v>
      </c>
      <c r="IP30" s="278">
        <f t="shared" si="46"/>
        <v>1</v>
      </c>
      <c r="IQ30" s="278">
        <f t="shared" si="47"/>
        <v>1</v>
      </c>
      <c r="IR30" s="278">
        <f t="shared" si="48"/>
        <v>1</v>
      </c>
      <c r="IS30" s="278">
        <f t="shared" si="49"/>
        <v>1</v>
      </c>
      <c r="IT30" s="278">
        <f t="shared" si="50"/>
        <v>1</v>
      </c>
      <c r="IU30" s="278">
        <f t="shared" si="51"/>
        <v>1</v>
      </c>
      <c r="IV30" s="278">
        <f t="shared" si="52"/>
        <v>1</v>
      </c>
      <c r="IW30" s="278">
        <f t="shared" si="53"/>
        <v>0.99999999999999989</v>
      </c>
      <c r="IX30" s="278">
        <f t="shared" si="54"/>
        <v>1</v>
      </c>
      <c r="IY30" s="278">
        <f t="shared" si="55"/>
        <v>1</v>
      </c>
      <c r="IZ30" s="278">
        <f t="shared" si="56"/>
        <v>1</v>
      </c>
      <c r="JA30" s="278">
        <f t="shared" si="57"/>
        <v>1</v>
      </c>
      <c r="JB30" s="278">
        <f t="shared" si="58"/>
        <v>1</v>
      </c>
      <c r="JC30" s="278">
        <f t="shared" si="59"/>
        <v>1</v>
      </c>
      <c r="JD30" s="278">
        <f t="shared" si="60"/>
        <v>1</v>
      </c>
      <c r="JE30" s="278">
        <f t="shared" si="61"/>
        <v>1</v>
      </c>
      <c r="JF30" s="278">
        <f t="shared" si="62"/>
        <v>1</v>
      </c>
      <c r="JG30" s="278">
        <f t="shared" si="63"/>
        <v>1</v>
      </c>
      <c r="JH30" s="278">
        <f t="shared" si="64"/>
        <v>1</v>
      </c>
      <c r="JI30" s="278">
        <f t="shared" si="65"/>
        <v>0.99999999999999989</v>
      </c>
      <c r="JJ30" s="278">
        <f t="shared" si="66"/>
        <v>0.96925069001457498</v>
      </c>
      <c r="JK30" s="278">
        <f t="shared" si="67"/>
        <v>0.96944157668039699</v>
      </c>
      <c r="JL30" s="278">
        <f t="shared" si="68"/>
        <v>0.97404498582277554</v>
      </c>
      <c r="JM30" s="278">
        <f t="shared" si="69"/>
        <v>0.96975888985131697</v>
      </c>
      <c r="JN30" s="278">
        <f t="shared" si="70"/>
        <v>0.97150148779364953</v>
      </c>
      <c r="JO30" s="278">
        <f t="shared" si="71"/>
        <v>0.96910364892502809</v>
      </c>
      <c r="JP30" s="278">
        <f t="shared" si="72"/>
        <v>0.96684241484209754</v>
      </c>
      <c r="JQ30" s="278">
        <f t="shared" si="73"/>
        <v>0.96643138681482577</v>
      </c>
      <c r="JR30" s="278">
        <f t="shared" si="74"/>
        <v>0.96060929203759837</v>
      </c>
      <c r="JS30" s="278">
        <f t="shared" si="75"/>
        <v>0.95387311491595073</v>
      </c>
      <c r="JT30" s="278">
        <f t="shared" si="76"/>
        <v>0.9509846620768212</v>
      </c>
      <c r="JU30" s="278">
        <f t="shared" si="77"/>
        <v>0.93668145007772974</v>
      </c>
      <c r="JV30" s="278">
        <f t="shared" si="78"/>
        <v>1.0084815637624898</v>
      </c>
      <c r="JW30" s="278">
        <f t="shared" si="79"/>
        <v>1.0104503609895958</v>
      </c>
      <c r="JX30" s="278">
        <f t="shared" si="80"/>
        <v>0.98540725565880816</v>
      </c>
      <c r="JY30" s="278">
        <f t="shared" si="81"/>
        <v>0.96859236136521742</v>
      </c>
      <c r="JZ30" s="278">
        <f t="shared" si="81"/>
        <v>0.97839591721125307</v>
      </c>
      <c r="KA30" s="278">
        <f t="shared" si="81"/>
        <v>0.97703114088055121</v>
      </c>
      <c r="KB30" s="278">
        <f t="shared" si="81"/>
        <v>0.9770289223199452</v>
      </c>
    </row>
    <row r="31" spans="1:288" s="17" customFormat="1">
      <c r="A31" s="175" t="s">
        <v>56</v>
      </c>
      <c r="B31" s="262" t="e">
        <f>+'WICHE Public Grads-RE PROJ'!AR33/'WICHE Public Grads-RE PROJ'!B33</f>
        <v>#VALUE!</v>
      </c>
      <c r="C31" s="262" t="e">
        <f>+'WICHE Public Grads-RE PROJ'!AS33/'WICHE Public Grads-RE PROJ'!C33</f>
        <v>#VALUE!</v>
      </c>
      <c r="D31" s="262">
        <f>+'WICHE Public Grads-RE PROJ'!AT33/'WICHE Public Grads-RE PROJ'!D33</f>
        <v>2.2287478352533696E-2</v>
      </c>
      <c r="E31" s="262">
        <f>+'WICHE Public Grads-RE PROJ'!AU33/'WICHE Public Grads-RE PROJ'!E33</f>
        <v>2.0143682208761799E-2</v>
      </c>
      <c r="F31" s="262">
        <f>+'WICHE Public Grads-RE PROJ'!AV33/'WICHE Public Grads-RE PROJ'!F33</f>
        <v>2.0454080589077522E-2</v>
      </c>
      <c r="G31" s="262">
        <f>+'WICHE Public Grads-RE PROJ'!AW33/'WICHE Public Grads-RE PROJ'!G33</f>
        <v>2.2561768530559169E-2</v>
      </c>
      <c r="H31" s="267">
        <f>+'WICHE Public Grads-RE PROJ'!AX33/'WICHE Public Grads-RE PROJ'!H33</f>
        <v>2.0936674611866261E-2</v>
      </c>
      <c r="I31" s="267">
        <f>+'WICHE Public Grads-RE PROJ'!AY33/'WICHE Public Grads-RE PROJ'!I33</f>
        <v>2.0106897429371343E-2</v>
      </c>
      <c r="J31" s="267">
        <f>+'WICHE Public Grads-RE PROJ'!AZ33/'WICHE Public Grads-RE PROJ'!J33</f>
        <v>2.2513607125185551E-2</v>
      </c>
      <c r="K31" s="267">
        <f>+'WICHE Public Grads-RE PROJ'!BA33/'WICHE Public Grads-RE PROJ'!K33</f>
        <v>2.2395081864374881E-2</v>
      </c>
      <c r="L31" s="262">
        <f>+'WICHE Public Grads-RE PROJ'!BB33/'WICHE Public Grads-RE PROJ'!L33</f>
        <v>2.7655285372306916E-2</v>
      </c>
      <c r="M31" s="267">
        <f>+'WICHE Public Grads-RE PROJ'!BC33/'WICHE Public Grads-RE PROJ'!M33</f>
        <v>2.484550384663892E-2</v>
      </c>
      <c r="N31" s="267">
        <f>+'WICHE Public Grads-RE PROJ'!BD33/'WICHE Public Grads-RE PROJ'!N33</f>
        <v>3.0295233807165371E-2</v>
      </c>
      <c r="O31" s="267">
        <f>+'WICHE Public Grads-RE PROJ'!BE33/'WICHE Public Grads-RE PROJ'!O33</f>
        <v>3.1646372399797056E-2</v>
      </c>
      <c r="P31" s="267">
        <f>+'WICHE Public Grads-RE PROJ'!BF33/'WICHE Public Grads-RE PROJ'!P33</f>
        <v>2.8205765407554671E-2</v>
      </c>
      <c r="Q31" s="267">
        <f>+'WICHE Public Grads-RE PROJ'!BG33/'WICHE Public Grads-RE PROJ'!Q33</f>
        <v>2.9614579485285064E-2</v>
      </c>
      <c r="R31" s="267">
        <f>+'WICHE Public Grads-RE PROJ'!BH33/'WICHE Public Grads-RE PROJ'!R33</f>
        <v>2.9033621053902336E-2</v>
      </c>
      <c r="S31" s="267">
        <f>+'WICHE Public Grads-RE PROJ'!BI33/'WICHE Public Grads-RE PROJ'!S33</f>
        <v>2.945201404176831E-2</v>
      </c>
      <c r="T31" s="267">
        <f>+'WICHE Public Grads-RE PROJ'!BJ33/'WICHE Public Grads-RE PROJ'!T33</f>
        <v>2.8606755465632551E-2</v>
      </c>
      <c r="U31" s="267">
        <f>+'WICHE Public Grads-RE PROJ'!BK33/'WICHE Public Grads-RE PROJ'!U33</f>
        <v>3.4133323631906826E-2</v>
      </c>
      <c r="V31" s="267">
        <f>+'WICHE Public Grads-RE PROJ'!BL33/'WICHE Public Grads-RE PROJ'!V33</f>
        <v>3.4278900302102802E-2</v>
      </c>
      <c r="W31" s="267">
        <f>+'WICHE Public Grads-RE PROJ'!BM33/'WICHE Public Grads-RE PROJ'!W33</f>
        <v>3.1119730912473088E-2</v>
      </c>
      <c r="X31" s="268">
        <f>+'WICHE Public Grads-RE PROJ'!BN33/'WICHE Public Grads-RE PROJ'!Y33</f>
        <v>3.1595361312059873E-2</v>
      </c>
      <c r="Y31" s="268">
        <f>+'WICHE Public Grads-RE PROJ'!BO33/'WICHE Public Grads-RE PROJ'!Z33</f>
        <v>3.0153945471877101E-2</v>
      </c>
      <c r="Z31" s="268">
        <f>+'WICHE Public Grads-RE PROJ'!BP33/'WICHE Public Grads-RE PROJ'!AA33</f>
        <v>2.9416469430755519E-2</v>
      </c>
      <c r="AA31" s="268">
        <f>+'WICHE Public Grads-RE PROJ'!BQ33/'WICHE Public Grads-RE PROJ'!AB33</f>
        <v>2.968876112819873E-2</v>
      </c>
      <c r="AB31" s="266">
        <f>+'WICHE Public Grads-RE PROJ'!BR33/'WICHE Public Grads-RE PROJ'!AC33</f>
        <v>2.845922369485258E-2</v>
      </c>
      <c r="AC31" s="266">
        <f>+'WICHE Public Grads-RE PROJ'!BS33/'WICHE Public Grads-RE PROJ'!AD33</f>
        <v>2.927482985124033E-2</v>
      </c>
      <c r="AD31" s="266">
        <f>+'WICHE Public Grads-RE PROJ'!BT33/'WICHE Public Grads-RE PROJ'!AE33</f>
        <v>2.8691543315084386E-2</v>
      </c>
      <c r="AE31" s="266">
        <f>+'WICHE Public Grads-RE PROJ'!BU33/'WICHE Public Grads-RE PROJ'!AF33</f>
        <v>2.9870763846602939E-2</v>
      </c>
      <c r="AF31" s="266">
        <f>+'WICHE Public Grads-RE PROJ'!BV33/'WICHE Public Grads-RE PROJ'!AG33</f>
        <v>2.9155101253600085E-2</v>
      </c>
      <c r="AG31" s="268">
        <f>+'WICHE Public Grads-RE PROJ'!BW33/'WICHE Public Grads-RE PROJ'!AH33</f>
        <v>2.7976045017619564E-2</v>
      </c>
      <c r="AH31" s="266">
        <f>+'WICHE Public Grads-RE PROJ'!BX33/'WICHE Public Grads-RE PROJ'!AI33</f>
        <v>2.5785202906264387E-2</v>
      </c>
      <c r="AI31" s="266">
        <f>+'WICHE Public Grads-RE PROJ'!BY33/'WICHE Public Grads-RE PROJ'!AJ33</f>
        <v>2.6159475956318488E-2</v>
      </c>
      <c r="AJ31" s="266">
        <f>+'WICHE Public Grads-RE PROJ'!BZ33/'WICHE Public Grads-RE PROJ'!AK33</f>
        <v>2.9398830885704195E-2</v>
      </c>
      <c r="AK31" s="266">
        <f>+'WICHE Public Grads-RE PROJ'!CA33/'WICHE Public Grads-RE PROJ'!AL33</f>
        <v>2.8908405804637539E-2</v>
      </c>
      <c r="AL31" s="266">
        <f>+'WICHE Public Grads-RE PROJ'!CB33/'WICHE Public Grads-RE PROJ'!AM33</f>
        <v>3.1257626586934296E-2</v>
      </c>
      <c r="AM31" s="266">
        <f>+'WICHE Public Grads-RE PROJ'!CC33/'WICHE Public Grads-RE PROJ'!AN33</f>
        <v>3.1255849856625738E-2</v>
      </c>
      <c r="AN31" s="266">
        <f>+'WICHE Public Grads-RE PROJ'!CD33/'WICHE Public Grads-RE PROJ'!AO33</f>
        <v>3.3345700128145771E-2</v>
      </c>
      <c r="AO31" s="266">
        <f>+'WICHE Public Grads-RE PROJ'!CE33/'WICHE Public Grads-RE PROJ'!AP33</f>
        <v>3.3932829196709813E-2</v>
      </c>
      <c r="AP31" s="282">
        <f>+'WICHE Public Grads-RE PROJ'!CF33/'WICHE Public Grads-RE PROJ'!AQ33</f>
        <v>3.3566065993246928E-2</v>
      </c>
      <c r="AQ31" s="262" t="e">
        <f>+'WICHE Public Grads-RE PROJ'!CG33/'WICHE Public Grads-RE PROJ'!B33</f>
        <v>#VALUE!</v>
      </c>
      <c r="AR31" s="262" t="e">
        <f>+'WICHE Public Grads-RE PROJ'!CH33/'WICHE Public Grads-RE PROJ'!C33</f>
        <v>#VALUE!</v>
      </c>
      <c r="AS31" s="262">
        <f>+'WICHE Public Grads-RE PROJ'!CI33/'WICHE Public Grads-RE PROJ'!D33</f>
        <v>1.0014306151645207E-2</v>
      </c>
      <c r="AT31" s="262">
        <f>+'WICHE Public Grads-RE PROJ'!CJ33/'WICHE Public Grads-RE PROJ'!E33</f>
        <v>8.2405972672207357E-3</v>
      </c>
      <c r="AU31" s="262">
        <f>+'WICHE Public Grads-RE PROJ'!CK33/'WICHE Public Grads-RE PROJ'!F33</f>
        <v>9.5452376082361765E-3</v>
      </c>
      <c r="AV31" s="262">
        <f>+'WICHE Public Grads-RE PROJ'!CL33/'WICHE Public Grads-RE PROJ'!G33</f>
        <v>9.1677503250975293E-3</v>
      </c>
      <c r="AW31" s="267">
        <f>+'WICHE Public Grads-RE PROJ'!CM33/'WICHE Public Grads-RE PROJ'!H33</f>
        <v>8.6323519938156287E-3</v>
      </c>
      <c r="AX31" s="267">
        <f>+'WICHE Public Grads-RE PROJ'!CN33/'WICHE Public Grads-RE PROJ'!I33</f>
        <v>7.5719012471366764E-3</v>
      </c>
      <c r="AY31" s="267">
        <f>+'WICHE Public Grads-RE PROJ'!CO33/'WICHE Public Grads-RE PROJ'!J33</f>
        <v>8.0405739732805539E-3</v>
      </c>
      <c r="AZ31" s="267">
        <f>+'WICHE Public Grads-RE PROJ'!CP33/'WICHE Public Grads-RE PROJ'!K33</f>
        <v>8.3432657926102508E-3</v>
      </c>
      <c r="BA31" s="262">
        <f>+'WICHE Public Grads-RE PROJ'!CQ33/'WICHE Public Grads-RE PROJ'!L33</f>
        <v>1.2032254000251985E-2</v>
      </c>
      <c r="BB31" s="267">
        <f>+'WICHE Public Grads-RE PROJ'!CR33/'WICHE Public Grads-RE PROJ'!M33</f>
        <v>9.5220078193971498E-3</v>
      </c>
      <c r="BC31" s="267">
        <f>+'WICHE Public Grads-RE PROJ'!CS33/'WICHE Public Grads-RE PROJ'!N33</f>
        <v>1.1706438541197659E-2</v>
      </c>
      <c r="BD31" s="267">
        <f>+'WICHE Public Grads-RE PROJ'!CT33/'WICHE Public Grads-RE PROJ'!O33</f>
        <v>1.2874175545408421E-2</v>
      </c>
      <c r="BE31" s="267">
        <f>+'WICHE Public Grads-RE PROJ'!CU33/'WICHE Public Grads-RE PROJ'!P33</f>
        <v>1.261182902584493E-2</v>
      </c>
      <c r="BF31" s="267">
        <f>+'WICHE Public Grads-RE PROJ'!CV33/'WICHE Public Grads-RE PROJ'!Q33</f>
        <v>1.2436892008373354E-2</v>
      </c>
      <c r="BG31" s="267">
        <f>+'WICHE Public Grads-RE PROJ'!CW33/'WICHE Public Grads-RE PROJ'!R33</f>
        <v>1.2192913623468341E-2</v>
      </c>
      <c r="BH31" s="267">
        <f>+'WICHE Public Grads-RE PROJ'!CX33/'WICHE Public Grads-RE PROJ'!S33</f>
        <v>1.1780805616707324E-2</v>
      </c>
      <c r="BI31" s="267">
        <f>+'WICHE Public Grads-RE PROJ'!CY33/'WICHE Public Grads-RE PROJ'!T33</f>
        <v>1.1184173551396616E-2</v>
      </c>
      <c r="BJ31" s="267">
        <f>+'WICHE Public Grads-RE PROJ'!CZ33/'WICHE Public Grads-RE PROJ'!U33</f>
        <v>1.5119586705744372E-2</v>
      </c>
      <c r="BK31" s="267">
        <f>+'WICHE Public Grads-RE PROJ'!DA33/'WICHE Public Grads-RE PROJ'!V33</f>
        <v>1.4279070063446251E-2</v>
      </c>
      <c r="BL31" s="267">
        <f>+'WICHE Public Grads-RE PROJ'!DB33/'WICHE Public Grads-RE PROJ'!W33</f>
        <v>1.1709737766462379E-2</v>
      </c>
      <c r="BM31" s="268">
        <f>+'WICHE Public Grads-RE PROJ'!DC33/'WICHE Public Grads-RE PROJ'!Y33</f>
        <v>1.0831301567988963E-2</v>
      </c>
      <c r="BN31" s="268">
        <f>+'WICHE Public Grads-RE PROJ'!DD33/'WICHE Public Grads-RE PROJ'!Z33</f>
        <v>1.0724451569232196E-2</v>
      </c>
      <c r="BO31" s="268">
        <f>+'WICHE Public Grads-RE PROJ'!DE33/'WICHE Public Grads-RE PROJ'!AA33</f>
        <v>1.0019230064862522E-2</v>
      </c>
      <c r="BP31" s="268">
        <f>+'WICHE Public Grads-RE PROJ'!DF33/'WICHE Public Grads-RE PROJ'!AB33</f>
        <v>9.8463203349959671E-3</v>
      </c>
      <c r="BQ31" s="266">
        <f>+'WICHE Public Grads-RE PROJ'!DG33/'WICHE Public Grads-RE PROJ'!AC33</f>
        <v>9.3199477999937174E-3</v>
      </c>
      <c r="BR31" s="266">
        <f>+'WICHE Public Grads-RE PROJ'!DH33/'WICHE Public Grads-RE PROJ'!AD33</f>
        <v>9.6250809728798351E-3</v>
      </c>
      <c r="BS31" s="266">
        <f>+'WICHE Public Grads-RE PROJ'!DI33/'WICHE Public Grads-RE PROJ'!AE33</f>
        <v>9.6315466863271058E-3</v>
      </c>
      <c r="BT31" s="266">
        <f>+'WICHE Public Grads-RE PROJ'!DJ33/'WICHE Public Grads-RE PROJ'!AF33</f>
        <v>9.5792290901772527E-3</v>
      </c>
      <c r="BU31" s="266">
        <f>+'WICHE Public Grads-RE PROJ'!DK33/'WICHE Public Grads-RE PROJ'!AG33</f>
        <v>9.8539046968560799E-3</v>
      </c>
      <c r="BV31" s="268">
        <f>+'WICHE Public Grads-RE PROJ'!DL33/'WICHE Public Grads-RE PROJ'!AH33</f>
        <v>9.3939261758997951E-3</v>
      </c>
      <c r="BW31" s="266">
        <f>+'WICHE Public Grads-RE PROJ'!DM33/'WICHE Public Grads-RE PROJ'!AI33</f>
        <v>9.0219562547336433E-3</v>
      </c>
      <c r="BX31" s="266">
        <f>+'WICHE Public Grads-RE PROJ'!DN33/'WICHE Public Grads-RE PROJ'!AJ33</f>
        <v>8.4640720074235891E-3</v>
      </c>
      <c r="BY31" s="266">
        <f>+'WICHE Public Grads-RE PROJ'!DO33/'WICHE Public Grads-RE PROJ'!AK33</f>
        <v>8.9501748152695983E-3</v>
      </c>
      <c r="BZ31" s="266">
        <f>+'WICHE Public Grads-RE PROJ'!DP33/'WICHE Public Grads-RE PROJ'!AL33</f>
        <v>9.252645185865065E-3</v>
      </c>
      <c r="CA31" s="266">
        <f>+'WICHE Public Grads-RE PROJ'!DQ33/'WICHE Public Grads-RE PROJ'!AM33</f>
        <v>9.3414795714907763E-3</v>
      </c>
      <c r="CB31" s="266">
        <f>+'WICHE Public Grads-RE PROJ'!DR33/'WICHE Public Grads-RE PROJ'!AN33</f>
        <v>9.1306665298627864E-3</v>
      </c>
      <c r="CC31" s="266">
        <f>+'WICHE Public Grads-RE PROJ'!DS33/'WICHE Public Grads-RE PROJ'!AO33</f>
        <v>1.0252505448851682E-2</v>
      </c>
      <c r="CD31" s="266">
        <f>+'WICHE Public Grads-RE PROJ'!DT33/'WICHE Public Grads-RE PROJ'!AP33</f>
        <v>9.0996255461219897E-3</v>
      </c>
      <c r="CE31" s="282">
        <f>+'WICHE Public Grads-RE PROJ'!DU33/'WICHE Public Grads-RE PROJ'!AQ33</f>
        <v>8.8125199963523058E-3</v>
      </c>
      <c r="CF31" s="262" t="e">
        <f>+'WICHE Public Grads-RE PROJ'!DV33/'WICHE Public Grads-RE PROJ'!B33</f>
        <v>#VALUE!</v>
      </c>
      <c r="CG31" s="262" t="e">
        <f>+'WICHE Public Grads-RE PROJ'!DW33/'WICHE Public Grads-RE PROJ'!C33</f>
        <v>#VALUE!</v>
      </c>
      <c r="CH31" s="262">
        <f>+'WICHE Public Grads-RE PROJ'!DX33/'WICHE Public Grads-RE PROJ'!D33</f>
        <v>1.2273172200888487E-2</v>
      </c>
      <c r="CI31" s="262">
        <f>+'WICHE Public Grads-RE PROJ'!DY33/'WICHE Public Grads-RE PROJ'!E33</f>
        <v>1.1903084941541062E-2</v>
      </c>
      <c r="CJ31" s="262">
        <f>+'WICHE Public Grads-RE PROJ'!DZ33/'WICHE Public Grads-RE PROJ'!F33</f>
        <v>1.0908842980841344E-2</v>
      </c>
      <c r="CK31" s="262">
        <f>+'WICHE Public Grads-RE PROJ'!EA33/'WICHE Public Grads-RE PROJ'!G33</f>
        <v>1.3394018205461638E-2</v>
      </c>
      <c r="CL31" s="267">
        <f>+'WICHE Public Grads-RE PROJ'!EB33/'WICHE Public Grads-RE PROJ'!H33</f>
        <v>1.2304322618050634E-2</v>
      </c>
      <c r="CM31" s="267">
        <f>+'WICHE Public Grads-RE PROJ'!EC33/'WICHE Public Grads-RE PROJ'!I33</f>
        <v>1.2534996182234664E-2</v>
      </c>
      <c r="CN31" s="267">
        <f>+'WICHE Public Grads-RE PROJ'!ED33/'WICHE Public Grads-RE PROJ'!J33</f>
        <v>1.4473033151904997E-2</v>
      </c>
      <c r="CO31" s="267">
        <f>+'WICHE Public Grads-RE PROJ'!EE33/'WICHE Public Grads-RE PROJ'!K33</f>
        <v>1.4051816071764632E-2</v>
      </c>
      <c r="CP31" s="262">
        <f>+'WICHE Public Grads-RE PROJ'!EF33/'WICHE Public Grads-RE PROJ'!L33</f>
        <v>1.5623031372054933E-2</v>
      </c>
      <c r="CQ31" s="267">
        <f>+'WICHE Public Grads-RE PROJ'!EG33/'WICHE Public Grads-RE PROJ'!M33</f>
        <v>1.532349602724177E-2</v>
      </c>
      <c r="CR31" s="267">
        <f>+'WICHE Public Grads-RE PROJ'!EH33/'WICHE Public Grads-RE PROJ'!N33</f>
        <v>1.8588795265967711E-2</v>
      </c>
      <c r="CS31" s="267">
        <f>+'WICHE Public Grads-RE PROJ'!EI33/'WICHE Public Grads-RE PROJ'!O33</f>
        <v>1.8772196854388634E-2</v>
      </c>
      <c r="CT31" s="267">
        <f>+'WICHE Public Grads-RE PROJ'!EJ33/'WICHE Public Grads-RE PROJ'!P33</f>
        <v>1.5593936381709741E-2</v>
      </c>
      <c r="CU31" s="267">
        <f>+'WICHE Public Grads-RE PROJ'!EK33/'WICHE Public Grads-RE PROJ'!Q33</f>
        <v>1.7177687476911712E-2</v>
      </c>
      <c r="CV31" s="267">
        <f>+'WICHE Public Grads-RE PROJ'!EL33/'WICHE Public Grads-RE PROJ'!R33</f>
        <v>1.6840707430433994E-2</v>
      </c>
      <c r="CW31" s="267">
        <f>+'WICHE Public Grads-RE PROJ'!EM33/'WICHE Public Grads-RE PROJ'!S33</f>
        <v>1.7671208425060987E-2</v>
      </c>
      <c r="CX31" s="267">
        <f>+'WICHE Public Grads-RE PROJ'!EN33/'WICHE Public Grads-RE PROJ'!T33</f>
        <v>1.7422581914235936E-2</v>
      </c>
      <c r="CY31" s="267">
        <f>+'WICHE Public Grads-RE PROJ'!EO33/'WICHE Public Grads-RE PROJ'!U33</f>
        <v>1.9013736926162452E-2</v>
      </c>
      <c r="CZ31" s="267">
        <f>+'WICHE Public Grads-RE PROJ'!EP33/'WICHE Public Grads-RE PROJ'!V33</f>
        <v>1.9999830238656549E-2</v>
      </c>
      <c r="DA31" s="267">
        <f>+'WICHE Public Grads-RE PROJ'!EQ33/'WICHE Public Grads-RE PROJ'!W33</f>
        <v>1.9409993146010707E-2</v>
      </c>
      <c r="DB31" s="268">
        <f>+'WICHE Public Grads-RE PROJ'!ER33/'WICHE Public Grads-RE PROJ'!Y33</f>
        <v>2.0764059744070914E-2</v>
      </c>
      <c r="DC31" s="268">
        <f>+'WICHE Public Grads-RE PROJ'!ES33/'WICHE Public Grads-RE PROJ'!Z33</f>
        <v>1.9429493902644906E-2</v>
      </c>
      <c r="DD31" s="268">
        <f>+'WICHE Public Grads-RE PROJ'!ET33/'WICHE Public Grads-RE PROJ'!AA33</f>
        <v>1.9397239365892993E-2</v>
      </c>
      <c r="DE31" s="268">
        <f>+'WICHE Public Grads-RE PROJ'!EU33/'WICHE Public Grads-RE PROJ'!AB33</f>
        <v>1.9842440793202767E-2</v>
      </c>
      <c r="DF31" s="266">
        <f>+'WICHE Public Grads-RE PROJ'!EV33/'WICHE Public Grads-RE PROJ'!AC33</f>
        <v>1.9139275894858861E-2</v>
      </c>
      <c r="DG31" s="266">
        <f>+'WICHE Public Grads-RE PROJ'!EW33/'WICHE Public Grads-RE PROJ'!AD33</f>
        <v>1.9649748878360497E-2</v>
      </c>
      <c r="DH31" s="266">
        <f>+'WICHE Public Grads-RE PROJ'!EX33/'WICHE Public Grads-RE PROJ'!AE33</f>
        <v>1.9059996628757278E-2</v>
      </c>
      <c r="DI31" s="266">
        <f>+'WICHE Public Grads-RE PROJ'!EY33/'WICHE Public Grads-RE PROJ'!AF33</f>
        <v>2.0291534756425686E-2</v>
      </c>
      <c r="DJ31" s="266">
        <f>+'WICHE Public Grads-RE PROJ'!EZ33/'WICHE Public Grads-RE PROJ'!AG33</f>
        <v>1.9301196556744008E-2</v>
      </c>
      <c r="DK31" s="268">
        <f>+'WICHE Public Grads-RE PROJ'!FA33/'WICHE Public Grads-RE PROJ'!AH33</f>
        <v>1.8582118841719768E-2</v>
      </c>
      <c r="DL31" s="266">
        <f>+'WICHE Public Grads-RE PROJ'!FB33/'WICHE Public Grads-RE PROJ'!AI33</f>
        <v>1.6763246651530745E-2</v>
      </c>
      <c r="DM31" s="266">
        <f>+'WICHE Public Grads-RE PROJ'!FC33/'WICHE Public Grads-RE PROJ'!AJ33</f>
        <v>1.7695403948894899E-2</v>
      </c>
      <c r="DN31" s="266">
        <f>+'WICHE Public Grads-RE PROJ'!FD33/'WICHE Public Grads-RE PROJ'!AK33</f>
        <v>2.0448656070434595E-2</v>
      </c>
      <c r="DO31" s="266">
        <f>+'WICHE Public Grads-RE PROJ'!FE33/'WICHE Public Grads-RE PROJ'!AL33</f>
        <v>1.9655760618772476E-2</v>
      </c>
      <c r="DP31" s="266">
        <f>+'WICHE Public Grads-RE PROJ'!FF33/'WICHE Public Grads-RE PROJ'!AM33</f>
        <v>2.1916147015443518E-2</v>
      </c>
      <c r="DQ31" s="266">
        <f>+'WICHE Public Grads-RE PROJ'!FG33/'WICHE Public Grads-RE PROJ'!AN33</f>
        <v>2.2125183326762953E-2</v>
      </c>
      <c r="DR31" s="266">
        <f>+'WICHE Public Grads-RE PROJ'!FH33/'WICHE Public Grads-RE PROJ'!AO33</f>
        <v>2.3093194679294084E-2</v>
      </c>
      <c r="DS31" s="266">
        <f>+'WICHE Public Grads-RE PROJ'!FI33/'WICHE Public Grads-RE PROJ'!AP33</f>
        <v>2.4833203650587825E-2</v>
      </c>
      <c r="DT31" s="282">
        <f>+'WICHE Public Grads-RE PROJ'!FJ33/'WICHE Public Grads-RE PROJ'!AQ33</f>
        <v>2.4753545996894621E-2</v>
      </c>
      <c r="DU31" s="262" t="e">
        <f>+'WICHE Public Grads-RE PROJ'!FK33/'WICHE Public Grads-RE PROJ'!B33</f>
        <v>#VALUE!</v>
      </c>
      <c r="DV31" s="262" t="e">
        <f>+'WICHE Public Grads-RE PROJ'!FL33/'WICHE Public Grads-RE PROJ'!C33</f>
        <v>#VALUE!</v>
      </c>
      <c r="DW31" s="262">
        <f>+'WICHE Public Grads-RE PROJ'!FM33/'WICHE Public Grads-RE PROJ'!D33</f>
        <v>2.4847526541676079E-3</v>
      </c>
      <c r="DX31" s="262">
        <f>+'WICHE Public Grads-RE PROJ'!FN33/'WICHE Public Grads-RE PROJ'!E33</f>
        <v>2.8877306662910269E-3</v>
      </c>
      <c r="DY31" s="262">
        <f>+'WICHE Public Grads-RE PROJ'!FO33/'WICHE Public Grads-RE PROJ'!F33</f>
        <v>2.6590304765800776E-3</v>
      </c>
      <c r="DZ31" s="262">
        <f>+'WICHE Public Grads-RE PROJ'!FP33/'WICHE Public Grads-RE PROJ'!G33</f>
        <v>2.9908972691807542E-3</v>
      </c>
      <c r="EA31" s="267">
        <f>+'WICHE Public Grads-RE PROJ'!FQ33/'WICHE Public Grads-RE PROJ'!H33</f>
        <v>3.0277652515621981E-3</v>
      </c>
      <c r="EB31" s="267">
        <f>+'WICHE Public Grads-RE PROJ'!FR33/'WICHE Public Grads-RE PROJ'!I33</f>
        <v>3.6905064902010691E-3</v>
      </c>
      <c r="EC31" s="267">
        <f>+'WICHE Public Grads-RE PROJ'!FS33/'WICHE Public Grads-RE PROJ'!J33</f>
        <v>3.9584364176150424E-3</v>
      </c>
      <c r="ED31" s="267">
        <f>+'WICHE Public Grads-RE PROJ'!FT33/'WICHE Public Grads-RE PROJ'!K33</f>
        <v>4.3911925224264479E-3</v>
      </c>
      <c r="EE31" s="262">
        <f>+'WICHE Public Grads-RE PROJ'!FU33/'WICHE Public Grads-RE PROJ'!L33</f>
        <v>4.7877031624039314E-3</v>
      </c>
      <c r="EF31" s="267">
        <f>+'WICHE Public Grads-RE PROJ'!FV33/'WICHE Public Grads-RE PROJ'!M33</f>
        <v>5.0447723546474966E-3</v>
      </c>
      <c r="EG31" s="267">
        <f>+'WICHE Public Grads-RE PROJ'!FW33/'WICHE Public Grads-RE PROJ'!N33</f>
        <v>5.0813661799704122E-3</v>
      </c>
      <c r="EH31" s="267">
        <f>+'WICHE Public Grads-RE PROJ'!FX33/'WICHE Public Grads-RE PROJ'!O33</f>
        <v>5.5809233891425669E-3</v>
      </c>
      <c r="EI31" s="267">
        <f>+'WICHE Public Grads-RE PROJ'!FY33/'WICHE Public Grads-RE PROJ'!P33</f>
        <v>5.653578528827038E-3</v>
      </c>
      <c r="EJ31" s="267">
        <f>+'WICHE Public Grads-RE PROJ'!FZ33/'WICHE Public Grads-RE PROJ'!Q33</f>
        <v>7.9423716291097159E-3</v>
      </c>
      <c r="EK31" s="267">
        <f>+'WICHE Public Grads-RE PROJ'!GA33/'WICHE Public Grads-RE PROJ'!R33</f>
        <v>8.0280074847588583E-3</v>
      </c>
      <c r="EL31" s="267">
        <f>+'WICHE Public Grads-RE PROJ'!GB33/'WICHE Public Grads-RE PROJ'!S33</f>
        <v>1.0769322306181947E-2</v>
      </c>
      <c r="EM31" s="267">
        <f>+'WICHE Public Grads-RE PROJ'!GC33/'WICHE Public Grads-RE PROJ'!T33</f>
        <v>9.2733097285449331E-3</v>
      </c>
      <c r="EN31" s="267">
        <f>+'WICHE Public Grads-RE PROJ'!GD33/'WICHE Public Grads-RE PROJ'!U33</f>
        <v>9.6611523727706729E-3</v>
      </c>
      <c r="EO31" s="267">
        <f>+'WICHE Public Grads-RE PROJ'!GE33/'WICHE Public Grads-RE PROJ'!V33</f>
        <v>1.0404364546886077E-2</v>
      </c>
      <c r="EP31" s="267">
        <f>+'WICHE Public Grads-RE PROJ'!GF33/'WICHE Public Grads-RE PROJ'!W33</f>
        <v>1.1723469829966159E-2</v>
      </c>
      <c r="EQ31" s="268">
        <f>+'WICHE Public Grads-RE PROJ'!GG33/'WICHE Public Grads-RE PROJ'!Y33</f>
        <v>1.2657790550353829E-2</v>
      </c>
      <c r="ER31" s="268">
        <f>+'WICHE Public Grads-RE PROJ'!GH33/'WICHE Public Grads-RE PROJ'!Z33</f>
        <v>1.1224743888919815E-2</v>
      </c>
      <c r="ES31" s="268">
        <f>+'WICHE Public Grads-RE PROJ'!GI33/'WICHE Public Grads-RE PROJ'!AA33</f>
        <v>1.2791851842399872E-2</v>
      </c>
      <c r="ET31" s="268">
        <f>+'WICHE Public Grads-RE PROJ'!GJ33/'WICHE Public Grads-RE PROJ'!AB33</f>
        <v>1.1841087436106986E-2</v>
      </c>
      <c r="EU31" s="266">
        <f>+'WICHE Public Grads-RE PROJ'!GK33/'WICHE Public Grads-RE PROJ'!AC33</f>
        <v>1.2106540434156926E-2</v>
      </c>
      <c r="EV31" s="266">
        <f>+'WICHE Public Grads-RE PROJ'!GL33/'WICHE Public Grads-RE PROJ'!AD33</f>
        <v>1.3552960751282046E-2</v>
      </c>
      <c r="EW31" s="266">
        <f>+'WICHE Public Grads-RE PROJ'!GM33/'WICHE Public Grads-RE PROJ'!AE33</f>
        <v>1.1854949079601215E-2</v>
      </c>
      <c r="EX31" s="266">
        <f>+'WICHE Public Grads-RE PROJ'!GN33/'WICHE Public Grads-RE PROJ'!AF33</f>
        <v>1.1483301476053271E-2</v>
      </c>
      <c r="EY31" s="266">
        <f>+'WICHE Public Grads-RE PROJ'!GO33/'WICHE Public Grads-RE PROJ'!AG33</f>
        <v>1.1087792343771254E-2</v>
      </c>
      <c r="EZ31" s="268">
        <f>+'WICHE Public Grads-RE PROJ'!GP33/'WICHE Public Grads-RE PROJ'!AH33</f>
        <v>1.2944497251471353E-2</v>
      </c>
      <c r="FA31" s="266">
        <f>+'WICHE Public Grads-RE PROJ'!GQ33/'WICHE Public Grads-RE PROJ'!AI33</f>
        <v>1.0222016655526607E-2</v>
      </c>
      <c r="FB31" s="266">
        <f>+'WICHE Public Grads-RE PROJ'!GR33/'WICHE Public Grads-RE PROJ'!AJ33</f>
        <v>1.1613882919953793E-2</v>
      </c>
      <c r="FC31" s="266">
        <f>+'WICHE Public Grads-RE PROJ'!GS33/'WICHE Public Grads-RE PROJ'!AK33</f>
        <v>1.4677712716299317E-2</v>
      </c>
      <c r="FD31" s="266">
        <f>+'WICHE Public Grads-RE PROJ'!GT33/'WICHE Public Grads-RE PROJ'!AL33</f>
        <v>1.4537332325151083E-2</v>
      </c>
      <c r="FE31" s="266">
        <f>+'WICHE Public Grads-RE PROJ'!GU33/'WICHE Public Grads-RE PROJ'!AM33</f>
        <v>1.5514476489427725E-2</v>
      </c>
      <c r="FF31" s="266">
        <f>+'WICHE Public Grads-RE PROJ'!GV33/'WICHE Public Grads-RE PROJ'!AN33</f>
        <v>1.9107442977740526E-2</v>
      </c>
      <c r="FG31" s="266">
        <f>+'WICHE Public Grads-RE PROJ'!GW33/'WICHE Public Grads-RE PROJ'!AO33</f>
        <v>1.7675127871721073E-2</v>
      </c>
      <c r="FH31" s="266">
        <f>+'WICHE Public Grads-RE PROJ'!GX33/'WICHE Public Grads-RE PROJ'!AP33</f>
        <v>1.939314770801424E-2</v>
      </c>
      <c r="FI31" s="282">
        <f>+'WICHE Public Grads-RE PROJ'!GY33/'WICHE Public Grads-RE PROJ'!AQ33</f>
        <v>2.042281017226185E-2</v>
      </c>
      <c r="FJ31" s="262" t="e">
        <f>+'WICHE Public Grads-RE PROJ'!GZ33/'WICHE Public Grads-RE PROJ'!B33</f>
        <v>#VALUE!</v>
      </c>
      <c r="FK31" s="262" t="e">
        <f>+'WICHE Public Grads-RE PROJ'!HA33/'WICHE Public Grads-RE PROJ'!C33</f>
        <v>#VALUE!</v>
      </c>
      <c r="FL31" s="262">
        <f>+'WICHE Public Grads-RE PROJ'!HB33/'WICHE Public Grads-RE PROJ'!D33</f>
        <v>3.9078382651908744E-2</v>
      </c>
      <c r="FM31" s="262">
        <f>+'WICHE Public Grads-RE PROJ'!HC33/'WICHE Public Grads-RE PROJ'!E33</f>
        <v>3.8596985490914212E-2</v>
      </c>
      <c r="FN31" s="262">
        <f>+'WICHE Public Grads-RE PROJ'!HD33/'WICHE Public Grads-RE PROJ'!F33</f>
        <v>4.3976273266516673E-2</v>
      </c>
      <c r="FO31" s="262">
        <f>+'WICHE Public Grads-RE PROJ'!HE33/'WICHE Public Grads-RE PROJ'!G33</f>
        <v>4.6553966189856959E-2</v>
      </c>
      <c r="FP31" s="267">
        <f>+'WICHE Public Grads-RE PROJ'!HF33/'WICHE Public Grads-RE PROJ'!H33</f>
        <v>4.9603813695806222E-2</v>
      </c>
      <c r="FQ31" s="267">
        <f>+'WICHE Public Grads-RE PROJ'!HG33/'WICHE Public Grads-RE PROJ'!I33</f>
        <v>5.5039450241791806E-2</v>
      </c>
      <c r="FR31" s="267">
        <f>+'WICHE Public Grads-RE PROJ'!HH33/'WICHE Public Grads-RE PROJ'!J33</f>
        <v>5.8634339435922812E-2</v>
      </c>
      <c r="FS31" s="267">
        <f>+'WICHE Public Grads-RE PROJ'!HI33/'WICHE Public Grads-RE PROJ'!K33</f>
        <v>6.1037576061727619E-2</v>
      </c>
      <c r="FT31" s="262">
        <f>+'WICHE Public Grads-RE PROJ'!HJ33/'WICHE Public Grads-RE PROJ'!L33</f>
        <v>6.6964848179412881E-2</v>
      </c>
      <c r="FU31" s="267">
        <f>+'WICHE Public Grads-RE PROJ'!HK33/'WICHE Public Grads-RE PROJ'!M33</f>
        <v>7.1572707781561357E-2</v>
      </c>
      <c r="FV31" s="267">
        <f>+'WICHE Public Grads-RE PROJ'!HL33/'WICHE Public Grads-RE PROJ'!N33</f>
        <v>7.5577281790699169E-2</v>
      </c>
      <c r="FW31" s="267">
        <f>+'WICHE Public Grads-RE PROJ'!HM33/'WICHE Public Grads-RE PROJ'!O33</f>
        <v>7.9908675799086754E-2</v>
      </c>
      <c r="FX31" s="267">
        <f>+'WICHE Public Grads-RE PROJ'!HN33/'WICHE Public Grads-RE PROJ'!P33</f>
        <v>8.4430914512922464E-2</v>
      </c>
      <c r="FY31" s="267">
        <f>+'WICHE Public Grads-RE PROJ'!HO33/'WICHE Public Grads-RE PROJ'!Q33</f>
        <v>8.902844477281123E-2</v>
      </c>
      <c r="FZ31" s="267">
        <f>+'WICHE Public Grads-RE PROJ'!HP33/'WICHE Public Grads-RE PROJ'!R33</f>
        <v>9.8509084324259075E-2</v>
      </c>
      <c r="GA31" s="267">
        <f>+'WICHE Public Grads-RE PROJ'!HQ33/'WICHE Public Grads-RE PROJ'!S33</f>
        <v>0.10578925447730113</v>
      </c>
      <c r="GB31" s="267">
        <f>+'WICHE Public Grads-RE PROJ'!HR33/'WICHE Public Grads-RE PROJ'!T33</f>
        <v>0.12229528466250773</v>
      </c>
      <c r="GC31" s="267">
        <f>+'WICHE Public Grads-RE PROJ'!HS33/'WICHE Public Grads-RE PROJ'!U33</f>
        <v>0.12639087018544937</v>
      </c>
      <c r="GD31" s="267">
        <f>+'WICHE Public Grads-RE PROJ'!HT33/'WICHE Public Grads-RE PROJ'!V33</f>
        <v>0.13587204007285975</v>
      </c>
      <c r="GE31" s="267">
        <f>+'WICHE Public Grads-RE PROJ'!HU33/'WICHE Public Grads-RE PROJ'!W33</f>
        <v>0.13809745319223166</v>
      </c>
      <c r="GF31" s="268">
        <f>+'WICHE Public Grads-RE PROJ'!HV33/'WICHE Public Grads-RE PROJ'!Y33</f>
        <v>0.14782977454091517</v>
      </c>
      <c r="GG31" s="268">
        <f>+'WICHE Public Grads-RE PROJ'!HW33/'WICHE Public Grads-RE PROJ'!Z33</f>
        <v>0.15360885293525953</v>
      </c>
      <c r="GH31" s="268">
        <f>+'WICHE Public Grads-RE PROJ'!HX33/'WICHE Public Grads-RE PROJ'!AA33</f>
        <v>0.15902546294593389</v>
      </c>
      <c r="GI31" s="268">
        <f>+'WICHE Public Grads-RE PROJ'!HY33/'WICHE Public Grads-RE PROJ'!AB33</f>
        <v>0.1604811437843332</v>
      </c>
      <c r="GJ31" s="266">
        <f>+'WICHE Public Grads-RE PROJ'!HZ33/'WICHE Public Grads-RE PROJ'!AC33</f>
        <v>0.17092412981800123</v>
      </c>
      <c r="GK31" s="266">
        <f>+'WICHE Public Grads-RE PROJ'!IA33/'WICHE Public Grads-RE PROJ'!AD33</f>
        <v>0.17322953984799375</v>
      </c>
      <c r="GL31" s="266">
        <f>+'WICHE Public Grads-RE PROJ'!IB33/'WICHE Public Grads-RE PROJ'!AE33</f>
        <v>0.17862039932388576</v>
      </c>
      <c r="GM31" s="266">
        <f>+'WICHE Public Grads-RE PROJ'!IC33/'WICHE Public Grads-RE PROJ'!AF33</f>
        <v>0.18024656474057202</v>
      </c>
      <c r="GN31" s="266">
        <f>+'WICHE Public Grads-RE PROJ'!ID33/'WICHE Public Grads-RE PROJ'!AG33</f>
        <v>0.19120048385920571</v>
      </c>
      <c r="GO31" s="268">
        <f>+'WICHE Public Grads-RE PROJ'!IE33/'WICHE Public Grads-RE PROJ'!AH33</f>
        <v>0.20078645742644055</v>
      </c>
      <c r="GP31" s="266">
        <f>+'WICHE Public Grads-RE PROJ'!IF33/'WICHE Public Grads-RE PROJ'!AI33</f>
        <v>0.20173330559465791</v>
      </c>
      <c r="GQ31" s="266">
        <f>+'WICHE Public Grads-RE PROJ'!IG33/'WICHE Public Grads-RE PROJ'!AJ33</f>
        <v>0.21278260424623477</v>
      </c>
      <c r="GR31" s="266">
        <f>+'WICHE Public Grads-RE PROJ'!IH33/'WICHE Public Grads-RE PROJ'!AK33</f>
        <v>0.21649243485826472</v>
      </c>
      <c r="GS31" s="266">
        <f>+'WICHE Public Grads-RE PROJ'!II33/'WICHE Public Grads-RE PROJ'!AL33</f>
        <v>0.20703908323390827</v>
      </c>
      <c r="GT31" s="266">
        <f>+'WICHE Public Grads-RE PROJ'!IJ33/'WICHE Public Grads-RE PROJ'!AM33</f>
        <v>0.2093222293902498</v>
      </c>
      <c r="GU31" s="266">
        <f>+'WICHE Public Grads-RE PROJ'!IK33/'WICHE Public Grads-RE PROJ'!AN33</f>
        <v>0.2079946165335077</v>
      </c>
      <c r="GV31" s="266">
        <f>+'WICHE Public Grads-RE PROJ'!IL33/'WICHE Public Grads-RE PROJ'!AO33</f>
        <v>0.20433301773811061</v>
      </c>
      <c r="GW31" s="266">
        <f>+'WICHE Public Grads-RE PROJ'!IM33/'WICHE Public Grads-RE PROJ'!AP33</f>
        <v>0.20519388181428072</v>
      </c>
      <c r="GX31" s="282">
        <f>+'WICHE Public Grads-RE PROJ'!IN33/'WICHE Public Grads-RE PROJ'!AQ33</f>
        <v>0.2134907399308214</v>
      </c>
      <c r="GY31" s="262" t="e">
        <f>+'WICHE Public Grads-RE PROJ'!IO33/'WICHE Public Grads-RE PROJ'!B33</f>
        <v>#DIV/0!</v>
      </c>
      <c r="GZ31" s="262" t="e">
        <f>+'WICHE Public Grads-RE PROJ'!IP33/'WICHE Public Grads-RE PROJ'!C33</f>
        <v>#DIV/0!</v>
      </c>
      <c r="HA31" s="262">
        <f>+'WICHE Public Grads-RE PROJ'!IQ33/'WICHE Public Grads-RE PROJ'!D33</f>
        <v>0.93614938634139</v>
      </c>
      <c r="HB31" s="262">
        <f>+'WICHE Public Grads-RE PROJ'!IR33/'WICHE Public Grads-RE PROJ'!E33</f>
        <v>0.93837160163403299</v>
      </c>
      <c r="HC31" s="262">
        <f>+'WICHE Public Grads-RE PROJ'!IS33/'WICHE Public Grads-RE PROJ'!F33</f>
        <v>0.93291061566782574</v>
      </c>
      <c r="HD31" s="262">
        <f>+'WICHE Public Grads-RE PROJ'!IT33/'WICHE Public Grads-RE PROJ'!G33</f>
        <v>0.92789336801040312</v>
      </c>
      <c r="HE31" s="267">
        <f>+'WICHE Public Grads-RE PROJ'!IU33/'WICHE Public Grads-RE PROJ'!H33</f>
        <v>0.92643174644076531</v>
      </c>
      <c r="HF31" s="267">
        <f>+'WICHE Public Grads-RE PROJ'!IV33/'WICHE Public Grads-RE PROJ'!I33</f>
        <v>0.92116314583863579</v>
      </c>
      <c r="HG31" s="267">
        <f>+'WICHE Public Grads-RE PROJ'!IW33/'WICHE Public Grads-RE PROJ'!J33</f>
        <v>0.91489361702127658</v>
      </c>
      <c r="HH31" s="267">
        <f>+'WICHE Public Grads-RE PROJ'!IX33/'WICHE Public Grads-RE PROJ'!K33</f>
        <v>0.91217614955147108</v>
      </c>
      <c r="HI31" s="262">
        <f>+'WICHE Public Grads-RE PROJ'!IY33/'WICHE Public Grads-RE PROJ'!L33</f>
        <v>0.90059216328587632</v>
      </c>
      <c r="HJ31" s="267">
        <f>+'WICHE Public Grads-RE PROJ'!IZ33/'WICHE Public Grads-RE PROJ'!M33</f>
        <v>0.89853701601715219</v>
      </c>
      <c r="HK31" s="267">
        <f>+'WICHE Public Grads-RE PROJ'!JA33/'WICHE Public Grads-RE PROJ'!N33</f>
        <v>0.88904611822216506</v>
      </c>
      <c r="HL31" s="267">
        <f>+'WICHE Public Grads-RE PROJ'!JB33/'WICHE Public Grads-RE PROJ'!O33</f>
        <v>0.88286402841197364</v>
      </c>
      <c r="HM31" s="267">
        <f>+'WICHE Public Grads-RE PROJ'!JC33/'WICHE Public Grads-RE PROJ'!P33</f>
        <v>0.88170974155069581</v>
      </c>
      <c r="HN31" s="267">
        <f>+'WICHE Public Grads-RE PROJ'!JD33/'WICHE Public Grads-RE PROJ'!Q33</f>
        <v>0.87341460411279404</v>
      </c>
      <c r="HO31" s="267">
        <f>+'WICHE Public Grads-RE PROJ'!JE33/'WICHE Public Grads-RE PROJ'!R33</f>
        <v>0.86442928713707978</v>
      </c>
      <c r="HP31" s="267">
        <f>+'WICHE Public Grads-RE PROJ'!JF33/'WICHE Public Grads-RE PROJ'!S33</f>
        <v>0.85398940917474864</v>
      </c>
      <c r="HQ31" s="267">
        <f>+'WICHE Public Grads-RE PROJ'!JG33/'WICHE Public Grads-RE PROJ'!T33</f>
        <v>0.83982465014331475</v>
      </c>
      <c r="HR31" s="267">
        <f>+'WICHE Public Grads-RE PROJ'!JH33/'WICHE Public Grads-RE PROJ'!U33</f>
        <v>0.82981465380987318</v>
      </c>
      <c r="HS31" s="267">
        <f>+'WICHE Public Grads-RE PROJ'!JI33/'WICHE Public Grads-RE PROJ'!V33</f>
        <v>0.81944469507815143</v>
      </c>
      <c r="HT31" s="267">
        <f>+'WICHE Public Grads-RE PROJ'!JJ33/'WICHE Public Grads-RE PROJ'!W33</f>
        <v>0.81905934606532915</v>
      </c>
      <c r="HU31" s="268">
        <f>+'WICHE Public Grads-RE PROJ'!JK33/'WICHE Public Grads-RE PROJ'!Y33</f>
        <v>0.80653506412423148</v>
      </c>
      <c r="HV31" s="268">
        <f>+'WICHE Public Grads-RE PROJ'!JL33/'WICHE Public Grads-RE PROJ'!Z33</f>
        <v>0.80385615812204003</v>
      </c>
      <c r="HW31" s="268">
        <f>+'WICHE Public Grads-RE PROJ'!JM33/'WICHE Public Grads-RE PROJ'!AA33</f>
        <v>0.79769477838497482</v>
      </c>
      <c r="HX31" s="268">
        <f>+'WICHE Public Grads-RE PROJ'!JN33/'WICHE Public Grads-RE PROJ'!AB33</f>
        <v>0.79718696872607409</v>
      </c>
      <c r="HY31" s="266">
        <f>+'WICHE Public Grads-RE PROJ'!JO33/'WICHE Public Grads-RE PROJ'!AC33</f>
        <v>0.78835947554014008</v>
      </c>
      <c r="HZ31" s="266">
        <f>+'WICHE Public Grads-RE PROJ'!JP33/'WICHE Public Grads-RE PROJ'!AD33</f>
        <v>0.78407722695355708</v>
      </c>
      <c r="IA31" s="266">
        <f>+'WICHE Public Grads-RE PROJ'!JQ33/'WICHE Public Grads-RE PROJ'!AE33</f>
        <v>0.78103275582108267</v>
      </c>
      <c r="IB31" s="266">
        <f>+'WICHE Public Grads-RE PROJ'!JR33/'WICHE Public Grads-RE PROJ'!AF33</f>
        <v>0.77920472055528045</v>
      </c>
      <c r="IC31" s="266">
        <f>+'WICHE Public Grads-RE PROJ'!JS33/'WICHE Public Grads-RE PROJ'!AG33</f>
        <v>0.77007367743463728</v>
      </c>
      <c r="ID31" s="268">
        <f>+'WICHE Public Grads-RE PROJ'!JT33/'WICHE Public Grads-RE PROJ'!AH33</f>
        <v>0.76139609121110052</v>
      </c>
      <c r="IE31" s="266">
        <f>+'WICHE Public Grads-RE PROJ'!JU33/'WICHE Public Grads-RE PROJ'!AI33</f>
        <v>0.76514015308906969</v>
      </c>
      <c r="IF31" s="266">
        <f>+'WICHE Public Grads-RE PROJ'!JV33/'WICHE Public Grads-RE PROJ'!AJ33</f>
        <v>0.75467622762179221</v>
      </c>
      <c r="IG31" s="266">
        <f>+'WICHE Public Grads-RE PROJ'!JW33/'WICHE Public Grads-RE PROJ'!AK33</f>
        <v>0.75023579413168739</v>
      </c>
      <c r="IH31" s="266">
        <f>+'WICHE Public Grads-RE PROJ'!JX33/'WICHE Public Grads-RE PROJ'!AL33</f>
        <v>0.7570070657621375</v>
      </c>
      <c r="II31" s="266">
        <f>+'WICHE Public Grads-RE PROJ'!JY33/'WICHE Public Grads-RE PROJ'!AM33</f>
        <v>0.75269147624111421</v>
      </c>
      <c r="IJ31" s="266">
        <f>+'WICHE Public Grads-RE PROJ'!JZ33/'WICHE Public Grads-RE PROJ'!AN33</f>
        <v>0.75031485236006645</v>
      </c>
      <c r="IK31" s="266">
        <f>+'WICHE Public Grads-RE PROJ'!KA33/'WICHE Public Grads-RE PROJ'!AO33</f>
        <v>0.75005275684594119</v>
      </c>
      <c r="IL31" s="266">
        <f>+'WICHE Public Grads-RE PROJ'!KB33/'WICHE Public Grads-RE PROJ'!AP33</f>
        <v>0.75220957228240959</v>
      </c>
      <c r="IM31" s="282">
        <f>+'WICHE Public Grads-RE PROJ'!KC33/'WICHE Public Grads-RE PROJ'!AQ33</f>
        <v>0.74429187606734226</v>
      </c>
      <c r="IN31" s="278" t="e">
        <f t="shared" si="44"/>
        <v>#VALUE!</v>
      </c>
      <c r="IO31" s="278" t="e">
        <f t="shared" si="45"/>
        <v>#VALUE!</v>
      </c>
      <c r="IP31" s="278">
        <f t="shared" si="46"/>
        <v>1</v>
      </c>
      <c r="IQ31" s="278">
        <f t="shared" si="47"/>
        <v>1</v>
      </c>
      <c r="IR31" s="278">
        <f t="shared" si="48"/>
        <v>1</v>
      </c>
      <c r="IS31" s="278">
        <f t="shared" si="49"/>
        <v>1</v>
      </c>
      <c r="IT31" s="278">
        <f t="shared" si="50"/>
        <v>1</v>
      </c>
      <c r="IU31" s="278">
        <f t="shared" si="51"/>
        <v>1</v>
      </c>
      <c r="IV31" s="278">
        <f t="shared" si="52"/>
        <v>1</v>
      </c>
      <c r="IW31" s="278">
        <f t="shared" si="53"/>
        <v>1</v>
      </c>
      <c r="IX31" s="278">
        <f t="shared" si="54"/>
        <v>1</v>
      </c>
      <c r="IY31" s="278">
        <f t="shared" si="55"/>
        <v>1</v>
      </c>
      <c r="IZ31" s="278">
        <f t="shared" si="56"/>
        <v>1</v>
      </c>
      <c r="JA31" s="278">
        <f t="shared" si="57"/>
        <v>1</v>
      </c>
      <c r="JB31" s="278">
        <f t="shared" si="58"/>
        <v>1</v>
      </c>
      <c r="JC31" s="278">
        <f t="shared" si="59"/>
        <v>1</v>
      </c>
      <c r="JD31" s="278">
        <f t="shared" si="60"/>
        <v>1</v>
      </c>
      <c r="JE31" s="278">
        <f t="shared" si="61"/>
        <v>1</v>
      </c>
      <c r="JF31" s="278">
        <f t="shared" si="62"/>
        <v>1</v>
      </c>
      <c r="JG31" s="278">
        <f t="shared" si="63"/>
        <v>1</v>
      </c>
      <c r="JH31" s="278">
        <f t="shared" si="64"/>
        <v>1</v>
      </c>
      <c r="JI31" s="278">
        <f t="shared" si="65"/>
        <v>1</v>
      </c>
      <c r="JJ31" s="278">
        <f t="shared" si="66"/>
        <v>0.99861799052756028</v>
      </c>
      <c r="JK31" s="278">
        <f t="shared" si="67"/>
        <v>0.99884370041809645</v>
      </c>
      <c r="JL31" s="278">
        <f t="shared" si="68"/>
        <v>0.99892856260406404</v>
      </c>
      <c r="JM31" s="278">
        <f t="shared" si="69"/>
        <v>0.99919796107471304</v>
      </c>
      <c r="JN31" s="278">
        <f t="shared" si="70"/>
        <v>0.99984936948715086</v>
      </c>
      <c r="JO31" s="278">
        <f t="shared" si="71"/>
        <v>1.0001345574040732</v>
      </c>
      <c r="JP31" s="278">
        <f t="shared" si="72"/>
        <v>1.000199647539654</v>
      </c>
      <c r="JQ31" s="278">
        <f t="shared" si="73"/>
        <v>1.0008053506185086</v>
      </c>
      <c r="JR31" s="278">
        <f t="shared" si="74"/>
        <v>1.0015170548912145</v>
      </c>
      <c r="JS31" s="278">
        <f t="shared" si="75"/>
        <v>1.0031030909066321</v>
      </c>
      <c r="JT31" s="278">
        <f t="shared" si="76"/>
        <v>1.0028806782455186</v>
      </c>
      <c r="JU31" s="278">
        <f t="shared" si="77"/>
        <v>1.0052321907442994</v>
      </c>
      <c r="JV31" s="278">
        <f t="shared" si="78"/>
        <v>1.0108047725919556</v>
      </c>
      <c r="JW31" s="278">
        <f t="shared" si="79"/>
        <v>1.0074918871258345</v>
      </c>
      <c r="JX31" s="278">
        <f t="shared" si="80"/>
        <v>1.0087858087077262</v>
      </c>
      <c r="JY31" s="278">
        <f t="shared" si="81"/>
        <v>1.0086727617279405</v>
      </c>
      <c r="JZ31" s="278">
        <f t="shared" si="81"/>
        <v>1.0054066025839186</v>
      </c>
      <c r="KA31" s="278">
        <f t="shared" si="81"/>
        <v>1.0107294310014143</v>
      </c>
      <c r="KB31" s="278">
        <f t="shared" si="81"/>
        <v>1.0117714921636725</v>
      </c>
    </row>
    <row r="32" spans="1:288" s="17" customFormat="1">
      <c r="A32" s="175" t="s">
        <v>57</v>
      </c>
      <c r="B32" s="262">
        <f>+'WICHE Public Grads-RE PROJ'!AR34/'WICHE Public Grads-RE PROJ'!B34</f>
        <v>6.7322573513154987E-2</v>
      </c>
      <c r="C32" s="262">
        <f>+'WICHE Public Grads-RE PROJ'!AS34/'WICHE Public Grads-RE PROJ'!C34</f>
        <v>6.4543614868463092E-2</v>
      </c>
      <c r="D32" s="262">
        <f>+'WICHE Public Grads-RE PROJ'!AT34/'WICHE Public Grads-RE PROJ'!D34</f>
        <v>6.853452765336944E-2</v>
      </c>
      <c r="E32" s="262">
        <f>+'WICHE Public Grads-RE PROJ'!AU34/'WICHE Public Grads-RE PROJ'!E34</f>
        <v>6.9666469311229523E-2</v>
      </c>
      <c r="F32" s="262">
        <f>+'WICHE Public Grads-RE PROJ'!AV34/'WICHE Public Grads-RE PROJ'!F34</f>
        <v>6.9434855508432786E-2</v>
      </c>
      <c r="G32" s="262">
        <f>+'WICHE Public Grads-RE PROJ'!AW34/'WICHE Public Grads-RE PROJ'!G34</f>
        <v>6.9075760511528778E-2</v>
      </c>
      <c r="H32" s="267">
        <f>+'WICHE Public Grads-RE PROJ'!AX34/'WICHE Public Grads-RE PROJ'!H34</f>
        <v>6.4658408408408405E-2</v>
      </c>
      <c r="I32" s="267">
        <f>+'WICHE Public Grads-RE PROJ'!AY34/'WICHE Public Grads-RE PROJ'!I34</f>
        <v>6.846681922196797E-2</v>
      </c>
      <c r="J32" s="267">
        <f>+'WICHE Public Grads-RE PROJ'!AZ34/'WICHE Public Grads-RE PROJ'!J34</f>
        <v>6.998073924607906E-2</v>
      </c>
      <c r="K32" s="267">
        <f>+'WICHE Public Grads-RE PROJ'!BA34/'WICHE Public Grads-RE PROJ'!K34</f>
        <v>7.4990590891983441E-2</v>
      </c>
      <c r="L32" s="262">
        <f>+'WICHE Public Grads-RE PROJ'!BB34/'WICHE Public Grads-RE PROJ'!L34</f>
        <v>7.8169414440022747E-2</v>
      </c>
      <c r="M32" s="267">
        <f>+'WICHE Public Grads-RE PROJ'!BC34/'WICHE Public Grads-RE PROJ'!M34</f>
        <v>7.3378999718494889E-2</v>
      </c>
      <c r="N32" s="267">
        <f>+'WICHE Public Grads-RE PROJ'!BD34/'WICHE Public Grads-RE PROJ'!N34</f>
        <v>8.3238095238095236E-2</v>
      </c>
      <c r="O32" s="267">
        <f>+'WICHE Public Grads-RE PROJ'!BE34/'WICHE Public Grads-RE PROJ'!O34</f>
        <v>8.7663280116110298E-2</v>
      </c>
      <c r="P32" s="267">
        <f>+'WICHE Public Grads-RE PROJ'!BF34/'WICHE Public Grads-RE PROJ'!P34</f>
        <v>9.4038704658173683E-2</v>
      </c>
      <c r="Q32" s="267">
        <f>+'WICHE Public Grads-RE PROJ'!BG34/'WICHE Public Grads-RE PROJ'!Q34</f>
        <v>9.1879075281564915E-2</v>
      </c>
      <c r="R32" s="267">
        <f>+'WICHE Public Grads-RE PROJ'!BH34/'WICHE Public Grads-RE PROJ'!R34</f>
        <v>9.9749903809157367E-2</v>
      </c>
      <c r="S32" s="267">
        <f>+'WICHE Public Grads-RE PROJ'!BI34/'WICHE Public Grads-RE PROJ'!S34</f>
        <v>9.705269425424233E-2</v>
      </c>
      <c r="T32" s="267">
        <f>+'WICHE Public Grads-RE PROJ'!BJ34/'WICHE Public Grads-RE PROJ'!T34</f>
        <v>9.6476426799007448E-2</v>
      </c>
      <c r="U32" s="267">
        <f>+'WICHE Public Grads-RE PROJ'!BK34/'WICHE Public Grads-RE PROJ'!U34</f>
        <v>9.4201241744759565E-2</v>
      </c>
      <c r="V32" s="262">
        <f>+'WICHE Public Grads-RE PROJ'!BL34/'WICHE Public Grads-RE PROJ'!V34</f>
        <v>9.320750236070674E-2</v>
      </c>
      <c r="W32" s="262">
        <f>+'WICHE Public Grads-RE PROJ'!BM34/'WICHE Public Grads-RE PROJ'!W34</f>
        <v>9.3625913359371829E-2</v>
      </c>
      <c r="X32" s="266">
        <f>+'WICHE Public Grads-RE PROJ'!BN34/'WICHE Public Grads-RE PROJ'!Y34</f>
        <v>9.3947814826672096E-2</v>
      </c>
      <c r="Y32" s="266">
        <f>+'WICHE Public Grads-RE PROJ'!BO34/'WICHE Public Grads-RE PROJ'!Z34</f>
        <v>8.910515449189374E-2</v>
      </c>
      <c r="Z32" s="266">
        <f>+'WICHE Public Grads-RE PROJ'!BP34/'WICHE Public Grads-RE PROJ'!AA34</f>
        <v>8.9906839110127021E-2</v>
      </c>
      <c r="AA32" s="268">
        <f>+'WICHE Public Grads-RE PROJ'!BQ34/'WICHE Public Grads-RE PROJ'!AB34</f>
        <v>9.3466737835018091E-2</v>
      </c>
      <c r="AB32" s="266">
        <f>+'WICHE Public Grads-RE PROJ'!BR34/'WICHE Public Grads-RE PROJ'!AC34</f>
        <v>9.2743948968745535E-2</v>
      </c>
      <c r="AC32" s="266">
        <f>+'WICHE Public Grads-RE PROJ'!BS34/'WICHE Public Grads-RE PROJ'!AD34</f>
        <v>9.1225375755491944E-2</v>
      </c>
      <c r="AD32" s="266">
        <f>+'WICHE Public Grads-RE PROJ'!BT34/'WICHE Public Grads-RE PROJ'!AE34</f>
        <v>9.7458444820711532E-2</v>
      </c>
      <c r="AE32" s="266">
        <f>+'WICHE Public Grads-RE PROJ'!BU34/'WICHE Public Grads-RE PROJ'!AF34</f>
        <v>9.501361206013284E-2</v>
      </c>
      <c r="AF32" s="266">
        <f>+'WICHE Public Grads-RE PROJ'!BV34/'WICHE Public Grads-RE PROJ'!AG34</f>
        <v>9.6603260161684232E-2</v>
      </c>
      <c r="AG32" s="268">
        <f>+'WICHE Public Grads-RE PROJ'!BW34/'WICHE Public Grads-RE PROJ'!AH34</f>
        <v>9.4063172312287835E-2</v>
      </c>
      <c r="AH32" s="266">
        <f>+'WICHE Public Grads-RE PROJ'!BX34/'WICHE Public Grads-RE PROJ'!AI34</f>
        <v>9.3767751191047688E-2</v>
      </c>
      <c r="AI32" s="266">
        <f>+'WICHE Public Grads-RE PROJ'!BY34/'WICHE Public Grads-RE PROJ'!AJ34</f>
        <v>8.7240152884213662E-2</v>
      </c>
      <c r="AJ32" s="266">
        <f>+'WICHE Public Grads-RE PROJ'!BZ34/'WICHE Public Grads-RE PROJ'!AK34</f>
        <v>8.8630901350832444E-2</v>
      </c>
      <c r="AK32" s="266">
        <f>+'WICHE Public Grads-RE PROJ'!CA34/'WICHE Public Grads-RE PROJ'!AL34</f>
        <v>8.8109299664070051E-2</v>
      </c>
      <c r="AL32" s="266">
        <f>+'WICHE Public Grads-RE PROJ'!CB34/'WICHE Public Grads-RE PROJ'!AM34</f>
        <v>8.3791727251141035E-2</v>
      </c>
      <c r="AM32" s="266">
        <f>+'WICHE Public Grads-RE PROJ'!CC34/'WICHE Public Grads-RE PROJ'!AN34</f>
        <v>8.4136264620184947E-2</v>
      </c>
      <c r="AN32" s="266">
        <f>+'WICHE Public Grads-RE PROJ'!CD34/'WICHE Public Grads-RE PROJ'!AO34</f>
        <v>8.4631583147246364E-2</v>
      </c>
      <c r="AO32" s="266">
        <f>+'WICHE Public Grads-RE PROJ'!CE34/'WICHE Public Grads-RE PROJ'!AP34</f>
        <v>8.5027697946822703E-2</v>
      </c>
      <c r="AP32" s="282">
        <f>+'WICHE Public Grads-RE PROJ'!CF34/'WICHE Public Grads-RE PROJ'!AQ34</f>
        <v>8.9868340276634817E-2</v>
      </c>
      <c r="AQ32" s="262">
        <f>+'WICHE Public Grads-RE PROJ'!CG34/'WICHE Public Grads-RE PROJ'!B34</f>
        <v>5.7705063011275703E-2</v>
      </c>
      <c r="AR32" s="262">
        <f>+'WICHE Public Grads-RE PROJ'!CH34/'WICHE Public Grads-RE PROJ'!C34</f>
        <v>5.6129513260198105E-2</v>
      </c>
      <c r="AS32" s="262">
        <f>+'WICHE Public Grads-RE PROJ'!CI34/'WICHE Public Grads-RE PROJ'!D34</f>
        <v>5.9368815748359546E-2</v>
      </c>
      <c r="AT32" s="262">
        <f>+'WICHE Public Grads-RE PROJ'!CJ34/'WICHE Public Grads-RE PROJ'!E34</f>
        <v>6.2364318136964671E-2</v>
      </c>
      <c r="AU32" s="262">
        <f>+'WICHE Public Grads-RE PROJ'!CK34/'WICHE Public Grads-RE PROJ'!F34</f>
        <v>6.1347272906598284E-2</v>
      </c>
      <c r="AV32" s="262">
        <f>+'WICHE Public Grads-RE PROJ'!CL34/'WICHE Public Grads-RE PROJ'!G34</f>
        <v>6.161596589808177E-2</v>
      </c>
      <c r="AW32" s="267">
        <f>+'WICHE Public Grads-RE PROJ'!CM34/'WICHE Public Grads-RE PROJ'!H34</f>
        <v>5.8746246246246248E-2</v>
      </c>
      <c r="AX32" s="267">
        <f>+'WICHE Public Grads-RE PROJ'!CN34/'WICHE Public Grads-RE PROJ'!I34</f>
        <v>6.1052631578947365E-2</v>
      </c>
      <c r="AY32" s="267">
        <f>+'WICHE Public Grads-RE PROJ'!CO34/'WICHE Public Grads-RE PROJ'!J34</f>
        <v>6.2459873429331375E-2</v>
      </c>
      <c r="AZ32" s="267">
        <f>+'WICHE Public Grads-RE PROJ'!CP34/'WICHE Public Grads-RE PROJ'!K34</f>
        <v>6.4828754234098604E-2</v>
      </c>
      <c r="BA32" s="262">
        <f>+'WICHE Public Grads-RE PROJ'!CQ34/'WICHE Public Grads-RE PROJ'!L34</f>
        <v>6.7557324237256022E-2</v>
      </c>
      <c r="BB32" s="267">
        <f>+'WICHE Public Grads-RE PROJ'!CR34/'WICHE Public Grads-RE PROJ'!M34</f>
        <v>6.1931125082105659E-2</v>
      </c>
      <c r="BC32" s="267">
        <f>+'WICHE Public Grads-RE PROJ'!CS34/'WICHE Public Grads-RE PROJ'!N34</f>
        <v>7.2571428571428565E-2</v>
      </c>
      <c r="BD32" s="267">
        <f>+'WICHE Public Grads-RE PROJ'!CT34/'WICHE Public Grads-RE PROJ'!O34</f>
        <v>7.6052249637155303E-2</v>
      </c>
      <c r="BE32" s="267">
        <f>+'WICHE Public Grads-RE PROJ'!CU34/'WICHE Public Grads-RE PROJ'!P34</f>
        <v>7.9159778274822526E-2</v>
      </c>
      <c r="BF32" s="267">
        <f>+'WICHE Public Grads-RE PROJ'!CV34/'WICHE Public Grads-RE PROJ'!Q34</f>
        <v>7.7652637818612924E-2</v>
      </c>
      <c r="BG32" s="267">
        <f>+'WICHE Public Grads-RE PROJ'!CW34/'WICHE Public Grads-RE PROJ'!R34</f>
        <v>8.6956521739130432E-2</v>
      </c>
      <c r="BH32" s="267">
        <f>+'WICHE Public Grads-RE PROJ'!CX34/'WICHE Public Grads-RE PROJ'!S34</f>
        <v>8.5640567629254732E-2</v>
      </c>
      <c r="BI32" s="267">
        <f>+'WICHE Public Grads-RE PROJ'!CY34/'WICHE Public Grads-RE PROJ'!T34</f>
        <v>8.4168734491315136E-2</v>
      </c>
      <c r="BJ32" s="267">
        <f>+'WICHE Public Grads-RE PROJ'!CZ34/'WICHE Public Grads-RE PROJ'!U34</f>
        <v>8.4255560966286683E-2</v>
      </c>
      <c r="BK32" s="262">
        <f>+'WICHE Public Grads-RE PROJ'!DA34/'WICHE Public Grads-RE PROJ'!V34</f>
        <v>7.9838028872130845E-2</v>
      </c>
      <c r="BL32" s="262">
        <f>+'WICHE Public Grads-RE PROJ'!DB34/'WICHE Public Grads-RE PROJ'!W34</f>
        <v>7.9805980891902148E-2</v>
      </c>
      <c r="BM32" s="266">
        <f>+'WICHE Public Grads-RE PROJ'!DC34/'WICHE Public Grads-RE PROJ'!Y34</f>
        <v>8.0735776386641311E-2</v>
      </c>
      <c r="BN32" s="266">
        <f>+'WICHE Public Grads-RE PROJ'!DD34/'WICHE Public Grads-RE PROJ'!Z34</f>
        <v>7.8063107145597915E-2</v>
      </c>
      <c r="BO32" s="266">
        <f>+'WICHE Public Grads-RE PROJ'!DE34/'WICHE Public Grads-RE PROJ'!AA34</f>
        <v>7.9498208022631425E-2</v>
      </c>
      <c r="BP32" s="268">
        <f>+'WICHE Public Grads-RE PROJ'!DF34/'WICHE Public Grads-RE PROJ'!AB34</f>
        <v>8.1957383310366394E-2</v>
      </c>
      <c r="BQ32" s="266">
        <f>+'WICHE Public Grads-RE PROJ'!DG34/'WICHE Public Grads-RE PROJ'!AC34</f>
        <v>8.1905688615706809E-2</v>
      </c>
      <c r="BR32" s="266">
        <f>+'WICHE Public Grads-RE PROJ'!DH34/'WICHE Public Grads-RE PROJ'!AD34</f>
        <v>8.151884839929642E-2</v>
      </c>
      <c r="BS32" s="266">
        <f>+'WICHE Public Grads-RE PROJ'!DI34/'WICHE Public Grads-RE PROJ'!AE34</f>
        <v>8.5729809150911232E-2</v>
      </c>
      <c r="BT32" s="266">
        <f>+'WICHE Public Grads-RE PROJ'!DJ34/'WICHE Public Grads-RE PROJ'!AF34</f>
        <v>8.4477723861061157E-2</v>
      </c>
      <c r="BU32" s="266">
        <f>+'WICHE Public Grads-RE PROJ'!DK34/'WICHE Public Grads-RE PROJ'!AG34</f>
        <v>8.4346493059942448E-2</v>
      </c>
      <c r="BV32" s="268">
        <f>+'WICHE Public Grads-RE PROJ'!DL34/'WICHE Public Grads-RE PROJ'!AH34</f>
        <v>8.3723738314668089E-2</v>
      </c>
      <c r="BW32" s="266">
        <f>+'WICHE Public Grads-RE PROJ'!DM34/'WICHE Public Grads-RE PROJ'!AI34</f>
        <v>8.3434815801453649E-2</v>
      </c>
      <c r="BX32" s="266">
        <f>+'WICHE Public Grads-RE PROJ'!DN34/'WICHE Public Grads-RE PROJ'!AJ34</f>
        <v>7.9734777968825735E-2</v>
      </c>
      <c r="BY32" s="266">
        <f>+'WICHE Public Grads-RE PROJ'!DO34/'WICHE Public Grads-RE PROJ'!AK34</f>
        <v>7.86516872372552E-2</v>
      </c>
      <c r="BZ32" s="266">
        <f>+'WICHE Public Grads-RE PROJ'!DP34/'WICHE Public Grads-RE PROJ'!AL34</f>
        <v>7.8416322374829817E-2</v>
      </c>
      <c r="CA32" s="266">
        <f>+'WICHE Public Grads-RE PROJ'!DQ34/'WICHE Public Grads-RE PROJ'!AM34</f>
        <v>7.3100951557192526E-2</v>
      </c>
      <c r="CB32" s="266">
        <f>+'WICHE Public Grads-RE PROJ'!DR34/'WICHE Public Grads-RE PROJ'!AN34</f>
        <v>7.3811403516989893E-2</v>
      </c>
      <c r="CC32" s="266">
        <f>+'WICHE Public Grads-RE PROJ'!DS34/'WICHE Public Grads-RE PROJ'!AO34</f>
        <v>7.3705777748708304E-2</v>
      </c>
      <c r="CD32" s="266">
        <f>+'WICHE Public Grads-RE PROJ'!DT34/'WICHE Public Grads-RE PROJ'!AP34</f>
        <v>7.5983133003675818E-2</v>
      </c>
      <c r="CE32" s="282">
        <f>+'WICHE Public Grads-RE PROJ'!DU34/'WICHE Public Grads-RE PROJ'!AQ34</f>
        <v>7.7731582051901352E-2</v>
      </c>
      <c r="CF32" s="262">
        <f>+'WICHE Public Grads-RE PROJ'!DV34/'WICHE Public Grads-RE PROJ'!B34</f>
        <v>9.6175105018792839E-3</v>
      </c>
      <c r="CG32" s="262">
        <f>+'WICHE Public Grads-RE PROJ'!DW34/'WICHE Public Grads-RE PROJ'!C34</f>
        <v>8.4141016082649907E-3</v>
      </c>
      <c r="CH32" s="262">
        <f>+'WICHE Public Grads-RE PROJ'!DX34/'WICHE Public Grads-RE PROJ'!D34</f>
        <v>9.1657119050098951E-3</v>
      </c>
      <c r="CI32" s="262">
        <f>+'WICHE Public Grads-RE PROJ'!DY34/'WICHE Public Grads-RE PROJ'!E34</f>
        <v>7.3021511742648506E-3</v>
      </c>
      <c r="CJ32" s="262">
        <f>+'WICHE Public Grads-RE PROJ'!DZ34/'WICHE Public Grads-RE PROJ'!F34</f>
        <v>8.0875826018345E-3</v>
      </c>
      <c r="CK32" s="262">
        <f>+'WICHE Public Grads-RE PROJ'!EA34/'WICHE Public Grads-RE PROJ'!G34</f>
        <v>7.4597946134470064E-3</v>
      </c>
      <c r="CL32" s="267">
        <f>+'WICHE Public Grads-RE PROJ'!EB34/'WICHE Public Grads-RE PROJ'!H34</f>
        <v>5.9121621621621625E-3</v>
      </c>
      <c r="CM32" s="267">
        <f>+'WICHE Public Grads-RE PROJ'!EC34/'WICHE Public Grads-RE PROJ'!I34</f>
        <v>7.4141876430205951E-3</v>
      </c>
      <c r="CN32" s="267">
        <f>+'WICHE Public Grads-RE PROJ'!ED34/'WICHE Public Grads-RE PROJ'!J34</f>
        <v>7.5208658167476841E-3</v>
      </c>
      <c r="CO32" s="267">
        <f>+'WICHE Public Grads-RE PROJ'!EE34/'WICHE Public Grads-RE PROJ'!K34</f>
        <v>1.0161836657884832E-2</v>
      </c>
      <c r="CP32" s="262">
        <f>+'WICHE Public Grads-RE PROJ'!EF34/'WICHE Public Grads-RE PROJ'!L34</f>
        <v>1.0612090202766723E-2</v>
      </c>
      <c r="CQ32" s="267">
        <f>+'WICHE Public Grads-RE PROJ'!EG34/'WICHE Public Grads-RE PROJ'!M34</f>
        <v>1.1447874636389228E-2</v>
      </c>
      <c r="CR32" s="267">
        <f>+'WICHE Public Grads-RE PROJ'!EH34/'WICHE Public Grads-RE PROJ'!N34</f>
        <v>1.0666666666666666E-2</v>
      </c>
      <c r="CS32" s="267">
        <f>+'WICHE Public Grads-RE PROJ'!EI34/'WICHE Public Grads-RE PROJ'!O34</f>
        <v>1.1611030478955007E-2</v>
      </c>
      <c r="CT32" s="267">
        <f>+'WICHE Public Grads-RE PROJ'!EJ34/'WICHE Public Grads-RE PROJ'!P34</f>
        <v>1.4878926383351162E-2</v>
      </c>
      <c r="CU32" s="267">
        <f>+'WICHE Public Grads-RE PROJ'!EK34/'WICHE Public Grads-RE PROJ'!Q34</f>
        <v>1.4226437462951986E-2</v>
      </c>
      <c r="CV32" s="267">
        <f>+'WICHE Public Grads-RE PROJ'!EL34/'WICHE Public Grads-RE PROJ'!R34</f>
        <v>1.2793382070026933E-2</v>
      </c>
      <c r="CW32" s="267">
        <f>+'WICHE Public Grads-RE PROJ'!EM34/'WICHE Public Grads-RE PROJ'!S34</f>
        <v>1.1412126624987596E-2</v>
      </c>
      <c r="CX32" s="267">
        <f>+'WICHE Public Grads-RE PROJ'!EN34/'WICHE Public Grads-RE PROJ'!T34</f>
        <v>1.2307692307692308E-2</v>
      </c>
      <c r="CY32" s="267">
        <f>+'WICHE Public Grads-RE PROJ'!EO34/'WICHE Public Grads-RE PROJ'!U34</f>
        <v>9.9456807784728887E-3</v>
      </c>
      <c r="CZ32" s="262">
        <f>+'WICHE Public Grads-RE PROJ'!EP34/'WICHE Public Grads-RE PROJ'!V34</f>
        <v>1.336947348857589E-2</v>
      </c>
      <c r="DA32" s="262">
        <f>+'WICHE Public Grads-RE PROJ'!EQ34/'WICHE Public Grads-RE PROJ'!W34</f>
        <v>1.3819932467469683E-2</v>
      </c>
      <c r="DB32" s="266">
        <f>+'WICHE Public Grads-RE PROJ'!ER34/'WICHE Public Grads-RE PROJ'!Y34</f>
        <v>1.3212038440030794E-2</v>
      </c>
      <c r="DC32" s="266">
        <f>+'WICHE Public Grads-RE PROJ'!ES34/'WICHE Public Grads-RE PROJ'!Z34</f>
        <v>1.1042047346295837E-2</v>
      </c>
      <c r="DD32" s="266">
        <f>+'WICHE Public Grads-RE PROJ'!ET34/'WICHE Public Grads-RE PROJ'!AA34</f>
        <v>1.040863108749559E-2</v>
      </c>
      <c r="DE32" s="268">
        <f>+'WICHE Public Grads-RE PROJ'!EU34/'WICHE Public Grads-RE PROJ'!AB34</f>
        <v>1.1509354524651702E-2</v>
      </c>
      <c r="DF32" s="266">
        <f>+'WICHE Public Grads-RE PROJ'!EV34/'WICHE Public Grads-RE PROJ'!AC34</f>
        <v>1.0838260353038738E-2</v>
      </c>
      <c r="DG32" s="266">
        <f>+'WICHE Public Grads-RE PROJ'!EW34/'WICHE Public Grads-RE PROJ'!AD34</f>
        <v>9.7065273561955257E-3</v>
      </c>
      <c r="DH32" s="266">
        <f>+'WICHE Public Grads-RE PROJ'!EX34/'WICHE Public Grads-RE PROJ'!AE34</f>
        <v>1.1728635669800291E-2</v>
      </c>
      <c r="DI32" s="266">
        <f>+'WICHE Public Grads-RE PROJ'!EY34/'WICHE Public Grads-RE PROJ'!AF34</f>
        <v>1.0535888199071686E-2</v>
      </c>
      <c r="DJ32" s="266">
        <f>+'WICHE Public Grads-RE PROJ'!EZ34/'WICHE Public Grads-RE PROJ'!AG34</f>
        <v>1.2256767101741775E-2</v>
      </c>
      <c r="DK32" s="268">
        <f>+'WICHE Public Grads-RE PROJ'!FA34/'WICHE Public Grads-RE PROJ'!AH34</f>
        <v>1.0339433997619742E-2</v>
      </c>
      <c r="DL32" s="266">
        <f>+'WICHE Public Grads-RE PROJ'!FB34/'WICHE Public Grads-RE PROJ'!AI34</f>
        <v>1.0332935389594041E-2</v>
      </c>
      <c r="DM32" s="266">
        <f>+'WICHE Public Grads-RE PROJ'!FC34/'WICHE Public Grads-RE PROJ'!AJ34</f>
        <v>7.5053749153879265E-3</v>
      </c>
      <c r="DN32" s="266">
        <f>+'WICHE Public Grads-RE PROJ'!FD34/'WICHE Public Grads-RE PROJ'!AK34</f>
        <v>9.979214113577238E-3</v>
      </c>
      <c r="DO32" s="266">
        <f>+'WICHE Public Grads-RE PROJ'!FE34/'WICHE Public Grads-RE PROJ'!AL34</f>
        <v>9.6929772892402257E-3</v>
      </c>
      <c r="DP32" s="266">
        <f>+'WICHE Public Grads-RE PROJ'!FF34/'WICHE Public Grads-RE PROJ'!AM34</f>
        <v>1.0690775693948501E-2</v>
      </c>
      <c r="DQ32" s="266">
        <f>+'WICHE Public Grads-RE PROJ'!FG34/'WICHE Public Grads-RE PROJ'!AN34</f>
        <v>1.0324861103195053E-2</v>
      </c>
      <c r="DR32" s="266">
        <f>+'WICHE Public Grads-RE PROJ'!FH34/'WICHE Public Grads-RE PROJ'!AO34</f>
        <v>1.0925805398538055E-2</v>
      </c>
      <c r="DS32" s="266">
        <f>+'WICHE Public Grads-RE PROJ'!FI34/'WICHE Public Grads-RE PROJ'!AP34</f>
        <v>9.0445649431468919E-3</v>
      </c>
      <c r="DT32" s="282">
        <f>+'WICHE Public Grads-RE PROJ'!FJ34/'WICHE Public Grads-RE PROJ'!AQ34</f>
        <v>1.213675822473345E-2</v>
      </c>
      <c r="DU32" s="262">
        <f>+'WICHE Public Grads-RE PROJ'!FK34/'WICHE Public Grads-RE PROJ'!B34</f>
        <v>4.8640282998010168E-3</v>
      </c>
      <c r="DV32" s="262">
        <f>+'WICHE Public Grads-RE PROJ'!FL34/'WICHE Public Grads-RE PROJ'!C34</f>
        <v>2.5561827670678452E-3</v>
      </c>
      <c r="DW32" s="262">
        <f>+'WICHE Public Grads-RE PROJ'!FM34/'WICHE Public Grads-RE PROJ'!D34</f>
        <v>5.832725757733569E-3</v>
      </c>
      <c r="DX32" s="262">
        <f>+'WICHE Public Grads-RE PROJ'!FN34/'WICHE Public Grads-RE PROJ'!E34</f>
        <v>3.2563647128478388E-3</v>
      </c>
      <c r="DY32" s="262">
        <f>+'WICHE Public Grads-RE PROJ'!FO34/'WICHE Public Grads-RE PROJ'!F34</f>
        <v>2.9588716835979882E-3</v>
      </c>
      <c r="DZ32" s="262">
        <f>+'WICHE Public Grads-RE PROJ'!FP34/'WICHE Public Grads-RE PROJ'!G34</f>
        <v>4.2627397791125754E-3</v>
      </c>
      <c r="EA32" s="267">
        <f>+'WICHE Public Grads-RE PROJ'!FQ34/'WICHE Public Grads-RE PROJ'!H34</f>
        <v>2.8153153153153152E-3</v>
      </c>
      <c r="EB32" s="267">
        <f>+'WICHE Public Grads-RE PROJ'!FR34/'WICHE Public Grads-RE PROJ'!I34</f>
        <v>3.5697940503432494E-3</v>
      </c>
      <c r="EC32" s="267">
        <f>+'WICHE Public Grads-RE PROJ'!FS34/'WICHE Public Grads-RE PROJ'!J34</f>
        <v>2.1095111437219112E-3</v>
      </c>
      <c r="ED32" s="267">
        <f>+'WICHE Public Grads-RE PROJ'!FT34/'WICHE Public Grads-RE PROJ'!K34</f>
        <v>3.1050056454648097E-3</v>
      </c>
      <c r="EE32" s="262">
        <f>+'WICHE Public Grads-RE PROJ'!FU34/'WICHE Public Grads-RE PROJ'!L34</f>
        <v>3.2215273829827554E-3</v>
      </c>
      <c r="EF32" s="267">
        <f>+'WICHE Public Grads-RE PROJ'!FV34/'WICHE Public Grads-RE PROJ'!M34</f>
        <v>4.1287416721403772E-3</v>
      </c>
      <c r="EG32" s="267">
        <f>+'WICHE Public Grads-RE PROJ'!FW34/'WICHE Public Grads-RE PROJ'!N34</f>
        <v>3.4285714285714284E-3</v>
      </c>
      <c r="EH32" s="267">
        <f>+'WICHE Public Grads-RE PROJ'!FX34/'WICHE Public Grads-RE PROJ'!O34</f>
        <v>3.8703434929850023E-3</v>
      </c>
      <c r="EI32" s="267">
        <f>+'WICHE Public Grads-RE PROJ'!FY34/'WICHE Public Grads-RE PROJ'!P34</f>
        <v>4.2789069337741906E-3</v>
      </c>
      <c r="EJ32" s="267">
        <f>+'WICHE Public Grads-RE PROJ'!FZ34/'WICHE Public Grads-RE PROJ'!Q34</f>
        <v>4.8409405255878286E-3</v>
      </c>
      <c r="EK32" s="267">
        <f>+'WICHE Public Grads-RE PROJ'!GA34/'WICHE Public Grads-RE PROJ'!R34</f>
        <v>5.0981146594844167E-3</v>
      </c>
      <c r="EL32" s="267">
        <f>+'WICHE Public Grads-RE PROJ'!GB34/'WICHE Public Grads-RE PROJ'!S34</f>
        <v>6.4503324402103799E-3</v>
      </c>
      <c r="EM32" s="267">
        <f>+'WICHE Public Grads-RE PROJ'!GC34/'WICHE Public Grads-RE PROJ'!T34</f>
        <v>6.8486352357320099E-3</v>
      </c>
      <c r="EN32" s="267">
        <f>+'WICHE Public Grads-RE PROJ'!GD34/'WICHE Public Grads-RE PROJ'!U34</f>
        <v>8.3754778303989311E-3</v>
      </c>
      <c r="EO32" s="262">
        <f>+'WICHE Public Grads-RE PROJ'!GE34/'WICHE Public Grads-RE PROJ'!V34</f>
        <v>8.6056770142936764E-3</v>
      </c>
      <c r="EP32" s="262">
        <f>+'WICHE Public Grads-RE PROJ'!GF34/'WICHE Public Grads-RE PROJ'!W34</f>
        <v>7.0397950219781916E-3</v>
      </c>
      <c r="EQ32" s="266">
        <f>+'WICHE Public Grads-RE PROJ'!GG34/'WICHE Public Grads-RE PROJ'!Y34</f>
        <v>8.217337578646268E-3</v>
      </c>
      <c r="ER32" s="266">
        <f>+'WICHE Public Grads-RE PROJ'!GH34/'WICHE Public Grads-RE PROJ'!Z34</f>
        <v>1.0644990680728638E-2</v>
      </c>
      <c r="ES32" s="266">
        <f>+'WICHE Public Grads-RE PROJ'!GI34/'WICHE Public Grads-RE PROJ'!AA34</f>
        <v>8.6484059051021647E-3</v>
      </c>
      <c r="ET32" s="268">
        <f>+'WICHE Public Grads-RE PROJ'!GJ34/'WICHE Public Grads-RE PROJ'!AB34</f>
        <v>1.1616119200097523E-2</v>
      </c>
      <c r="EU32" s="266">
        <f>+'WICHE Public Grads-RE PROJ'!GK34/'WICHE Public Grads-RE PROJ'!AC34</f>
        <v>8.896190218489218E-3</v>
      </c>
      <c r="EV32" s="266">
        <f>+'WICHE Public Grads-RE PROJ'!GL34/'WICHE Public Grads-RE PROJ'!AD34</f>
        <v>1.0067671928596934E-2</v>
      </c>
      <c r="EW32" s="266">
        <f>+'WICHE Public Grads-RE PROJ'!GM34/'WICHE Public Grads-RE PROJ'!AE34</f>
        <v>8.6949173144107317E-3</v>
      </c>
      <c r="EX32" s="266">
        <f>+'WICHE Public Grads-RE PROJ'!GN34/'WICHE Public Grads-RE PROJ'!AF34</f>
        <v>7.8692018017637328E-3</v>
      </c>
      <c r="EY32" s="266">
        <f>+'WICHE Public Grads-RE PROJ'!GO34/'WICHE Public Grads-RE PROJ'!AG34</f>
        <v>9.1989894148529795E-3</v>
      </c>
      <c r="EZ32" s="268">
        <f>+'WICHE Public Grads-RE PROJ'!GP34/'WICHE Public Grads-RE PROJ'!AH34</f>
        <v>7.4134802338779683E-3</v>
      </c>
      <c r="FA32" s="266">
        <f>+'WICHE Public Grads-RE PROJ'!GQ34/'WICHE Public Grads-RE PROJ'!AI34</f>
        <v>7.5410629514148769E-3</v>
      </c>
      <c r="FB32" s="266">
        <f>+'WICHE Public Grads-RE PROJ'!GR34/'WICHE Public Grads-RE PROJ'!AJ34</f>
        <v>5.5342572583369646E-3</v>
      </c>
      <c r="FC32" s="266">
        <f>+'WICHE Public Grads-RE PROJ'!GS34/'WICHE Public Grads-RE PROJ'!AK34</f>
        <v>8.279924646461807E-3</v>
      </c>
      <c r="FD32" s="266">
        <f>+'WICHE Public Grads-RE PROJ'!GT34/'WICHE Public Grads-RE PROJ'!AL34</f>
        <v>8.1380848119915871E-3</v>
      </c>
      <c r="FE32" s="266">
        <f>+'WICHE Public Grads-RE PROJ'!GU34/'WICHE Public Grads-RE PROJ'!AM34</f>
        <v>7.7246745705858086E-3</v>
      </c>
      <c r="FF32" s="266">
        <f>+'WICHE Public Grads-RE PROJ'!GV34/'WICHE Public Grads-RE PROJ'!AN34</f>
        <v>8.786928715021583E-3</v>
      </c>
      <c r="FG32" s="266">
        <f>+'WICHE Public Grads-RE PROJ'!GW34/'WICHE Public Grads-RE PROJ'!AO34</f>
        <v>8.6675598261413359E-3</v>
      </c>
      <c r="FH32" s="266">
        <f>+'WICHE Public Grads-RE PROJ'!GX34/'WICHE Public Grads-RE PROJ'!AP34</f>
        <v>9.8814385367561944E-3</v>
      </c>
      <c r="FI32" s="282">
        <f>+'WICHE Public Grads-RE PROJ'!GY34/'WICHE Public Grads-RE PROJ'!AQ34</f>
        <v>1.0332605241358685E-2</v>
      </c>
      <c r="FJ32" s="262">
        <f>+'WICHE Public Grads-RE PROJ'!GZ34/'WICHE Public Grads-RE PROJ'!B34</f>
        <v>1.42604466062348E-2</v>
      </c>
      <c r="FK32" s="262">
        <f>+'WICHE Public Grads-RE PROJ'!HA34/'WICHE Public Grads-RE PROJ'!C34</f>
        <v>1.2993929065928214E-2</v>
      </c>
      <c r="FL32" s="262">
        <f>+'WICHE Public Grads-RE PROJ'!HB34/'WICHE Public Grads-RE PROJ'!D34</f>
        <v>1.4581814394333923E-2</v>
      </c>
      <c r="FM32" s="262">
        <f>+'WICHE Public Grads-RE PROJ'!HC34/'WICHE Public Grads-RE PROJ'!E34</f>
        <v>1.4308269192816261E-2</v>
      </c>
      <c r="FN32" s="262">
        <f>+'WICHE Public Grads-RE PROJ'!HD34/'WICHE Public Grads-RE PROJ'!F34</f>
        <v>1.311766446395108E-2</v>
      </c>
      <c r="FO32" s="262">
        <f>+'WICHE Public Grads-RE PROJ'!HE34/'WICHE Public Grads-RE PROJ'!G34</f>
        <v>1.656655686882387E-2</v>
      </c>
      <c r="FP32" s="267">
        <f>+'WICHE Public Grads-RE PROJ'!HF34/'WICHE Public Grads-RE PROJ'!H34</f>
        <v>1.3888888888888888E-2</v>
      </c>
      <c r="FQ32" s="267">
        <f>+'WICHE Public Grads-RE PROJ'!HG34/'WICHE Public Grads-RE PROJ'!I34</f>
        <v>1.5926773455377574E-2</v>
      </c>
      <c r="FR32" s="267">
        <f>+'WICHE Public Grads-RE PROJ'!HH34/'WICHE Public Grads-RE PROJ'!J34</f>
        <v>1.2290195359075483E-2</v>
      </c>
      <c r="FS32" s="267">
        <f>+'WICHE Public Grads-RE PROJ'!HI34/'WICHE Public Grads-RE PROJ'!K34</f>
        <v>1.5901392547986452E-2</v>
      </c>
      <c r="FT32" s="262">
        <f>+'WICHE Public Grads-RE PROJ'!HJ34/'WICHE Public Grads-RE PROJ'!L34</f>
        <v>1.4970627250331627E-2</v>
      </c>
      <c r="FU32" s="267">
        <f>+'WICHE Public Grads-RE PROJ'!HK34/'WICHE Public Grads-RE PROJ'!M34</f>
        <v>1.4919771042507272E-2</v>
      </c>
      <c r="FV32" s="267">
        <f>+'WICHE Public Grads-RE PROJ'!HL34/'WICHE Public Grads-RE PROJ'!N34</f>
        <v>1.5428571428571429E-2</v>
      </c>
      <c r="FW32" s="267">
        <f>+'WICHE Public Grads-RE PROJ'!HM34/'WICHE Public Grads-RE PROJ'!O34</f>
        <v>1.9158200290275762E-2</v>
      </c>
      <c r="FX32" s="267">
        <f>+'WICHE Public Grads-RE PROJ'!HN34/'WICHE Public Grads-RE PROJ'!P34</f>
        <v>1.9546824856559369E-2</v>
      </c>
      <c r="FY32" s="267">
        <f>+'WICHE Public Grads-RE PROJ'!HO34/'WICHE Public Grads-RE PROJ'!Q34</f>
        <v>2.0351709148389647E-2</v>
      </c>
      <c r="FZ32" s="267">
        <f>+'WICHE Public Grads-RE PROJ'!HP34/'WICHE Public Grads-RE PROJ'!R34</f>
        <v>1.8372450942670256E-2</v>
      </c>
      <c r="GA32" s="267">
        <f>+'WICHE Public Grads-RE PROJ'!HQ34/'WICHE Public Grads-RE PROJ'!S34</f>
        <v>1.8854817902153417E-2</v>
      </c>
      <c r="GB32" s="267">
        <f>+'WICHE Public Grads-RE PROJ'!HR34/'WICHE Public Grads-RE PROJ'!T34</f>
        <v>2.0744416873449131E-2</v>
      </c>
      <c r="GC32" s="267">
        <f>+'WICHE Public Grads-RE PROJ'!HS34/'WICHE Public Grads-RE PROJ'!U34</f>
        <v>2.6510480887792849E-2</v>
      </c>
      <c r="GD32" s="262">
        <f>+'WICHE Public Grads-RE PROJ'!HT34/'WICHE Public Grads-RE PROJ'!V34</f>
        <v>2.8102564102564103E-2</v>
      </c>
      <c r="GE32" s="262">
        <f>+'WICHE Public Grads-RE PROJ'!HU34/'WICHE Public Grads-RE PROJ'!W34</f>
        <v>2.9992528551606362E-2</v>
      </c>
      <c r="GF32" s="266">
        <f>+'WICHE Public Grads-RE PROJ'!HV34/'WICHE Public Grads-RE PROJ'!Y34</f>
        <v>3.3127266359234714E-2</v>
      </c>
      <c r="GG32" s="266">
        <f>+'WICHE Public Grads-RE PROJ'!HW34/'WICHE Public Grads-RE PROJ'!Z34</f>
        <v>3.5843923153010174E-2</v>
      </c>
      <c r="GH32" s="266">
        <f>+'WICHE Public Grads-RE PROJ'!HX34/'WICHE Public Grads-RE PROJ'!AA34</f>
        <v>4.1359730943294731E-2</v>
      </c>
      <c r="GI32" s="268">
        <f>+'WICHE Public Grads-RE PROJ'!HY34/'WICHE Public Grads-RE PROJ'!AB34</f>
        <v>4.0993486966631326E-2</v>
      </c>
      <c r="GJ32" s="266">
        <f>+'WICHE Public Grads-RE PROJ'!HZ34/'WICHE Public Grads-RE PROJ'!AC34</f>
        <v>4.2968281174090926E-2</v>
      </c>
      <c r="GK32" s="266">
        <f>+'WICHE Public Grads-RE PROJ'!IA34/'WICHE Public Grads-RE PROJ'!AD34</f>
        <v>4.909209539214536E-2</v>
      </c>
      <c r="GL32" s="266">
        <f>+'WICHE Public Grads-RE PROJ'!IB34/'WICHE Public Grads-RE PROJ'!AE34</f>
        <v>4.9040433246090399E-2</v>
      </c>
      <c r="GM32" s="266">
        <f>+'WICHE Public Grads-RE PROJ'!IC34/'WICHE Public Grads-RE PROJ'!AF34</f>
        <v>5.6599599519770706E-2</v>
      </c>
      <c r="GN32" s="266">
        <f>+'WICHE Public Grads-RE PROJ'!ID34/'WICHE Public Grads-RE PROJ'!AG34</f>
        <v>5.416248280273351E-2</v>
      </c>
      <c r="GO32" s="268">
        <f>+'WICHE Public Grads-RE PROJ'!IE34/'WICHE Public Grads-RE PROJ'!AH34</f>
        <v>6.7946696634188689E-2</v>
      </c>
      <c r="GP32" s="266">
        <f>+'WICHE Public Grads-RE PROJ'!IF34/'WICHE Public Grads-RE PROJ'!AI34</f>
        <v>7.0578653981737086E-2</v>
      </c>
      <c r="GQ32" s="266">
        <f>+'WICHE Public Grads-RE PROJ'!IG34/'WICHE Public Grads-RE PROJ'!AJ34</f>
        <v>7.8043728384689828E-2</v>
      </c>
      <c r="GR32" s="266">
        <f>+'WICHE Public Grads-RE PROJ'!IH34/'WICHE Public Grads-RE PROJ'!AK34</f>
        <v>7.5175989534970178E-2</v>
      </c>
      <c r="GS32" s="266">
        <f>+'WICHE Public Grads-RE PROJ'!II34/'WICHE Public Grads-RE PROJ'!AL34</f>
        <v>7.4242510744441714E-2</v>
      </c>
      <c r="GT32" s="266">
        <f>+'WICHE Public Grads-RE PROJ'!IJ34/'WICHE Public Grads-RE PROJ'!AM34</f>
        <v>7.9107598608634852E-2</v>
      </c>
      <c r="GU32" s="266">
        <f>+'WICHE Public Grads-RE PROJ'!IK34/'WICHE Public Grads-RE PROJ'!AN34</f>
        <v>8.3810979123220844E-2</v>
      </c>
      <c r="GV32" s="266">
        <f>+'WICHE Public Grads-RE PROJ'!IL34/'WICHE Public Grads-RE PROJ'!AO34</f>
        <v>8.8409904662726954E-2</v>
      </c>
      <c r="GW32" s="266">
        <f>+'WICHE Public Grads-RE PROJ'!IM34/'WICHE Public Grads-RE PROJ'!AP34</f>
        <v>8.6226322235836886E-2</v>
      </c>
      <c r="GX32" s="282">
        <f>+'WICHE Public Grads-RE PROJ'!IN34/'WICHE Public Grads-RE PROJ'!AQ34</f>
        <v>8.8593549173543645E-2</v>
      </c>
      <c r="GY32" s="262">
        <f>+'WICHE Public Grads-RE PROJ'!IO34/'WICHE Public Grads-RE PROJ'!B34</f>
        <v>0.91355295158080918</v>
      </c>
      <c r="GZ32" s="262">
        <f>+'WICHE Public Grads-RE PROJ'!IP34/'WICHE Public Grads-RE PROJ'!C34</f>
        <v>0.9199062732985408</v>
      </c>
      <c r="HA32" s="262">
        <f>+'WICHE Public Grads-RE PROJ'!IQ34/'WICHE Public Grads-RE PROJ'!D34</f>
        <v>0.91105093219456301</v>
      </c>
      <c r="HB32" s="262">
        <f>+'WICHE Public Grads-RE PROJ'!IR34/'WICHE Public Grads-RE PROJ'!E34</f>
        <v>0.91276889678310635</v>
      </c>
      <c r="HC32" s="262">
        <f>+'WICHE Public Grads-RE PROJ'!IS34/'WICHE Public Grads-RE PROJ'!F34</f>
        <v>0.91448860834401813</v>
      </c>
      <c r="HD32" s="262">
        <f>+'WICHE Public Grads-RE PROJ'!IT34/'WICHE Public Grads-RE PROJ'!G34</f>
        <v>0.91009494284053483</v>
      </c>
      <c r="HE32" s="267">
        <f>+'WICHE Public Grads-RE PROJ'!IU34/'WICHE Public Grads-RE PROJ'!H34</f>
        <v>0.91863738738738743</v>
      </c>
      <c r="HF32" s="267">
        <f>+'WICHE Public Grads-RE PROJ'!IV34/'WICHE Public Grads-RE PROJ'!I34</f>
        <v>0.91203661327231123</v>
      </c>
      <c r="HG32" s="267">
        <f>+'WICHE Public Grads-RE PROJ'!IW34/'WICHE Public Grads-RE PROJ'!J34</f>
        <v>0.91561955425112351</v>
      </c>
      <c r="HH32" s="267">
        <f>+'WICHE Public Grads-RE PROJ'!IX34/'WICHE Public Grads-RE PROJ'!K34</f>
        <v>0.90600301091456525</v>
      </c>
      <c r="HI32" s="262">
        <f>+'WICHE Public Grads-RE PROJ'!IY34/'WICHE Public Grads-RE PROJ'!L34</f>
        <v>0.90363843092666285</v>
      </c>
      <c r="HJ32" s="267">
        <f>+'WICHE Public Grads-RE PROJ'!IZ34/'WICHE Public Grads-RE PROJ'!M34</f>
        <v>0.90757248756685749</v>
      </c>
      <c r="HK32" s="267">
        <f>+'WICHE Public Grads-RE PROJ'!JA34/'WICHE Public Grads-RE PROJ'!N34</f>
        <v>0.89790476190476187</v>
      </c>
      <c r="HL32" s="267">
        <f>+'WICHE Public Grads-RE PROJ'!JB34/'WICHE Public Grads-RE PROJ'!O34</f>
        <v>0.88930817610062896</v>
      </c>
      <c r="HM32" s="267">
        <f>+'WICHE Public Grads-RE PROJ'!JC34/'WICHE Public Grads-RE PROJ'!P34</f>
        <v>0.88213556355149281</v>
      </c>
      <c r="HN32" s="267">
        <f>+'WICHE Public Grads-RE PROJ'!JD34/'WICHE Public Grads-RE PROJ'!Q34</f>
        <v>0.88292827504445759</v>
      </c>
      <c r="HO32" s="267">
        <f>+'WICHE Public Grads-RE PROJ'!JE34/'WICHE Public Grads-RE PROJ'!R34</f>
        <v>0.87677953058868796</v>
      </c>
      <c r="HP32" s="267">
        <f>+'WICHE Public Grads-RE PROJ'!JF34/'WICHE Public Grads-RE PROJ'!S34</f>
        <v>0.87764215540339385</v>
      </c>
      <c r="HQ32" s="267">
        <f>+'WICHE Public Grads-RE PROJ'!JG34/'WICHE Public Grads-RE PROJ'!T34</f>
        <v>0.87593052109181146</v>
      </c>
      <c r="HR32" s="267">
        <f>+'WICHE Public Grads-RE PROJ'!JH34/'WICHE Public Grads-RE PROJ'!U34</f>
        <v>0.8709127995370487</v>
      </c>
      <c r="HS32" s="262">
        <f>+'WICHE Public Grads-RE PROJ'!JI34/'WICHE Public Grads-RE PROJ'!V34</f>
        <v>0.87008425652243548</v>
      </c>
      <c r="HT32" s="262">
        <f>+'WICHE Public Grads-RE PROJ'!JJ34/'WICHE Public Grads-RE PROJ'!W34</f>
        <v>0.86934176306704358</v>
      </c>
      <c r="HU32" s="266">
        <f>+'WICHE Public Grads-RE PROJ'!JK34/'WICHE Public Grads-RE PROJ'!Y34</f>
        <v>0.86375440947087379</v>
      </c>
      <c r="HV32" s="266">
        <f>+'WICHE Public Grads-RE PROJ'!JL34/'WICHE Public Grads-RE PROJ'!Z34</f>
        <v>0.86419845273140206</v>
      </c>
      <c r="HW32" s="266">
        <f>+'WICHE Public Grads-RE PROJ'!JM34/'WICHE Public Grads-RE PROJ'!AA34</f>
        <v>0.86043559664414992</v>
      </c>
      <c r="HX32" s="268">
        <f>+'WICHE Public Grads-RE PROJ'!JN34/'WICHE Public Grads-RE PROJ'!AB34</f>
        <v>0.8525091975257667</v>
      </c>
      <c r="HY32" s="266">
        <f>+'WICHE Public Grads-RE PROJ'!JO34/'WICHE Public Grads-RE PROJ'!AC34</f>
        <v>0.8550778933093679</v>
      </c>
      <c r="HZ32" s="266">
        <f>+'WICHE Public Grads-RE PROJ'!JP34/'WICHE Public Grads-RE PROJ'!AD34</f>
        <v>0.8499985961764327</v>
      </c>
      <c r="IA32" s="266">
        <f>+'WICHE Public Grads-RE PROJ'!JQ34/'WICHE Public Grads-RE PROJ'!AE34</f>
        <v>0.84375515695480974</v>
      </c>
      <c r="IB32" s="266">
        <f>+'WICHE Public Grads-RE PROJ'!JR34/'WICHE Public Grads-RE PROJ'!AF34</f>
        <v>0.84230611080175788</v>
      </c>
      <c r="IC32" s="266">
        <f>+'WICHE Public Grads-RE PROJ'!JS34/'WICHE Public Grads-RE PROJ'!AG34</f>
        <v>0.84111161654594702</v>
      </c>
      <c r="ID32" s="268">
        <f>+'WICHE Public Grads-RE PROJ'!JT34/'WICHE Public Grads-RE PROJ'!AH34</f>
        <v>0.83733031301880734</v>
      </c>
      <c r="IE32" s="266">
        <f>+'WICHE Public Grads-RE PROJ'!JU34/'WICHE Public Grads-RE PROJ'!AI34</f>
        <v>0.83655932465782479</v>
      </c>
      <c r="IF32" s="266">
        <f>+'WICHE Public Grads-RE PROJ'!JV34/'WICHE Public Grads-RE PROJ'!AJ34</f>
        <v>0.84451268318623507</v>
      </c>
      <c r="IG32" s="266">
        <f>+'WICHE Public Grads-RE PROJ'!JW34/'WICHE Public Grads-RE PROJ'!AK34</f>
        <v>0.84401186259211947</v>
      </c>
      <c r="IH32" s="266">
        <f>+'WICHE Public Grads-RE PROJ'!JX34/'WICHE Public Grads-RE PROJ'!AL34</f>
        <v>0.8446609619371499</v>
      </c>
      <c r="II32" s="266">
        <f>+'WICHE Public Grads-RE PROJ'!JY34/'WICHE Public Grads-RE PROJ'!AM34</f>
        <v>0.84976308214971896</v>
      </c>
      <c r="IJ32" s="266">
        <f>+'WICHE Public Grads-RE PROJ'!JZ34/'WICHE Public Grads-RE PROJ'!AN34</f>
        <v>0.8380170340203732</v>
      </c>
      <c r="IK32" s="266">
        <f>+'WICHE Public Grads-RE PROJ'!KA34/'WICHE Public Grads-RE PROJ'!AO34</f>
        <v>0.84406639299385711</v>
      </c>
      <c r="IL32" s="266">
        <f>+'WICHE Public Grads-RE PROJ'!KB34/'WICHE Public Grads-RE PROJ'!AP34</f>
        <v>0.84259100826647149</v>
      </c>
      <c r="IM32" s="282">
        <f>+'WICHE Public Grads-RE PROJ'!KC34/'WICHE Public Grads-RE PROJ'!AQ34</f>
        <v>0.83496583541190095</v>
      </c>
      <c r="IN32" s="278">
        <f t="shared" si="44"/>
        <v>1</v>
      </c>
      <c r="IO32" s="278">
        <f t="shared" si="45"/>
        <v>1</v>
      </c>
      <c r="IP32" s="278">
        <f t="shared" si="46"/>
        <v>1</v>
      </c>
      <c r="IQ32" s="278">
        <f t="shared" si="47"/>
        <v>1</v>
      </c>
      <c r="IR32" s="278">
        <f t="shared" si="48"/>
        <v>1</v>
      </c>
      <c r="IS32" s="278">
        <f t="shared" si="49"/>
        <v>1</v>
      </c>
      <c r="IT32" s="278">
        <f t="shared" si="50"/>
        <v>1</v>
      </c>
      <c r="IU32" s="278">
        <f t="shared" si="51"/>
        <v>1</v>
      </c>
      <c r="IV32" s="278">
        <f t="shared" si="52"/>
        <v>1</v>
      </c>
      <c r="IW32" s="278">
        <f t="shared" si="53"/>
        <v>1</v>
      </c>
      <c r="IX32" s="278">
        <f t="shared" si="54"/>
        <v>1</v>
      </c>
      <c r="IY32" s="278">
        <f t="shared" si="55"/>
        <v>1</v>
      </c>
      <c r="IZ32" s="278">
        <f t="shared" si="56"/>
        <v>1</v>
      </c>
      <c r="JA32" s="278">
        <f t="shared" si="57"/>
        <v>1</v>
      </c>
      <c r="JB32" s="278">
        <f t="shared" si="58"/>
        <v>1</v>
      </c>
      <c r="JC32" s="278">
        <f t="shared" si="59"/>
        <v>1</v>
      </c>
      <c r="JD32" s="278">
        <f t="shared" si="60"/>
        <v>1</v>
      </c>
      <c r="JE32" s="278">
        <f t="shared" si="61"/>
        <v>1</v>
      </c>
      <c r="JF32" s="278">
        <f t="shared" si="62"/>
        <v>1</v>
      </c>
      <c r="JG32" s="278">
        <f t="shared" si="63"/>
        <v>1</v>
      </c>
      <c r="JH32" s="278">
        <f t="shared" si="64"/>
        <v>1</v>
      </c>
      <c r="JI32" s="278">
        <f t="shared" si="65"/>
        <v>1</v>
      </c>
      <c r="JJ32" s="278">
        <f t="shared" si="66"/>
        <v>0.9990468282354269</v>
      </c>
      <c r="JK32" s="278">
        <f t="shared" si="67"/>
        <v>0.99979252105703464</v>
      </c>
      <c r="JL32" s="278">
        <f t="shared" si="68"/>
        <v>1.0003505726026738</v>
      </c>
      <c r="JM32" s="278">
        <f t="shared" si="69"/>
        <v>0.99858554152751366</v>
      </c>
      <c r="JN32" s="278">
        <f t="shared" si="70"/>
        <v>0.9996863136706936</v>
      </c>
      <c r="JO32" s="278">
        <f t="shared" si="71"/>
        <v>1.0003837392526669</v>
      </c>
      <c r="JP32" s="278">
        <f t="shared" si="72"/>
        <v>0.99894895233602243</v>
      </c>
      <c r="JQ32" s="278">
        <f t="shared" si="73"/>
        <v>1.0017885241834252</v>
      </c>
      <c r="JR32" s="278">
        <f t="shared" si="74"/>
        <v>1.0010763489252177</v>
      </c>
      <c r="JS32" s="278">
        <f t="shared" si="75"/>
        <v>1.006753662199162</v>
      </c>
      <c r="JT32" s="278">
        <f t="shared" si="76"/>
        <v>1.0084467927820244</v>
      </c>
      <c r="JU32" s="278">
        <f t="shared" si="77"/>
        <v>1.0153308217134756</v>
      </c>
      <c r="JV32" s="278">
        <f t="shared" si="78"/>
        <v>1.0160986781243839</v>
      </c>
      <c r="JW32" s="278">
        <f t="shared" si="79"/>
        <v>1.0151508571576533</v>
      </c>
      <c r="JX32" s="278">
        <f t="shared" si="80"/>
        <v>1.0203870825800807</v>
      </c>
      <c r="JY32" s="278">
        <f t="shared" si="81"/>
        <v>1.0147512064788007</v>
      </c>
      <c r="JZ32" s="278">
        <f t="shared" si="81"/>
        <v>1.0257754406299717</v>
      </c>
      <c r="KA32" s="278">
        <f t="shared" si="81"/>
        <v>1.0237264669858872</v>
      </c>
      <c r="KB32" s="278">
        <f t="shared" si="81"/>
        <v>1.0237603301034381</v>
      </c>
    </row>
    <row r="33" spans="1:288" s="17" customFormat="1">
      <c r="A33" s="175" t="s">
        <v>58</v>
      </c>
      <c r="B33" s="262">
        <f>+'WICHE Public Grads-RE PROJ'!AR35/'WICHE Public Grads-RE PROJ'!B35</f>
        <v>6.8437180796731362E-2</v>
      </c>
      <c r="C33" s="262">
        <f>+'WICHE Public Grads-RE PROJ'!AS35/'WICHE Public Grads-RE PROJ'!C35</f>
        <v>6.4366290643662907E-2</v>
      </c>
      <c r="D33" s="262">
        <f>+'WICHE Public Grads-RE PROJ'!AT35/'WICHE Public Grads-RE PROJ'!D35</f>
        <v>7.0532419609910385E-2</v>
      </c>
      <c r="E33" s="262">
        <f>+'WICHE Public Grads-RE PROJ'!AU35/'WICHE Public Grads-RE PROJ'!E35</f>
        <v>6.4953177923889216E-2</v>
      </c>
      <c r="F33" s="262">
        <f>+'WICHE Public Grads-RE PROJ'!AV35/'WICHE Public Grads-RE PROJ'!F35</f>
        <v>7.1910545594756126E-2</v>
      </c>
      <c r="G33" s="262">
        <f>+'WICHE Public Grads-RE PROJ'!AW35/'WICHE Public Grads-RE PROJ'!G35</f>
        <v>7.4205231388329976E-2</v>
      </c>
      <c r="H33" s="267">
        <f>+'WICHE Public Grads-RE PROJ'!AX35/'WICHE Public Grads-RE PROJ'!H35</f>
        <v>7.324547961998161E-2</v>
      </c>
      <c r="I33" s="267">
        <f>+'WICHE Public Grads-RE PROJ'!AY35/'WICHE Public Grads-RE PROJ'!I35</f>
        <v>8.0549956809674639E-2</v>
      </c>
      <c r="J33" s="267">
        <f>+'WICHE Public Grads-RE PROJ'!AZ35/'WICHE Public Grads-RE PROJ'!J35</f>
        <v>7.7245550134011409E-2</v>
      </c>
      <c r="K33" s="267">
        <f>+'WICHE Public Grads-RE PROJ'!BA35/'WICHE Public Grads-RE PROJ'!K35</f>
        <v>8.2435380445560924E-2</v>
      </c>
      <c r="L33" s="262">
        <f>+'WICHE Public Grads-RE PROJ'!BB35/'WICHE Public Grads-RE PROJ'!L35</f>
        <v>8.4695759065765208E-2</v>
      </c>
      <c r="M33" s="267">
        <f>+'WICHE Public Grads-RE PROJ'!BC35/'WICHE Public Grads-RE PROJ'!M35</f>
        <v>8.639638539504213E-2</v>
      </c>
      <c r="N33" s="267">
        <f>+'WICHE Public Grads-RE PROJ'!BD35/'WICHE Public Grads-RE PROJ'!N35</f>
        <v>9.4796394974014861E-2</v>
      </c>
      <c r="O33" s="267">
        <f>+'WICHE Public Grads-RE PROJ'!BE35/'WICHE Public Grads-RE PROJ'!O35</f>
        <v>9.8856416772554009E-2</v>
      </c>
      <c r="P33" s="267">
        <f>+'WICHE Public Grads-RE PROJ'!BF35/'WICHE Public Grads-RE PROJ'!P35</f>
        <v>0.10616833789121848</v>
      </c>
      <c r="Q33" s="267">
        <f>+'WICHE Public Grads-RE PROJ'!BG35/'WICHE Public Grads-RE PROJ'!Q35</f>
        <v>0.11254300542305674</v>
      </c>
      <c r="R33" s="267">
        <f>+'WICHE Public Grads-RE PROJ'!BH35/'WICHE Public Grads-RE PROJ'!R35</f>
        <v>0.11304809992027638</v>
      </c>
      <c r="S33" s="267">
        <f>+'WICHE Public Grads-RE PROJ'!BI35/'WICHE Public Grads-RE PROJ'!S35</f>
        <v>0.11645900321543408</v>
      </c>
      <c r="T33" s="267">
        <f>+'WICHE Public Grads-RE PROJ'!BJ35/'WICHE Public Grads-RE PROJ'!T35</f>
        <v>0.11643443405230006</v>
      </c>
      <c r="U33" s="267">
        <f>+'WICHE Public Grads-RE PROJ'!BK35/'WICHE Public Grads-RE PROJ'!U35</f>
        <v>0.10546427086761093</v>
      </c>
      <c r="V33" s="267">
        <f>+'WICHE Public Grads-RE PROJ'!BL35/'WICHE Public Grads-RE PROJ'!V35</f>
        <v>0.10748156933438628</v>
      </c>
      <c r="W33" s="267">
        <f>+'WICHE Public Grads-RE PROJ'!BM35/'WICHE Public Grads-RE PROJ'!W35</f>
        <v>0.10833226956702685</v>
      </c>
      <c r="X33" s="268">
        <f>+'WICHE Public Grads-RE PROJ'!BN35/'WICHE Public Grads-RE PROJ'!Y35</f>
        <v>0.10443394008259003</v>
      </c>
      <c r="Y33" s="268">
        <f>+'WICHE Public Grads-RE PROJ'!BO35/'WICHE Public Grads-RE PROJ'!Z35</f>
        <v>0.10566527413591208</v>
      </c>
      <c r="Z33" s="268">
        <f>+'WICHE Public Grads-RE PROJ'!BP35/'WICHE Public Grads-RE PROJ'!AA35</f>
        <v>0.10442682273950132</v>
      </c>
      <c r="AA33" s="268">
        <f>+'WICHE Public Grads-RE PROJ'!BQ35/'WICHE Public Grads-RE PROJ'!AB35</f>
        <v>0.10634135996607071</v>
      </c>
      <c r="AB33" s="266">
        <f>+'WICHE Public Grads-RE PROJ'!BR35/'WICHE Public Grads-RE PROJ'!AC35</f>
        <v>9.9239814148023936E-2</v>
      </c>
      <c r="AC33" s="266">
        <f>+'WICHE Public Grads-RE PROJ'!BS35/'WICHE Public Grads-RE PROJ'!AD35</f>
        <v>0.10041878524733183</v>
      </c>
      <c r="AD33" s="266">
        <f>+'WICHE Public Grads-RE PROJ'!BT35/'WICHE Public Grads-RE PROJ'!AE35</f>
        <v>9.8050759172005883E-2</v>
      </c>
      <c r="AE33" s="266">
        <f>+'WICHE Public Grads-RE PROJ'!BU35/'WICHE Public Grads-RE PROJ'!AF35</f>
        <v>9.7660874736694464E-2</v>
      </c>
      <c r="AF33" s="266">
        <f>+'WICHE Public Grads-RE PROJ'!BV35/'WICHE Public Grads-RE PROJ'!AG35</f>
        <v>9.3358515301228587E-2</v>
      </c>
      <c r="AG33" s="268">
        <f>+'WICHE Public Grads-RE PROJ'!BW35/'WICHE Public Grads-RE PROJ'!AH35</f>
        <v>8.934053486122398E-2</v>
      </c>
      <c r="AH33" s="266">
        <f>+'WICHE Public Grads-RE PROJ'!BX35/'WICHE Public Grads-RE PROJ'!AI35</f>
        <v>8.656426434343395E-2</v>
      </c>
      <c r="AI33" s="266">
        <f>+'WICHE Public Grads-RE PROJ'!BY35/'WICHE Public Grads-RE PROJ'!AJ35</f>
        <v>8.6057478208527008E-2</v>
      </c>
      <c r="AJ33" s="266">
        <f>+'WICHE Public Grads-RE PROJ'!BZ35/'WICHE Public Grads-RE PROJ'!AK35</f>
        <v>9.4437659754189829E-2</v>
      </c>
      <c r="AK33" s="266">
        <f>+'WICHE Public Grads-RE PROJ'!CA35/'WICHE Public Grads-RE PROJ'!AL35</f>
        <v>9.3904838276980304E-2</v>
      </c>
      <c r="AL33" s="266">
        <f>+'WICHE Public Grads-RE PROJ'!CB35/'WICHE Public Grads-RE PROJ'!AM35</f>
        <v>8.976357764062437E-2</v>
      </c>
      <c r="AM33" s="266">
        <f>+'WICHE Public Grads-RE PROJ'!CC35/'WICHE Public Grads-RE PROJ'!AN35</f>
        <v>9.0861763071579865E-2</v>
      </c>
      <c r="AN33" s="266">
        <f>+'WICHE Public Grads-RE PROJ'!CD35/'WICHE Public Grads-RE PROJ'!AO35</f>
        <v>9.4943200374808759E-2</v>
      </c>
      <c r="AO33" s="266">
        <f>+'WICHE Public Grads-RE PROJ'!CE35/'WICHE Public Grads-RE PROJ'!AP35</f>
        <v>9.443190409744498E-2</v>
      </c>
      <c r="AP33" s="282">
        <f>+'WICHE Public Grads-RE PROJ'!CF35/'WICHE Public Grads-RE PROJ'!AQ35</f>
        <v>9.4476347131527277E-2</v>
      </c>
      <c r="AQ33" s="262">
        <f>+'WICHE Public Grads-RE PROJ'!CG35/'WICHE Public Grads-RE PROJ'!B35</f>
        <v>1.4867778912722732E-2</v>
      </c>
      <c r="AR33" s="262">
        <f>+'WICHE Public Grads-RE PROJ'!CH35/'WICHE Public Grads-RE PROJ'!C35</f>
        <v>1.3271400132714002E-2</v>
      </c>
      <c r="AS33" s="262">
        <f>+'WICHE Public Grads-RE PROJ'!CI35/'WICHE Public Grads-RE PROJ'!D35</f>
        <v>1.5287295730100159E-2</v>
      </c>
      <c r="AT33" s="262">
        <f>+'WICHE Public Grads-RE PROJ'!CJ35/'WICHE Public Grads-RE PROJ'!E35</f>
        <v>1.3050408447897987E-2</v>
      </c>
      <c r="AU33" s="262">
        <f>+'WICHE Public Grads-RE PROJ'!CK35/'WICHE Public Grads-RE PROJ'!F35</f>
        <v>1.5133988818199344E-2</v>
      </c>
      <c r="AV33" s="262">
        <f>+'WICHE Public Grads-RE PROJ'!CL35/'WICHE Public Grads-RE PROJ'!G35</f>
        <v>1.5935613682092554E-2</v>
      </c>
      <c r="AW33" s="267">
        <f>+'WICHE Public Grads-RE PROJ'!CM35/'WICHE Public Grads-RE PROJ'!H35</f>
        <v>1.6549187863928901E-2</v>
      </c>
      <c r="AX33" s="267">
        <f>+'WICHE Public Grads-RE PROJ'!CN35/'WICHE Public Grads-RE PROJ'!I35</f>
        <v>1.6412323639504751E-2</v>
      </c>
      <c r="AY33" s="267">
        <f>+'WICHE Public Grads-RE PROJ'!CO35/'WICHE Public Grads-RE PROJ'!J35</f>
        <v>1.4019655006528761E-2</v>
      </c>
      <c r="AZ33" s="267">
        <f>+'WICHE Public Grads-RE PROJ'!CP35/'WICHE Public Grads-RE PROJ'!K35</f>
        <v>1.6460633304686983E-2</v>
      </c>
      <c r="BA33" s="262">
        <f>+'WICHE Public Grads-RE PROJ'!CQ35/'WICHE Public Grads-RE PROJ'!L35</f>
        <v>1.5673017824216349E-2</v>
      </c>
      <c r="BB33" s="267">
        <f>+'WICHE Public Grads-RE PROJ'!CR35/'WICHE Public Grads-RE PROJ'!M35</f>
        <v>1.6851874465746732E-2</v>
      </c>
      <c r="BC33" s="267">
        <f>+'WICHE Public Grads-RE PROJ'!CS35/'WICHE Public Grads-RE PROJ'!N35</f>
        <v>1.3354384579961845E-2</v>
      </c>
      <c r="BD33" s="267">
        <f>+'WICHE Public Grads-RE PROJ'!CT35/'WICHE Public Grads-RE PROJ'!O35</f>
        <v>1.4358322744599746E-2</v>
      </c>
      <c r="BE33" s="267">
        <f>+'WICHE Public Grads-RE PROJ'!CU35/'WICHE Public Grads-RE PROJ'!P35</f>
        <v>1.4038286235186874E-2</v>
      </c>
      <c r="BF33" s="267">
        <f>+'WICHE Public Grads-RE PROJ'!CV35/'WICHE Public Grads-RE PROJ'!Q35</f>
        <v>1.4694734386844713E-2</v>
      </c>
      <c r="BG33" s="267">
        <f>+'WICHE Public Grads-RE PROJ'!CW35/'WICHE Public Grads-RE PROJ'!R35</f>
        <v>1.2862078129152273E-2</v>
      </c>
      <c r="BH33" s="267">
        <f>+'WICHE Public Grads-RE PROJ'!CX35/'WICHE Public Grads-RE PROJ'!S35</f>
        <v>1.3263665594855305E-2</v>
      </c>
      <c r="BI33" s="267">
        <f>+'WICHE Public Grads-RE PROJ'!CY35/'WICHE Public Grads-RE PROJ'!T35</f>
        <v>1.3122733346058409E-2</v>
      </c>
      <c r="BJ33" s="267">
        <f>+'WICHE Public Grads-RE PROJ'!CZ35/'WICHE Public Grads-RE PROJ'!U35</f>
        <v>1.1803197625775681E-2</v>
      </c>
      <c r="BK33" s="267">
        <f>+'WICHE Public Grads-RE PROJ'!DA35/'WICHE Public Grads-RE PROJ'!V35</f>
        <v>1.0643679686959864E-2</v>
      </c>
      <c r="BL33" s="267">
        <f>+'WICHE Public Grads-RE PROJ'!DB35/'WICHE Public Grads-RE PROJ'!W35</f>
        <v>1.0888306401273052E-2</v>
      </c>
      <c r="BM33" s="268">
        <f>+'WICHE Public Grads-RE PROJ'!DC35/'WICHE Public Grads-RE PROJ'!Y35</f>
        <v>1.0149598721798238E-2</v>
      </c>
      <c r="BN33" s="268">
        <f>+'WICHE Public Grads-RE PROJ'!DD35/'WICHE Public Grads-RE PROJ'!Z35</f>
        <v>1.0172269823576139E-2</v>
      </c>
      <c r="BO33" s="268">
        <f>+'WICHE Public Grads-RE PROJ'!DE35/'WICHE Public Grads-RE PROJ'!AA35</f>
        <v>9.5061630963216241E-3</v>
      </c>
      <c r="BP33" s="268">
        <f>+'WICHE Public Grads-RE PROJ'!DF35/'WICHE Public Grads-RE PROJ'!AB35</f>
        <v>8.6616012245264527E-3</v>
      </c>
      <c r="BQ33" s="266">
        <f>+'WICHE Public Grads-RE PROJ'!DG35/'WICHE Public Grads-RE PROJ'!AC35</f>
        <v>7.392531291809265E-3</v>
      </c>
      <c r="BR33" s="266">
        <f>+'WICHE Public Grads-RE PROJ'!DH35/'WICHE Public Grads-RE PROJ'!AD35</f>
        <v>7.7959994826666103E-3</v>
      </c>
      <c r="BS33" s="266">
        <f>+'WICHE Public Grads-RE PROJ'!DI35/'WICHE Public Grads-RE PROJ'!AE35</f>
        <v>7.3128860519020792E-3</v>
      </c>
      <c r="BT33" s="266">
        <f>+'WICHE Public Grads-RE PROJ'!DJ35/'WICHE Public Grads-RE PROJ'!AF35</f>
        <v>6.9385614719706685E-3</v>
      </c>
      <c r="BU33" s="266">
        <f>+'WICHE Public Grads-RE PROJ'!DK35/'WICHE Public Grads-RE PROJ'!AG35</f>
        <v>6.6190483047875682E-3</v>
      </c>
      <c r="BV33" s="268">
        <f>+'WICHE Public Grads-RE PROJ'!DL35/'WICHE Public Grads-RE PROJ'!AH35</f>
        <v>6.9391869259498775E-3</v>
      </c>
      <c r="BW33" s="266">
        <f>+'WICHE Public Grads-RE PROJ'!DM35/'WICHE Public Grads-RE PROJ'!AI35</f>
        <v>6.4282675658999915E-3</v>
      </c>
      <c r="BX33" s="266">
        <f>+'WICHE Public Grads-RE PROJ'!DN35/'WICHE Public Grads-RE PROJ'!AJ35</f>
        <v>5.6091601775028286E-3</v>
      </c>
      <c r="BY33" s="266">
        <f>+'WICHE Public Grads-RE PROJ'!DO35/'WICHE Public Grads-RE PROJ'!AK35</f>
        <v>6.5411796739682027E-3</v>
      </c>
      <c r="BZ33" s="266">
        <f>+'WICHE Public Grads-RE PROJ'!DP35/'WICHE Public Grads-RE PROJ'!AL35</f>
        <v>6.0765827641450871E-3</v>
      </c>
      <c r="CA33" s="266">
        <f>+'WICHE Public Grads-RE PROJ'!DQ35/'WICHE Public Grads-RE PROJ'!AM35</f>
        <v>5.1535030883545817E-3</v>
      </c>
      <c r="CB33" s="266">
        <f>+'WICHE Public Grads-RE PROJ'!DR35/'WICHE Public Grads-RE PROJ'!AN35</f>
        <v>5.355312253828382E-3</v>
      </c>
      <c r="CC33" s="266">
        <f>+'WICHE Public Grads-RE PROJ'!DS35/'WICHE Public Grads-RE PROJ'!AO35</f>
        <v>5.2282840972428654E-3</v>
      </c>
      <c r="CD33" s="266">
        <f>+'WICHE Public Grads-RE PROJ'!DT35/'WICHE Public Grads-RE PROJ'!AP35</f>
        <v>5.0678274269219566E-3</v>
      </c>
      <c r="CE33" s="282">
        <f>+'WICHE Public Grads-RE PROJ'!DU35/'WICHE Public Grads-RE PROJ'!AQ35</f>
        <v>5.389628577334808E-3</v>
      </c>
      <c r="CF33" s="262">
        <f>+'WICHE Public Grads-RE PROJ'!DV35/'WICHE Public Grads-RE PROJ'!B35</f>
        <v>5.3569401884008626E-2</v>
      </c>
      <c r="CG33" s="262">
        <f>+'WICHE Public Grads-RE PROJ'!DW35/'WICHE Public Grads-RE PROJ'!C35</f>
        <v>5.1094890510948905E-2</v>
      </c>
      <c r="CH33" s="262">
        <f>+'WICHE Public Grads-RE PROJ'!DX35/'WICHE Public Grads-RE PROJ'!D35</f>
        <v>5.5245123879810225E-2</v>
      </c>
      <c r="CI33" s="262">
        <f>+'WICHE Public Grads-RE PROJ'!DY35/'WICHE Public Grads-RE PROJ'!E35</f>
        <v>5.1902769475991234E-2</v>
      </c>
      <c r="CJ33" s="262">
        <f>+'WICHE Public Grads-RE PROJ'!DZ35/'WICHE Public Grads-RE PROJ'!F35</f>
        <v>5.6776556776556776E-2</v>
      </c>
      <c r="CK33" s="262">
        <f>+'WICHE Public Grads-RE PROJ'!EA35/'WICHE Public Grads-RE PROJ'!G35</f>
        <v>5.8269617706237425E-2</v>
      </c>
      <c r="CL33" s="267">
        <f>+'WICHE Public Grads-RE PROJ'!EB35/'WICHE Public Grads-RE PROJ'!H35</f>
        <v>5.6696291756052709E-2</v>
      </c>
      <c r="CM33" s="267">
        <f>+'WICHE Public Grads-RE PROJ'!EC35/'WICHE Public Grads-RE PROJ'!I35</f>
        <v>6.4137633170169878E-2</v>
      </c>
      <c r="CN33" s="267">
        <f>+'WICHE Public Grads-RE PROJ'!ED35/'WICHE Public Grads-RE PROJ'!J35</f>
        <v>6.3225895127482654E-2</v>
      </c>
      <c r="CO33" s="267">
        <f>+'WICHE Public Grads-RE PROJ'!EE35/'WICHE Public Grads-RE PROJ'!K35</f>
        <v>6.5974747140873938E-2</v>
      </c>
      <c r="CP33" s="262">
        <f>+'WICHE Public Grads-RE PROJ'!EF35/'WICHE Public Grads-RE PROJ'!L35</f>
        <v>6.9022741241548863E-2</v>
      </c>
      <c r="CQ33" s="267">
        <f>+'WICHE Public Grads-RE PROJ'!EG35/'WICHE Public Grads-RE PROJ'!M35</f>
        <v>6.9544510929295394E-2</v>
      </c>
      <c r="CR33" s="267">
        <f>+'WICHE Public Grads-RE PROJ'!EH35/'WICHE Public Grads-RE PROJ'!N35</f>
        <v>8.1442010394053022E-2</v>
      </c>
      <c r="CS33" s="267">
        <f>+'WICHE Public Grads-RE PROJ'!EI35/'WICHE Public Grads-RE PROJ'!O35</f>
        <v>8.449809402795426E-2</v>
      </c>
      <c r="CT33" s="267">
        <f>+'WICHE Public Grads-RE PROJ'!EJ35/'WICHE Public Grads-RE PROJ'!P35</f>
        <v>9.2130051656031595E-2</v>
      </c>
      <c r="CU33" s="267">
        <f>+'WICHE Public Grads-RE PROJ'!EK35/'WICHE Public Grads-RE PROJ'!Q35</f>
        <v>9.784827103621202E-2</v>
      </c>
      <c r="CV33" s="267">
        <f>+'WICHE Public Grads-RE PROJ'!EL35/'WICHE Public Grads-RE PROJ'!R35</f>
        <v>0.1001860217911241</v>
      </c>
      <c r="CW33" s="267">
        <f>+'WICHE Public Grads-RE PROJ'!EM35/'WICHE Public Grads-RE PROJ'!S35</f>
        <v>0.10319533762057878</v>
      </c>
      <c r="CX33" s="267">
        <f>+'WICHE Public Grads-RE PROJ'!EN35/'WICHE Public Grads-RE PROJ'!T35</f>
        <v>0.10331170070624165</v>
      </c>
      <c r="CY33" s="267">
        <f>+'WICHE Public Grads-RE PROJ'!EO35/'WICHE Public Grads-RE PROJ'!U35</f>
        <v>9.3661073241835244E-2</v>
      </c>
      <c r="CZ33" s="267">
        <f>+'WICHE Public Grads-RE PROJ'!EP35/'WICHE Public Grads-RE PROJ'!V35</f>
        <v>9.6837889647426428E-2</v>
      </c>
      <c r="DA33" s="267">
        <f>+'WICHE Public Grads-RE PROJ'!EQ35/'WICHE Public Grads-RE PROJ'!W35</f>
        <v>9.7443963165753808E-2</v>
      </c>
      <c r="DB33" s="268">
        <f>+'WICHE Public Grads-RE PROJ'!ER35/'WICHE Public Grads-RE PROJ'!Y35</f>
        <v>9.4284341360791807E-2</v>
      </c>
      <c r="DC33" s="268">
        <f>+'WICHE Public Grads-RE PROJ'!ES35/'WICHE Public Grads-RE PROJ'!Z35</f>
        <v>9.5493004312335941E-2</v>
      </c>
      <c r="DD33" s="268">
        <f>+'WICHE Public Grads-RE PROJ'!ET35/'WICHE Public Grads-RE PROJ'!AA35</f>
        <v>9.4920659643179708E-2</v>
      </c>
      <c r="DE33" s="268">
        <f>+'WICHE Public Grads-RE PROJ'!EU35/'WICHE Public Grads-RE PROJ'!AB35</f>
        <v>9.7679758741544262E-2</v>
      </c>
      <c r="DF33" s="266">
        <f>+'WICHE Public Grads-RE PROJ'!EV35/'WICHE Public Grads-RE PROJ'!AC35</f>
        <v>9.1847282856214657E-2</v>
      </c>
      <c r="DG33" s="266">
        <f>+'WICHE Public Grads-RE PROJ'!EW35/'WICHE Public Grads-RE PROJ'!AD35</f>
        <v>9.2622785764665219E-2</v>
      </c>
      <c r="DH33" s="266">
        <f>+'WICHE Public Grads-RE PROJ'!EX35/'WICHE Public Grads-RE PROJ'!AE35</f>
        <v>9.0737873120103799E-2</v>
      </c>
      <c r="DI33" s="266">
        <f>+'WICHE Public Grads-RE PROJ'!EY35/'WICHE Public Grads-RE PROJ'!AF35</f>
        <v>9.0722313264723797E-2</v>
      </c>
      <c r="DJ33" s="266">
        <f>+'WICHE Public Grads-RE PROJ'!EZ35/'WICHE Public Grads-RE PROJ'!AG35</f>
        <v>8.6739466996441028E-2</v>
      </c>
      <c r="DK33" s="268">
        <f>+'WICHE Public Grads-RE PROJ'!FA35/'WICHE Public Grads-RE PROJ'!AH35</f>
        <v>8.2401347935274108E-2</v>
      </c>
      <c r="DL33" s="266">
        <f>+'WICHE Public Grads-RE PROJ'!FB35/'WICHE Public Grads-RE PROJ'!AI35</f>
        <v>8.0135996777533969E-2</v>
      </c>
      <c r="DM33" s="266">
        <f>+'WICHE Public Grads-RE PROJ'!FC35/'WICHE Public Grads-RE PROJ'!AJ35</f>
        <v>8.0448318031024188E-2</v>
      </c>
      <c r="DN33" s="266">
        <f>+'WICHE Public Grads-RE PROJ'!FD35/'WICHE Public Grads-RE PROJ'!AK35</f>
        <v>8.789648008022162E-2</v>
      </c>
      <c r="DO33" s="266">
        <f>+'WICHE Public Grads-RE PROJ'!FE35/'WICHE Public Grads-RE PROJ'!AL35</f>
        <v>8.7828255512835227E-2</v>
      </c>
      <c r="DP33" s="266">
        <f>+'WICHE Public Grads-RE PROJ'!FF35/'WICHE Public Grads-RE PROJ'!AM35</f>
        <v>8.4610074552269779E-2</v>
      </c>
      <c r="DQ33" s="266">
        <f>+'WICHE Public Grads-RE PROJ'!FG35/'WICHE Public Grads-RE PROJ'!AN35</f>
        <v>8.5506450817751489E-2</v>
      </c>
      <c r="DR33" s="266">
        <f>+'WICHE Public Grads-RE PROJ'!FH35/'WICHE Public Grads-RE PROJ'!AO35</f>
        <v>8.9714916277565893E-2</v>
      </c>
      <c r="DS33" s="266">
        <f>+'WICHE Public Grads-RE PROJ'!FI35/'WICHE Public Grads-RE PROJ'!AP35</f>
        <v>8.9364076670523013E-2</v>
      </c>
      <c r="DT33" s="282">
        <f>+'WICHE Public Grads-RE PROJ'!FJ35/'WICHE Public Grads-RE PROJ'!AQ35</f>
        <v>8.9086718554192465E-2</v>
      </c>
      <c r="DU33" s="262">
        <f>+'WICHE Public Grads-RE PROJ'!FK35/'WICHE Public Grads-RE PROJ'!B35</f>
        <v>8.3872432187038923E-2</v>
      </c>
      <c r="DV33" s="262">
        <f>+'WICHE Public Grads-RE PROJ'!FL35/'WICHE Public Grads-RE PROJ'!C35</f>
        <v>6.9564255695642563E-2</v>
      </c>
      <c r="DW33" s="262">
        <f>+'WICHE Public Grads-RE PROJ'!FM35/'WICHE Public Grads-RE PROJ'!D35</f>
        <v>7.2957301001581445E-2</v>
      </c>
      <c r="DX33" s="262">
        <f>+'WICHE Public Grads-RE PROJ'!FN35/'WICHE Public Grads-RE PROJ'!E35</f>
        <v>7.5811914724048621E-2</v>
      </c>
      <c r="DY33" s="262">
        <f>+'WICHE Public Grads-RE PROJ'!FO35/'WICHE Public Grads-RE PROJ'!F35</f>
        <v>7.7501445922498552E-2</v>
      </c>
      <c r="DZ33" s="262">
        <f>+'WICHE Public Grads-RE PROJ'!FP35/'WICHE Public Grads-RE PROJ'!G35</f>
        <v>8.4989939637826958E-2</v>
      </c>
      <c r="EA33" s="267">
        <f>+'WICHE Public Grads-RE PROJ'!FQ35/'WICHE Public Grads-RE PROJ'!H35</f>
        <v>8.0907140668096844E-2</v>
      </c>
      <c r="EB33" s="267">
        <f>+'WICHE Public Grads-RE PROJ'!FR35/'WICHE Public Grads-RE PROJ'!I35</f>
        <v>7.5007198387561189E-2</v>
      </c>
      <c r="EC33" s="267">
        <f>+'WICHE Public Grads-RE PROJ'!FS35/'WICHE Public Grads-RE PROJ'!J35</f>
        <v>8.693560580028864E-2</v>
      </c>
      <c r="ED33" s="267">
        <f>+'WICHE Public Grads-RE PROJ'!FT35/'WICHE Public Grads-RE PROJ'!K35</f>
        <v>7.9394460236662925E-2</v>
      </c>
      <c r="EE33" s="262">
        <f>+'WICHE Public Grads-RE PROJ'!FU35/'WICHE Public Grads-RE PROJ'!L35</f>
        <v>7.897971727105102E-2</v>
      </c>
      <c r="EF33" s="267">
        <f>+'WICHE Public Grads-RE PROJ'!FV35/'WICHE Public Grads-RE PROJ'!M35</f>
        <v>9.9279521309073152E-2</v>
      </c>
      <c r="EG33" s="267">
        <f>+'WICHE Public Grads-RE PROJ'!FW35/'WICHE Public Grads-RE PROJ'!N35</f>
        <v>7.5981843299782914E-2</v>
      </c>
      <c r="EH33" s="267">
        <f>+'WICHE Public Grads-RE PROJ'!FX35/'WICHE Public Grads-RE PROJ'!O35</f>
        <v>8.0177890724269382E-2</v>
      </c>
      <c r="EI33" s="267">
        <f>+'WICHE Public Grads-RE PROJ'!FY35/'WICHE Public Grads-RE PROJ'!P35</f>
        <v>8.4168945609237308E-2</v>
      </c>
      <c r="EJ33" s="267">
        <f>+'WICHE Public Grads-RE PROJ'!FZ35/'WICHE Public Grads-RE PROJ'!Q35</f>
        <v>8.449472272435711E-2</v>
      </c>
      <c r="EK33" s="267">
        <f>+'WICHE Public Grads-RE PROJ'!GA35/'WICHE Public Grads-RE PROJ'!R35</f>
        <v>8.9396757905926119E-2</v>
      </c>
      <c r="EL33" s="267">
        <f>+'WICHE Public Grads-RE PROJ'!GB35/'WICHE Public Grads-RE PROJ'!S35</f>
        <v>9.2895900321543406E-2</v>
      </c>
      <c r="EM33" s="267">
        <f>+'WICHE Public Grads-RE PROJ'!GC35/'WICHE Public Grads-RE PROJ'!T35</f>
        <v>9.7585417064325247E-2</v>
      </c>
      <c r="EN33" s="267">
        <f>+'WICHE Public Grads-RE PROJ'!GD35/'WICHE Public Grads-RE PROJ'!U35</f>
        <v>8.5872297598779401E-2</v>
      </c>
      <c r="EO33" s="267">
        <f>+'WICHE Public Grads-RE PROJ'!GE35/'WICHE Public Grads-RE PROJ'!V35</f>
        <v>9.1980871440075926E-2</v>
      </c>
      <c r="EP33" s="267">
        <f>+'WICHE Public Grads-RE PROJ'!GF35/'WICHE Public Grads-RE PROJ'!W35</f>
        <v>8.8563839427722377E-2</v>
      </c>
      <c r="EQ33" s="268">
        <f>+'WICHE Public Grads-RE PROJ'!GG35/'WICHE Public Grads-RE PROJ'!Y35</f>
        <v>8.7354737977201252E-2</v>
      </c>
      <c r="ER33" s="268">
        <f>+'WICHE Public Grads-RE PROJ'!GH35/'WICHE Public Grads-RE PROJ'!Z35</f>
        <v>8.9341624083257964E-2</v>
      </c>
      <c r="ES33" s="268">
        <f>+'WICHE Public Grads-RE PROJ'!GI35/'WICHE Public Grads-RE PROJ'!AA35</f>
        <v>8.398879608051113E-2</v>
      </c>
      <c r="ET33" s="268">
        <f>+'WICHE Public Grads-RE PROJ'!GJ35/'WICHE Public Grads-RE PROJ'!AB35</f>
        <v>8.6077251334267149E-2</v>
      </c>
      <c r="EU33" s="266">
        <f>+'WICHE Public Grads-RE PROJ'!GK35/'WICHE Public Grads-RE PROJ'!AC35</f>
        <v>8.7804273891538984E-2</v>
      </c>
      <c r="EV33" s="266">
        <f>+'WICHE Public Grads-RE PROJ'!GL35/'WICHE Public Grads-RE PROJ'!AD35</f>
        <v>8.5124994545023161E-2</v>
      </c>
      <c r="EW33" s="266">
        <f>+'WICHE Public Grads-RE PROJ'!GM35/'WICHE Public Grads-RE PROJ'!AE35</f>
        <v>8.6159536998277345E-2</v>
      </c>
      <c r="EX33" s="266">
        <f>+'WICHE Public Grads-RE PROJ'!GN35/'WICHE Public Grads-RE PROJ'!AF35</f>
        <v>8.7903702352668686E-2</v>
      </c>
      <c r="EY33" s="266">
        <f>+'WICHE Public Grads-RE PROJ'!GO35/'WICHE Public Grads-RE PROJ'!AG35</f>
        <v>8.5574845676752956E-2</v>
      </c>
      <c r="EZ33" s="268">
        <f>+'WICHE Public Grads-RE PROJ'!GP35/'WICHE Public Grads-RE PROJ'!AH35</f>
        <v>8.9325474699352203E-2</v>
      </c>
      <c r="FA33" s="266">
        <f>+'WICHE Public Grads-RE PROJ'!GQ35/'WICHE Public Grads-RE PROJ'!AI35</f>
        <v>8.8665908801700583E-2</v>
      </c>
      <c r="FB33" s="266">
        <f>+'WICHE Public Grads-RE PROJ'!GR35/'WICHE Public Grads-RE PROJ'!AJ35</f>
        <v>9.2404822283270349E-2</v>
      </c>
      <c r="FC33" s="266">
        <f>+'WICHE Public Grads-RE PROJ'!GS35/'WICHE Public Grads-RE PROJ'!AK35</f>
        <v>9.7657405463422942E-2</v>
      </c>
      <c r="FD33" s="266">
        <f>+'WICHE Public Grads-RE PROJ'!GT35/'WICHE Public Grads-RE PROJ'!AL35</f>
        <v>0.10238309443358504</v>
      </c>
      <c r="FE33" s="266">
        <f>+'WICHE Public Grads-RE PROJ'!GU35/'WICHE Public Grads-RE PROJ'!AM35</f>
        <v>0.10531022889980532</v>
      </c>
      <c r="FF33" s="266">
        <f>+'WICHE Public Grads-RE PROJ'!GV35/'WICHE Public Grads-RE PROJ'!AN35</f>
        <v>0.11102201698048006</v>
      </c>
      <c r="FG33" s="266">
        <f>+'WICHE Public Grads-RE PROJ'!GW35/'WICHE Public Grads-RE PROJ'!AO35</f>
        <v>0.11269871268841221</v>
      </c>
      <c r="FH33" s="266">
        <f>+'WICHE Public Grads-RE PROJ'!GX35/'WICHE Public Grads-RE PROJ'!AP35</f>
        <v>0.11856700733530097</v>
      </c>
      <c r="FI33" s="282">
        <f>+'WICHE Public Grads-RE PROJ'!GY35/'WICHE Public Grads-RE PROJ'!AQ35</f>
        <v>0.1262175614830518</v>
      </c>
      <c r="FJ33" s="262">
        <f>+'WICHE Public Grads-RE PROJ'!GZ35/'WICHE Public Grads-RE PROJ'!B35</f>
        <v>8.5574849619793433E-2</v>
      </c>
      <c r="FK33" s="262">
        <f>+'WICHE Public Grads-RE PROJ'!HA35/'WICHE Public Grads-RE PROJ'!C35</f>
        <v>9.212563592125636E-2</v>
      </c>
      <c r="FL33" s="262">
        <f>+'WICHE Public Grads-RE PROJ'!HB35/'WICHE Public Grads-RE PROJ'!D35</f>
        <v>9.7416974169741696E-2</v>
      </c>
      <c r="FM33" s="262">
        <f>+'WICHE Public Grads-RE PROJ'!HC35/'WICHE Public Grads-RE PROJ'!E35</f>
        <v>0.10310818888224746</v>
      </c>
      <c r="FN33" s="262">
        <f>+'WICHE Public Grads-RE PROJ'!HD35/'WICHE Public Grads-RE PROJ'!F35</f>
        <v>0.1114324272219009</v>
      </c>
      <c r="FO33" s="262">
        <f>+'WICHE Public Grads-RE PROJ'!HE35/'WICHE Public Grads-RE PROJ'!G35</f>
        <v>0.12885311871227365</v>
      </c>
      <c r="FP33" s="267">
        <f>+'WICHE Public Grads-RE PROJ'!HF35/'WICHE Public Grads-RE PROJ'!H35</f>
        <v>0.12588109102053324</v>
      </c>
      <c r="FQ33" s="267">
        <f>+'WICHE Public Grads-RE PROJ'!HG35/'WICHE Public Grads-RE PROJ'!I35</f>
        <v>0.12575583069392457</v>
      </c>
      <c r="FR33" s="267">
        <f>+'WICHE Public Grads-RE PROJ'!HH35/'WICHE Public Grads-RE PROJ'!J35</f>
        <v>0.12803243763315236</v>
      </c>
      <c r="FS33" s="267">
        <f>+'WICHE Public Grads-RE PROJ'!HI35/'WICHE Public Grads-RE PROJ'!K35</f>
        <v>0.15409532623785285</v>
      </c>
      <c r="FT33" s="262">
        <f>+'WICHE Public Grads-RE PROJ'!HJ35/'WICHE Public Grads-RE PROJ'!L35</f>
        <v>0.16767055931161648</v>
      </c>
      <c r="FU33" s="267">
        <f>+'WICHE Public Grads-RE PROJ'!HK35/'WICHE Public Grads-RE PROJ'!M35</f>
        <v>0.15844425448772745</v>
      </c>
      <c r="FV33" s="267">
        <f>+'WICHE Public Grads-RE PROJ'!HL35/'WICHE Public Grads-RE PROJ'!N35</f>
        <v>0.17492270245378594</v>
      </c>
      <c r="FW33" s="267">
        <f>+'WICHE Public Grads-RE PROJ'!HM35/'WICHE Public Grads-RE PROJ'!O35</f>
        <v>0.18640406607369758</v>
      </c>
      <c r="FX33" s="267">
        <f>+'WICHE Public Grads-RE PROJ'!HN35/'WICHE Public Grads-RE PROJ'!P35</f>
        <v>0.20790033424491036</v>
      </c>
      <c r="FY33" s="267">
        <f>+'WICHE Public Grads-RE PROJ'!HO35/'WICHE Public Grads-RE PROJ'!Q35</f>
        <v>0.21109102571578517</v>
      </c>
      <c r="FZ33" s="267">
        <f>+'WICHE Public Grads-RE PROJ'!HP35/'WICHE Public Grads-RE PROJ'!R35</f>
        <v>0.23709806005846398</v>
      </c>
      <c r="GA33" s="267">
        <f>+'WICHE Public Grads-RE PROJ'!HQ35/'WICHE Public Grads-RE PROJ'!S35</f>
        <v>0.25190916398713825</v>
      </c>
      <c r="GB33" s="267">
        <f>+'WICHE Public Grads-RE PROJ'!HR35/'WICHE Public Grads-RE PROJ'!T35</f>
        <v>0.27261882038556978</v>
      </c>
      <c r="GC33" s="267">
        <f>+'WICHE Public Grads-RE PROJ'!HS35/'WICHE Public Grads-RE PROJ'!U35</f>
        <v>0.29680861108488338</v>
      </c>
      <c r="GD33" s="267">
        <f>+'WICHE Public Grads-RE PROJ'!HT35/'WICHE Public Grads-RE PROJ'!V35</f>
        <v>0.31136083321913116</v>
      </c>
      <c r="GE33" s="267">
        <f>+'WICHE Public Grads-RE PROJ'!HU35/'WICHE Public Grads-RE PROJ'!W35</f>
        <v>0.32763260699713515</v>
      </c>
      <c r="GF33" s="268">
        <f>+'WICHE Public Grads-RE PROJ'!HV35/'WICHE Public Grads-RE PROJ'!Y35</f>
        <v>0.33880268511357592</v>
      </c>
      <c r="GG33" s="268">
        <f>+'WICHE Public Grads-RE PROJ'!HW35/'WICHE Public Grads-RE PROJ'!Z35</f>
        <v>0.34354626429960089</v>
      </c>
      <c r="GH33" s="268">
        <f>+'WICHE Public Grads-RE PROJ'!HX35/'WICHE Public Grads-RE PROJ'!AA35</f>
        <v>0.35174493779878913</v>
      </c>
      <c r="GI33" s="268">
        <f>+'WICHE Public Grads-RE PROJ'!HY35/'WICHE Public Grads-RE PROJ'!AB35</f>
        <v>0.3493758412837828</v>
      </c>
      <c r="GJ33" s="266">
        <f>+'WICHE Public Grads-RE PROJ'!HZ35/'WICHE Public Grads-RE PROJ'!AC35</f>
        <v>0.36274735696316279</v>
      </c>
      <c r="GK33" s="266">
        <f>+'WICHE Public Grads-RE PROJ'!IA35/'WICHE Public Grads-RE PROJ'!AD35</f>
        <v>0.37166106064206156</v>
      </c>
      <c r="GL33" s="266">
        <f>+'WICHE Public Grads-RE PROJ'!IB35/'WICHE Public Grads-RE PROJ'!AE35</f>
        <v>0.37733065219565881</v>
      </c>
      <c r="GM33" s="266">
        <f>+'WICHE Public Grads-RE PROJ'!IC35/'WICHE Public Grads-RE PROJ'!AF35</f>
        <v>0.37106316497386871</v>
      </c>
      <c r="GN33" s="266">
        <f>+'WICHE Public Grads-RE PROJ'!ID35/'WICHE Public Grads-RE PROJ'!AG35</f>
        <v>0.38233022923578053</v>
      </c>
      <c r="GO33" s="268">
        <f>+'WICHE Public Grads-RE PROJ'!IE35/'WICHE Public Grads-RE PROJ'!AH35</f>
        <v>0.38354768966335673</v>
      </c>
      <c r="GP33" s="266">
        <f>+'WICHE Public Grads-RE PROJ'!IF35/'WICHE Public Grads-RE PROJ'!AI35</f>
        <v>0.38826223102263485</v>
      </c>
      <c r="GQ33" s="266">
        <f>+'WICHE Public Grads-RE PROJ'!IG35/'WICHE Public Grads-RE PROJ'!AJ35</f>
        <v>0.39307406095232456</v>
      </c>
      <c r="GR33" s="266">
        <f>+'WICHE Public Grads-RE PROJ'!IH35/'WICHE Public Grads-RE PROJ'!AK35</f>
        <v>0.39342741783591484</v>
      </c>
      <c r="GS33" s="266">
        <f>+'WICHE Public Grads-RE PROJ'!II35/'WICHE Public Grads-RE PROJ'!AL35</f>
        <v>0.38594096603034583</v>
      </c>
      <c r="GT33" s="266">
        <f>+'WICHE Public Grads-RE PROJ'!IJ35/'WICHE Public Grads-RE PROJ'!AM35</f>
        <v>0.3761089826311721</v>
      </c>
      <c r="GU33" s="266">
        <f>+'WICHE Public Grads-RE PROJ'!IK35/'WICHE Public Grads-RE PROJ'!AN35</f>
        <v>0.37230943288437346</v>
      </c>
      <c r="GV33" s="266">
        <f>+'WICHE Public Grads-RE PROJ'!IL35/'WICHE Public Grads-RE PROJ'!AO35</f>
        <v>0.36846454658088929</v>
      </c>
      <c r="GW33" s="266">
        <f>+'WICHE Public Grads-RE PROJ'!IM35/'WICHE Public Grads-RE PROJ'!AP35</f>
        <v>0.36638819913251991</v>
      </c>
      <c r="GX33" s="282">
        <f>+'WICHE Public Grads-RE PROJ'!IN35/'WICHE Public Grads-RE PROJ'!AQ35</f>
        <v>0.36595570325789617</v>
      </c>
      <c r="GY33" s="262">
        <f>+'WICHE Public Grads-RE PROJ'!IO35/'WICHE Public Grads-RE PROJ'!B35</f>
        <v>0.76211553739643623</v>
      </c>
      <c r="GZ33" s="262">
        <f>+'WICHE Public Grads-RE PROJ'!IP35/'WICHE Public Grads-RE PROJ'!C35</f>
        <v>0.77394381773943821</v>
      </c>
      <c r="HA33" s="262">
        <f>+'WICHE Public Grads-RE PROJ'!IQ35/'WICHE Public Grads-RE PROJ'!D35</f>
        <v>0.7590933052187665</v>
      </c>
      <c r="HB33" s="262">
        <f>+'WICHE Public Grads-RE PROJ'!IR35/'WICHE Public Grads-RE PROJ'!E35</f>
        <v>0.75612671846981472</v>
      </c>
      <c r="HC33" s="262">
        <f>+'WICHE Public Grads-RE PROJ'!IS35/'WICHE Public Grads-RE PROJ'!F35</f>
        <v>0.73915558126084446</v>
      </c>
      <c r="HD33" s="262">
        <f>+'WICHE Public Grads-RE PROJ'!IT35/'WICHE Public Grads-RE PROJ'!G35</f>
        <v>0.71195171026156945</v>
      </c>
      <c r="HE33" s="267">
        <f>+'WICHE Public Grads-RE PROJ'!IU35/'WICHE Public Grads-RE PROJ'!H35</f>
        <v>0.71996628869138835</v>
      </c>
      <c r="HF33" s="267">
        <f>+'WICHE Public Grads-RE PROJ'!IV35/'WICHE Public Grads-RE PROJ'!I35</f>
        <v>0.71868701410883962</v>
      </c>
      <c r="HG33" s="267">
        <f>+'WICHE Public Grads-RE PROJ'!IW35/'WICHE Public Grads-RE PROJ'!J35</f>
        <v>0.70778640643254764</v>
      </c>
      <c r="HH33" s="267">
        <f>+'WICHE Public Grads-RE PROJ'!IX35/'WICHE Public Grads-RE PROJ'!K35</f>
        <v>0.68407483307992334</v>
      </c>
      <c r="HI33" s="262">
        <f>+'WICHE Public Grads-RE PROJ'!IY35/'WICHE Public Grads-RE PROJ'!L35</f>
        <v>0.66865396435156732</v>
      </c>
      <c r="HJ33" s="267">
        <f>+'WICHE Public Grads-RE PROJ'!IZ35/'WICHE Public Grads-RE PROJ'!M35</f>
        <v>0.65587983880815726</v>
      </c>
      <c r="HK33" s="267">
        <f>+'WICHE Public Grads-RE PROJ'!JA35/'WICHE Public Grads-RE PROJ'!N35</f>
        <v>0.65528583645812777</v>
      </c>
      <c r="HL33" s="267">
        <f>+'WICHE Public Grads-RE PROJ'!JB35/'WICHE Public Grads-RE PROJ'!O35</f>
        <v>0.634561626429479</v>
      </c>
      <c r="HM33" s="267">
        <f>+'WICHE Public Grads-RE PROJ'!JC35/'WICHE Public Grads-RE PROJ'!P35</f>
        <v>0.60176238225463385</v>
      </c>
      <c r="HN33" s="267">
        <f>+'WICHE Public Grads-RE PROJ'!JD35/'WICHE Public Grads-RE PROJ'!Q35</f>
        <v>0.59187124613680098</v>
      </c>
      <c r="HO33" s="267">
        <f>+'WICHE Public Grads-RE PROJ'!JE35/'WICHE Public Grads-RE PROJ'!R35</f>
        <v>0.56045708211533352</v>
      </c>
      <c r="HP33" s="267">
        <f>+'WICHE Public Grads-RE PROJ'!JF35/'WICHE Public Grads-RE PROJ'!S35</f>
        <v>0.53873593247588425</v>
      </c>
      <c r="HQ33" s="267">
        <f>+'WICHE Public Grads-RE PROJ'!JG35/'WICHE Public Grads-RE PROJ'!T35</f>
        <v>0.51336132849780491</v>
      </c>
      <c r="HR33" s="267">
        <f>+'WICHE Public Grads-RE PROJ'!JH35/'WICHE Public Grads-RE PROJ'!U35</f>
        <v>0.51185482044872632</v>
      </c>
      <c r="HS33" s="267">
        <f>+'WICHE Public Grads-RE PROJ'!JI35/'WICHE Public Grads-RE PROJ'!V35</f>
        <v>0.4891767260064066</v>
      </c>
      <c r="HT33" s="267">
        <f>+'WICHE Public Grads-RE PROJ'!JJ35/'WICHE Public Grads-RE PROJ'!W35</f>
        <v>0.47547128400811556</v>
      </c>
      <c r="HU33" s="268">
        <f>+'WICHE Public Grads-RE PROJ'!JK35/'WICHE Public Grads-RE PROJ'!Y35</f>
        <v>0.46155016134601712</v>
      </c>
      <c r="HV33" s="268">
        <f>+'WICHE Public Grads-RE PROJ'!JL35/'WICHE Public Grads-RE PROJ'!Z35</f>
        <v>0.45368150089037051</v>
      </c>
      <c r="HW33" s="268">
        <f>+'WICHE Public Grads-RE PROJ'!JM35/'WICHE Public Grads-RE PROJ'!AA35</f>
        <v>0.45197415689552439</v>
      </c>
      <c r="HX33" s="268">
        <f>+'WICHE Public Grads-RE PROJ'!JN35/'WICHE Public Grads-RE PROJ'!AB35</f>
        <v>0.45119361107727357</v>
      </c>
      <c r="HY33" s="266">
        <f>+'WICHE Public Grads-RE PROJ'!JO35/'WICHE Public Grads-RE PROJ'!AC35</f>
        <v>0.43969604913324728</v>
      </c>
      <c r="HZ33" s="266">
        <f>+'WICHE Public Grads-RE PROJ'!JP35/'WICHE Public Grads-RE PROJ'!AD35</f>
        <v>0.43031306666929753</v>
      </c>
      <c r="IA33" s="266">
        <f>+'WICHE Public Grads-RE PROJ'!JQ35/'WICHE Public Grads-RE PROJ'!AE35</f>
        <v>0.42439179196641275</v>
      </c>
      <c r="IB33" s="266">
        <f>+'WICHE Public Grads-RE PROJ'!JR35/'WICHE Public Grads-RE PROJ'!AF35</f>
        <v>0.43000689598845371</v>
      </c>
      <c r="IC33" s="266">
        <f>+'WICHE Public Grads-RE PROJ'!JS35/'WICHE Public Grads-RE PROJ'!AG35</f>
        <v>0.4238841695294111</v>
      </c>
      <c r="ID33" s="268">
        <f>+'WICHE Public Grads-RE PROJ'!JT35/'WICHE Public Grads-RE PROJ'!AH35</f>
        <v>0.42060569191925495</v>
      </c>
      <c r="IE33" s="266">
        <f>+'WICHE Public Grads-RE PROJ'!JU35/'WICHE Public Grads-RE PROJ'!AI35</f>
        <v>0.41869214250056486</v>
      </c>
      <c r="IF33" s="266">
        <f>+'WICHE Public Grads-RE PROJ'!JV35/'WICHE Public Grads-RE PROJ'!AJ35</f>
        <v>0.40956905919442005</v>
      </c>
      <c r="IG33" s="266">
        <f>+'WICHE Public Grads-RE PROJ'!JW35/'WICHE Public Grads-RE PROJ'!AK35</f>
        <v>0.40087566435031335</v>
      </c>
      <c r="IH33" s="266">
        <f>+'WICHE Public Grads-RE PROJ'!JX35/'WICHE Public Grads-RE PROJ'!AL35</f>
        <v>0.40447225006246534</v>
      </c>
      <c r="II33" s="266">
        <f>+'WICHE Public Grads-RE PROJ'!JY35/'WICHE Public Grads-RE PROJ'!AM35</f>
        <v>0.41471428487027634</v>
      </c>
      <c r="IJ33" s="266">
        <f>+'WICHE Public Grads-RE PROJ'!JZ35/'WICHE Public Grads-RE PROJ'!AN35</f>
        <v>0.40945390666316112</v>
      </c>
      <c r="IK33" s="266">
        <f>+'WICHE Public Grads-RE PROJ'!KA35/'WICHE Public Grads-RE PROJ'!AO35</f>
        <v>0.40548176446503287</v>
      </c>
      <c r="IL33" s="266">
        <f>+'WICHE Public Grads-RE PROJ'!KB35/'WICHE Public Grads-RE PROJ'!AP35</f>
        <v>0.40277407321643377</v>
      </c>
      <c r="IM33" s="282">
        <f>+'WICHE Public Grads-RE PROJ'!KC35/'WICHE Public Grads-RE PROJ'!AQ35</f>
        <v>0.3987556331123786</v>
      </c>
      <c r="IN33" s="278">
        <f t="shared" si="44"/>
        <v>1</v>
      </c>
      <c r="IO33" s="278">
        <f t="shared" si="45"/>
        <v>1</v>
      </c>
      <c r="IP33" s="278">
        <f t="shared" si="46"/>
        <v>1</v>
      </c>
      <c r="IQ33" s="278">
        <f t="shared" si="47"/>
        <v>1</v>
      </c>
      <c r="IR33" s="278">
        <f t="shared" si="48"/>
        <v>1</v>
      </c>
      <c r="IS33" s="278">
        <f t="shared" si="49"/>
        <v>1</v>
      </c>
      <c r="IT33" s="278">
        <f t="shared" si="50"/>
        <v>1</v>
      </c>
      <c r="IU33" s="278">
        <f t="shared" si="51"/>
        <v>1</v>
      </c>
      <c r="IV33" s="278">
        <f t="shared" si="52"/>
        <v>1</v>
      </c>
      <c r="IW33" s="278">
        <f t="shared" si="53"/>
        <v>1</v>
      </c>
      <c r="IX33" s="278">
        <f t="shared" si="54"/>
        <v>1</v>
      </c>
      <c r="IY33" s="278">
        <f t="shared" si="55"/>
        <v>1</v>
      </c>
      <c r="IZ33" s="278">
        <f t="shared" si="56"/>
        <v>1.0009867771857115</v>
      </c>
      <c r="JA33" s="278">
        <f t="shared" si="57"/>
        <v>1</v>
      </c>
      <c r="JB33" s="278">
        <f t="shared" si="58"/>
        <v>1</v>
      </c>
      <c r="JC33" s="278">
        <f t="shared" si="59"/>
        <v>1</v>
      </c>
      <c r="JD33" s="278">
        <f t="shared" si="60"/>
        <v>1</v>
      </c>
      <c r="JE33" s="278">
        <f t="shared" si="61"/>
        <v>1</v>
      </c>
      <c r="JF33" s="278">
        <f t="shared" si="62"/>
        <v>1</v>
      </c>
      <c r="JG33" s="278">
        <f t="shared" si="63"/>
        <v>1</v>
      </c>
      <c r="JH33" s="278">
        <f t="shared" si="64"/>
        <v>1</v>
      </c>
      <c r="JI33" s="278">
        <f t="shared" si="65"/>
        <v>0.99999999999999989</v>
      </c>
      <c r="JJ33" s="278">
        <f t="shared" si="66"/>
        <v>0.99214152451938431</v>
      </c>
      <c r="JK33" s="278">
        <f t="shared" si="67"/>
        <v>0.99223466340914146</v>
      </c>
      <c r="JL33" s="278">
        <f t="shared" si="68"/>
        <v>0.99213471351432592</v>
      </c>
      <c r="JM33" s="278">
        <f t="shared" si="69"/>
        <v>0.99298806366139414</v>
      </c>
      <c r="JN33" s="278">
        <f t="shared" si="70"/>
        <v>0.98948749413597303</v>
      </c>
      <c r="JO33" s="278">
        <f t="shared" si="71"/>
        <v>0.98751790710371412</v>
      </c>
      <c r="JP33" s="278">
        <f t="shared" si="72"/>
        <v>0.98593274033235478</v>
      </c>
      <c r="JQ33" s="278">
        <f t="shared" si="73"/>
        <v>0.9866346380516855</v>
      </c>
      <c r="JR33" s="278">
        <f t="shared" si="74"/>
        <v>0.98514775974317315</v>
      </c>
      <c r="JS33" s="278">
        <f t="shared" si="75"/>
        <v>0.98281939114318795</v>
      </c>
      <c r="JT33" s="278">
        <f t="shared" si="76"/>
        <v>0.98218454666833421</v>
      </c>
      <c r="JU33" s="278">
        <f t="shared" si="77"/>
        <v>0.98110542063854189</v>
      </c>
      <c r="JV33" s="278">
        <f t="shared" si="78"/>
        <v>0.98639814740384102</v>
      </c>
      <c r="JW33" s="278">
        <f t="shared" si="79"/>
        <v>0.98670114880337656</v>
      </c>
      <c r="JX33" s="278">
        <f t="shared" si="80"/>
        <v>0.98589707404187821</v>
      </c>
      <c r="JY33" s="278">
        <f t="shared" si="81"/>
        <v>0.98364711959959439</v>
      </c>
      <c r="JZ33" s="278">
        <f t="shared" si="81"/>
        <v>0.98158822410914315</v>
      </c>
      <c r="KA33" s="278">
        <f t="shared" si="81"/>
        <v>0.9821611837816997</v>
      </c>
      <c r="KB33" s="278">
        <f t="shared" si="81"/>
        <v>0.98540524498485382</v>
      </c>
    </row>
    <row r="34" spans="1:288" s="17" customFormat="1">
      <c r="A34" s="175" t="s">
        <v>59</v>
      </c>
      <c r="B34" s="262">
        <f>+'WICHE Public Grads-RE PROJ'!AR36/'WICHE Public Grads-RE PROJ'!B36</f>
        <v>0.11994063680518079</v>
      </c>
      <c r="C34" s="262">
        <f>+'WICHE Public Grads-RE PROJ'!AS36/'WICHE Public Grads-RE PROJ'!C36</f>
        <v>0.11890324281571316</v>
      </c>
      <c r="D34" s="262">
        <f>+'WICHE Public Grads-RE PROJ'!AT36/'WICHE Public Grads-RE PROJ'!D36</f>
        <v>0.12295192049422508</v>
      </c>
      <c r="E34" s="262">
        <f>+'WICHE Public Grads-RE PROJ'!AU36/'WICHE Public Grads-RE PROJ'!E36</f>
        <v>0.11850214362272241</v>
      </c>
      <c r="F34" s="262">
        <f>+'WICHE Public Grads-RE PROJ'!AV36/'WICHE Public Grads-RE PROJ'!F36</f>
        <v>0.11446565381119335</v>
      </c>
      <c r="G34" s="262">
        <f>+'WICHE Public Grads-RE PROJ'!AW36/'WICHE Public Grads-RE PROJ'!G36</f>
        <v>0.11261146496815287</v>
      </c>
      <c r="H34" s="267">
        <f>+'WICHE Public Grads-RE PROJ'!AX36/'WICHE Public Grads-RE PROJ'!H36</f>
        <v>0.11029100369048339</v>
      </c>
      <c r="I34" s="267">
        <f>+'WICHE Public Grads-RE PROJ'!AY36/'WICHE Public Grads-RE PROJ'!I36</f>
        <v>0.10896806606225097</v>
      </c>
      <c r="J34" s="267">
        <f>+'WICHE Public Grads-RE PROJ'!AZ36/'WICHE Public Grads-RE PROJ'!J36</f>
        <v>0.11452498474848871</v>
      </c>
      <c r="K34" s="267">
        <f>+'WICHE Public Grads-RE PROJ'!BA36/'WICHE Public Grads-RE PROJ'!K36</f>
        <v>0.12264410132424859</v>
      </c>
      <c r="L34" s="262">
        <f>+'WICHE Public Grads-RE PROJ'!BB36/'WICHE Public Grads-RE PROJ'!L36</f>
        <v>0.11956634036697246</v>
      </c>
      <c r="M34" s="267">
        <f>+'WICHE Public Grads-RE PROJ'!BC36/'WICHE Public Grads-RE PROJ'!M36</f>
        <v>0.12042782012645512</v>
      </c>
      <c r="N34" s="267">
        <f>+'WICHE Public Grads-RE PROJ'!BD36/'WICHE Public Grads-RE PROJ'!N36</f>
        <v>0.12066845517549743</v>
      </c>
      <c r="O34" s="267">
        <f>+'WICHE Public Grads-RE PROJ'!BE36/'WICHE Public Grads-RE PROJ'!O36</f>
        <v>0.11801993891546131</v>
      </c>
      <c r="P34" s="267">
        <f>+'WICHE Public Grads-RE PROJ'!BF36/'WICHE Public Grads-RE PROJ'!P36</f>
        <v>0.12899786780383796</v>
      </c>
      <c r="Q34" s="267">
        <f>+'WICHE Public Grads-RE PROJ'!BG36/'WICHE Public Grads-RE PROJ'!Q36</f>
        <v>0.12999814022689232</v>
      </c>
      <c r="R34" s="267">
        <f>+'WICHE Public Grads-RE PROJ'!BH36/'WICHE Public Grads-RE PROJ'!R36</f>
        <v>0.13545773105562856</v>
      </c>
      <c r="S34" s="267">
        <f>+'WICHE Public Grads-RE PROJ'!BI36/'WICHE Public Grads-RE PROJ'!S36</f>
        <v>0.13356756455300875</v>
      </c>
      <c r="T34" s="267">
        <f>+'WICHE Public Grads-RE PROJ'!BJ36/'WICHE Public Grads-RE PROJ'!T36</f>
        <v>0.13485435630838116</v>
      </c>
      <c r="U34" s="267">
        <f>+'WICHE Public Grads-RE PROJ'!BK36/'WICHE Public Grads-RE PROJ'!U36</f>
        <v>0.13292639680375817</v>
      </c>
      <c r="V34" s="267">
        <f>+'WICHE Public Grads-RE PROJ'!BL36/'WICHE Public Grads-RE PROJ'!V36</f>
        <v>0.13371798061087325</v>
      </c>
      <c r="W34" s="267">
        <f>+'WICHE Public Grads-RE PROJ'!BM36/'WICHE Public Grads-RE PROJ'!W36</f>
        <v>0.13068542951457385</v>
      </c>
      <c r="X34" s="268">
        <f>+'WICHE Public Grads-RE PROJ'!BN36/'WICHE Public Grads-RE PROJ'!Y36</f>
        <v>0.12544791597978239</v>
      </c>
      <c r="Y34" s="268">
        <f>+'WICHE Public Grads-RE PROJ'!BO36/'WICHE Public Grads-RE PROJ'!Z36</f>
        <v>0.12432147547490841</v>
      </c>
      <c r="Z34" s="268">
        <f>+'WICHE Public Grads-RE PROJ'!BP36/'WICHE Public Grads-RE PROJ'!AA36</f>
        <v>0.12329191441246733</v>
      </c>
      <c r="AA34" s="268">
        <f>+'WICHE Public Grads-RE PROJ'!BQ36/'WICHE Public Grads-RE PROJ'!AB36</f>
        <v>0.12180138680794536</v>
      </c>
      <c r="AB34" s="266">
        <f>+'WICHE Public Grads-RE PROJ'!BR36/'WICHE Public Grads-RE PROJ'!AC36</f>
        <v>0.12318312422638145</v>
      </c>
      <c r="AC34" s="266">
        <f>+'WICHE Public Grads-RE PROJ'!BS36/'WICHE Public Grads-RE PROJ'!AD36</f>
        <v>0.12203408383981011</v>
      </c>
      <c r="AD34" s="266">
        <f>+'WICHE Public Grads-RE PROJ'!BT36/'WICHE Public Grads-RE PROJ'!AE36</f>
        <v>0.12602292833114087</v>
      </c>
      <c r="AE34" s="266">
        <f>+'WICHE Public Grads-RE PROJ'!BU36/'WICHE Public Grads-RE PROJ'!AF36</f>
        <v>0.12566670629387552</v>
      </c>
      <c r="AF34" s="266">
        <f>+'WICHE Public Grads-RE PROJ'!BV36/'WICHE Public Grads-RE PROJ'!AG36</f>
        <v>0.12716835607319218</v>
      </c>
      <c r="AG34" s="268">
        <f>+'WICHE Public Grads-RE PROJ'!BW36/'WICHE Public Grads-RE PROJ'!AH36</f>
        <v>0.12497371333934225</v>
      </c>
      <c r="AH34" s="266">
        <f>+'WICHE Public Grads-RE PROJ'!BX36/'WICHE Public Grads-RE PROJ'!AI36</f>
        <v>0.12901647621729351</v>
      </c>
      <c r="AI34" s="266">
        <f>+'WICHE Public Grads-RE PROJ'!BY36/'WICHE Public Grads-RE PROJ'!AJ36</f>
        <v>0.12604705587472656</v>
      </c>
      <c r="AJ34" s="266">
        <f>+'WICHE Public Grads-RE PROJ'!BZ36/'WICHE Public Grads-RE PROJ'!AK36</f>
        <v>0.12829861185055</v>
      </c>
      <c r="AK34" s="266">
        <f>+'WICHE Public Grads-RE PROJ'!CA36/'WICHE Public Grads-RE PROJ'!AL36</f>
        <v>0.12925332134124709</v>
      </c>
      <c r="AL34" s="266">
        <f>+'WICHE Public Grads-RE PROJ'!CB36/'WICHE Public Grads-RE PROJ'!AM36</f>
        <v>0.12536807465365227</v>
      </c>
      <c r="AM34" s="266">
        <f>+'WICHE Public Grads-RE PROJ'!CC36/'WICHE Public Grads-RE PROJ'!AN36</f>
        <v>0.12547791709304579</v>
      </c>
      <c r="AN34" s="266">
        <f>+'WICHE Public Grads-RE PROJ'!CD36/'WICHE Public Grads-RE PROJ'!AO36</f>
        <v>0.12487702791090181</v>
      </c>
      <c r="AO34" s="266">
        <f>+'WICHE Public Grads-RE PROJ'!CE36/'WICHE Public Grads-RE PROJ'!AP36</f>
        <v>0.12702306104786895</v>
      </c>
      <c r="AP34" s="282">
        <f>+'WICHE Public Grads-RE PROJ'!CF36/'WICHE Public Grads-RE PROJ'!AQ36</f>
        <v>0.12150181989673833</v>
      </c>
      <c r="AQ34" s="262">
        <f>+'WICHE Public Grads-RE PROJ'!CG36/'WICHE Public Grads-RE PROJ'!B36</f>
        <v>0.10840528872099299</v>
      </c>
      <c r="AR34" s="262">
        <f>+'WICHE Public Grads-RE PROJ'!CH36/'WICHE Public Grads-RE PROJ'!C36</f>
        <v>0.10611653045083047</v>
      </c>
      <c r="AS34" s="262">
        <f>+'WICHE Public Grads-RE PROJ'!CI36/'WICHE Public Grads-RE PROJ'!D36</f>
        <v>0.10791028740263228</v>
      </c>
      <c r="AT34" s="262">
        <f>+'WICHE Public Grads-RE PROJ'!CJ36/'WICHE Public Grads-RE PROJ'!E36</f>
        <v>0.10296087888531619</v>
      </c>
      <c r="AU34" s="262">
        <f>+'WICHE Public Grads-RE PROJ'!CK36/'WICHE Public Grads-RE PROJ'!F36</f>
        <v>9.8948188546941956E-2</v>
      </c>
      <c r="AV34" s="262">
        <f>+'WICHE Public Grads-RE PROJ'!CL36/'WICHE Public Grads-RE PROJ'!G36</f>
        <v>9.7643312101910823E-2</v>
      </c>
      <c r="AW34" s="267">
        <f>+'WICHE Public Grads-RE PROJ'!CM36/'WICHE Public Grads-RE PROJ'!H36</f>
        <v>9.6497065763204062E-2</v>
      </c>
      <c r="AX34" s="267">
        <f>+'WICHE Public Grads-RE PROJ'!CN36/'WICHE Public Grads-RE PROJ'!I36</f>
        <v>9.4184905006640868E-2</v>
      </c>
      <c r="AY34" s="267">
        <f>+'WICHE Public Grads-RE PROJ'!CO36/'WICHE Public Grads-RE PROJ'!J36</f>
        <v>0.10304475625311962</v>
      </c>
      <c r="AZ34" s="267">
        <f>+'WICHE Public Grads-RE PROJ'!CP36/'WICHE Public Grads-RE PROJ'!K36</f>
        <v>0.10967635584372767</v>
      </c>
      <c r="BA34" s="262">
        <f>+'WICHE Public Grads-RE PROJ'!CQ36/'WICHE Public Grads-RE PROJ'!L36</f>
        <v>0.10626519520282966</v>
      </c>
      <c r="BB34" s="267">
        <f>+'WICHE Public Grads-RE PROJ'!CR36/'WICHE Public Grads-RE PROJ'!M36</f>
        <v>0.10648230219228269</v>
      </c>
      <c r="BC34" s="267">
        <f>+'WICHE Public Grads-RE PROJ'!CS36/'WICHE Public Grads-RE PROJ'!N36</f>
        <v>0.1058573664207467</v>
      </c>
      <c r="BD34" s="267">
        <f>+'WICHE Public Grads-RE PROJ'!CT36/'WICHE Public Grads-RE PROJ'!O36</f>
        <v>0.1036708350141186</v>
      </c>
      <c r="BE34" s="267">
        <f>+'WICHE Public Grads-RE PROJ'!CU36/'WICHE Public Grads-RE PROJ'!P36</f>
        <v>0.11384805296824151</v>
      </c>
      <c r="BF34" s="267">
        <f>+'WICHE Public Grads-RE PROJ'!CV36/'WICHE Public Grads-RE PROJ'!Q36</f>
        <v>0.1140040915008369</v>
      </c>
      <c r="BG34" s="267">
        <f>+'WICHE Public Grads-RE PROJ'!CW36/'WICHE Public Grads-RE PROJ'!R36</f>
        <v>0.11919623302671922</v>
      </c>
      <c r="BH34" s="267">
        <f>+'WICHE Public Grads-RE PROJ'!CX36/'WICHE Public Grads-RE PROJ'!S36</f>
        <v>0.11811945792203446</v>
      </c>
      <c r="BI34" s="267">
        <f>+'WICHE Public Grads-RE PROJ'!CY36/'WICHE Public Grads-RE PROJ'!T36</f>
        <v>0.1189380477645459</v>
      </c>
      <c r="BJ34" s="267">
        <f>+'WICHE Public Grads-RE PROJ'!CZ36/'WICHE Public Grads-RE PROJ'!U36</f>
        <v>0.11933224596825884</v>
      </c>
      <c r="BK34" s="267">
        <f>+'WICHE Public Grads-RE PROJ'!DA36/'WICHE Public Grads-RE PROJ'!V36</f>
        <v>0.11979329690885042</v>
      </c>
      <c r="BL34" s="267">
        <f>+'WICHE Public Grads-RE PROJ'!DB36/'WICHE Public Grads-RE PROJ'!W36</f>
        <v>0.11456252847462524</v>
      </c>
      <c r="BM34" s="268">
        <f>+'WICHE Public Grads-RE PROJ'!DC36/'WICHE Public Grads-RE PROJ'!Y36</f>
        <v>0.10861669874883395</v>
      </c>
      <c r="BN34" s="268">
        <f>+'WICHE Public Grads-RE PROJ'!DD36/'WICHE Public Grads-RE PROJ'!Z36</f>
        <v>0.10572104693949982</v>
      </c>
      <c r="BO34" s="268">
        <f>+'WICHE Public Grads-RE PROJ'!DE36/'WICHE Public Grads-RE PROJ'!AA36</f>
        <v>0.1059233927582296</v>
      </c>
      <c r="BP34" s="268">
        <f>+'WICHE Public Grads-RE PROJ'!DF36/'WICHE Public Grads-RE PROJ'!AB36</f>
        <v>0.10429210565276666</v>
      </c>
      <c r="BQ34" s="266">
        <f>+'WICHE Public Grads-RE PROJ'!DG36/'WICHE Public Grads-RE PROJ'!AC36</f>
        <v>0.10710271595437895</v>
      </c>
      <c r="BR34" s="266">
        <f>+'WICHE Public Grads-RE PROJ'!DH36/'WICHE Public Grads-RE PROJ'!AD36</f>
        <v>0.10504711686691834</v>
      </c>
      <c r="BS34" s="266">
        <f>+'WICHE Public Grads-RE PROJ'!DI36/'WICHE Public Grads-RE PROJ'!AE36</f>
        <v>0.10990702628883467</v>
      </c>
      <c r="BT34" s="266">
        <f>+'WICHE Public Grads-RE PROJ'!DJ36/'WICHE Public Grads-RE PROJ'!AF36</f>
        <v>0.10823843518834687</v>
      </c>
      <c r="BU34" s="266">
        <f>+'WICHE Public Grads-RE PROJ'!DK36/'WICHE Public Grads-RE PROJ'!AG36</f>
        <v>0.11244495352427718</v>
      </c>
      <c r="BV34" s="268">
        <f>+'WICHE Public Grads-RE PROJ'!DL36/'WICHE Public Grads-RE PROJ'!AH36</f>
        <v>0.11017351539678938</v>
      </c>
      <c r="BW34" s="266">
        <f>+'WICHE Public Grads-RE PROJ'!DM36/'WICHE Public Grads-RE PROJ'!AI36</f>
        <v>0.11479774978869856</v>
      </c>
      <c r="BX34" s="266">
        <f>+'WICHE Public Grads-RE PROJ'!DN36/'WICHE Public Grads-RE PROJ'!AJ36</f>
        <v>0.11240052765483786</v>
      </c>
      <c r="BY34" s="266">
        <f>+'WICHE Public Grads-RE PROJ'!DO36/'WICHE Public Grads-RE PROJ'!AK36</f>
        <v>0.11258879120724545</v>
      </c>
      <c r="BZ34" s="266">
        <f>+'WICHE Public Grads-RE PROJ'!DP36/'WICHE Public Grads-RE PROJ'!AL36</f>
        <v>0.11489748362223597</v>
      </c>
      <c r="CA34" s="266">
        <f>+'WICHE Public Grads-RE PROJ'!DQ36/'WICHE Public Grads-RE PROJ'!AM36</f>
        <v>0.10941990587708901</v>
      </c>
      <c r="CB34" s="266">
        <f>+'WICHE Public Grads-RE PROJ'!DR36/'WICHE Public Grads-RE PROJ'!AN36</f>
        <v>0.11022922446393897</v>
      </c>
      <c r="CC34" s="266">
        <f>+'WICHE Public Grads-RE PROJ'!DS36/'WICHE Public Grads-RE PROJ'!AO36</f>
        <v>0.10803089605559063</v>
      </c>
      <c r="CD34" s="266">
        <f>+'WICHE Public Grads-RE PROJ'!DT36/'WICHE Public Grads-RE PROJ'!AP36</f>
        <v>0.11055143314976194</v>
      </c>
      <c r="CE34" s="282">
        <f>+'WICHE Public Grads-RE PROJ'!DU36/'WICHE Public Grads-RE PROJ'!AQ36</f>
        <v>0.10506969536093071</v>
      </c>
      <c r="CF34" s="262">
        <f>+'WICHE Public Grads-RE PROJ'!DV36/'WICHE Public Grads-RE PROJ'!B36</f>
        <v>1.1535348084187803E-2</v>
      </c>
      <c r="CG34" s="262">
        <f>+'WICHE Public Grads-RE PROJ'!DW36/'WICHE Public Grads-RE PROJ'!C36</f>
        <v>1.2786712364882678E-2</v>
      </c>
      <c r="CH34" s="262">
        <f>+'WICHE Public Grads-RE PROJ'!DX36/'WICHE Public Grads-RE PROJ'!D36</f>
        <v>1.5041633091592801E-2</v>
      </c>
      <c r="CI34" s="262">
        <f>+'WICHE Public Grads-RE PROJ'!DY36/'WICHE Public Grads-RE PROJ'!E36</f>
        <v>1.5541264737406217E-2</v>
      </c>
      <c r="CJ34" s="262">
        <f>+'WICHE Public Grads-RE PROJ'!DZ36/'WICHE Public Grads-RE PROJ'!F36</f>
        <v>1.5517465264251396E-2</v>
      </c>
      <c r="CK34" s="262">
        <f>+'WICHE Public Grads-RE PROJ'!EA36/'WICHE Public Grads-RE PROJ'!G36</f>
        <v>1.4968152866242038E-2</v>
      </c>
      <c r="CL34" s="267">
        <f>+'WICHE Public Grads-RE PROJ'!EB36/'WICHE Public Grads-RE PROJ'!H36</f>
        <v>1.3793937927279327E-2</v>
      </c>
      <c r="CM34" s="267">
        <f>+'WICHE Public Grads-RE PROJ'!EC36/'WICHE Public Grads-RE PROJ'!I36</f>
        <v>1.4783161055610094E-2</v>
      </c>
      <c r="CN34" s="267">
        <f>+'WICHE Public Grads-RE PROJ'!ED36/'WICHE Public Grads-RE PROJ'!J36</f>
        <v>1.1480228495369086E-2</v>
      </c>
      <c r="CO34" s="267">
        <f>+'WICHE Public Grads-RE PROJ'!EE36/'WICHE Public Grads-RE PROJ'!K36</f>
        <v>1.2967745480520907E-2</v>
      </c>
      <c r="CP34" s="262">
        <f>+'WICHE Public Grads-RE PROJ'!EF36/'WICHE Public Grads-RE PROJ'!L36</f>
        <v>1.3301145164142809E-2</v>
      </c>
      <c r="CQ34" s="267">
        <f>+'WICHE Public Grads-RE PROJ'!EG36/'WICHE Public Grads-RE PROJ'!M36</f>
        <v>1.3945517934172428E-2</v>
      </c>
      <c r="CR34" s="267">
        <f>+'WICHE Public Grads-RE PROJ'!EH36/'WICHE Public Grads-RE PROJ'!N36</f>
        <v>1.4811088754750727E-2</v>
      </c>
      <c r="CS34" s="267">
        <f>+'WICHE Public Grads-RE PROJ'!EI36/'WICHE Public Grads-RE PROJ'!O36</f>
        <v>1.4349103901342707E-2</v>
      </c>
      <c r="CT34" s="267">
        <f>+'WICHE Public Grads-RE PROJ'!EJ36/'WICHE Public Grads-RE PROJ'!P36</f>
        <v>1.5149814835596454E-2</v>
      </c>
      <c r="CU34" s="267">
        <f>+'WICHE Public Grads-RE PROJ'!EK36/'WICHE Public Grads-RE PROJ'!Q36</f>
        <v>1.5994048726055421E-2</v>
      </c>
      <c r="CV34" s="267">
        <f>+'WICHE Public Grads-RE PROJ'!EL36/'WICHE Public Grads-RE PROJ'!R36</f>
        <v>1.6261498028909329E-2</v>
      </c>
      <c r="CW34" s="267">
        <f>+'WICHE Public Grads-RE PROJ'!EM36/'WICHE Public Grads-RE PROJ'!S36</f>
        <v>1.544810663097429E-2</v>
      </c>
      <c r="CX34" s="267">
        <f>+'WICHE Public Grads-RE PROJ'!EN36/'WICHE Public Grads-RE PROJ'!T36</f>
        <v>1.5916308543835248E-2</v>
      </c>
      <c r="CY34" s="267">
        <f>+'WICHE Public Grads-RE PROJ'!EO36/'WICHE Public Grads-RE PROJ'!U36</f>
        <v>1.3594150835499332E-2</v>
      </c>
      <c r="CZ34" s="267">
        <f>+'WICHE Public Grads-RE PROJ'!EP36/'WICHE Public Grads-RE PROJ'!V36</f>
        <v>1.3924683702022843E-2</v>
      </c>
      <c r="DA34" s="267">
        <f>+'WICHE Public Grads-RE PROJ'!EQ36/'WICHE Public Grads-RE PROJ'!W36</f>
        <v>1.6122901039948616E-2</v>
      </c>
      <c r="DB34" s="268">
        <f>+'WICHE Public Grads-RE PROJ'!ER36/'WICHE Public Grads-RE PROJ'!Y36</f>
        <v>1.6831217230948447E-2</v>
      </c>
      <c r="DC34" s="268">
        <f>+'WICHE Public Grads-RE PROJ'!ES36/'WICHE Public Grads-RE PROJ'!Z36</f>
        <v>1.860042853540857E-2</v>
      </c>
      <c r="DD34" s="268">
        <f>+'WICHE Public Grads-RE PROJ'!ET36/'WICHE Public Grads-RE PROJ'!AA36</f>
        <v>1.7368521654237735E-2</v>
      </c>
      <c r="DE34" s="268">
        <f>+'WICHE Public Grads-RE PROJ'!EU36/'WICHE Public Grads-RE PROJ'!AB36</f>
        <v>1.7509281155178705E-2</v>
      </c>
      <c r="DF34" s="266">
        <f>+'WICHE Public Grads-RE PROJ'!EV36/'WICHE Public Grads-RE PROJ'!AC36</f>
        <v>1.6080408272002491E-2</v>
      </c>
      <c r="DG34" s="266">
        <f>+'WICHE Public Grads-RE PROJ'!EW36/'WICHE Public Grads-RE PROJ'!AD36</f>
        <v>1.698696697289177E-2</v>
      </c>
      <c r="DH34" s="266">
        <f>+'WICHE Public Grads-RE PROJ'!EX36/'WICHE Public Grads-RE PROJ'!AE36</f>
        <v>1.6115902042306205E-2</v>
      </c>
      <c r="DI34" s="266">
        <f>+'WICHE Public Grads-RE PROJ'!EY36/'WICHE Public Grads-RE PROJ'!AF36</f>
        <v>1.7428271105528647E-2</v>
      </c>
      <c r="DJ34" s="266">
        <f>+'WICHE Public Grads-RE PROJ'!EZ36/'WICHE Public Grads-RE PROJ'!AG36</f>
        <v>1.4723402548915012E-2</v>
      </c>
      <c r="DK34" s="268">
        <f>+'WICHE Public Grads-RE PROJ'!FA36/'WICHE Public Grads-RE PROJ'!AH36</f>
        <v>1.4800197942552872E-2</v>
      </c>
      <c r="DL34" s="266">
        <f>+'WICHE Public Grads-RE PROJ'!FB36/'WICHE Public Grads-RE PROJ'!AI36</f>
        <v>1.4218726428594957E-2</v>
      </c>
      <c r="DM34" s="266">
        <f>+'WICHE Public Grads-RE PROJ'!FC36/'WICHE Public Grads-RE PROJ'!AJ36</f>
        <v>1.3646528219888689E-2</v>
      </c>
      <c r="DN34" s="266">
        <f>+'WICHE Public Grads-RE PROJ'!FD36/'WICHE Public Grads-RE PROJ'!AK36</f>
        <v>1.5709820643304541E-2</v>
      </c>
      <c r="DO34" s="266">
        <f>+'WICHE Public Grads-RE PROJ'!FE36/'WICHE Public Grads-RE PROJ'!AL36</f>
        <v>1.4355837719011125E-2</v>
      </c>
      <c r="DP34" s="266">
        <f>+'WICHE Public Grads-RE PROJ'!FF36/'WICHE Public Grads-RE PROJ'!AM36</f>
        <v>1.594816877656325E-2</v>
      </c>
      <c r="DQ34" s="266">
        <f>+'WICHE Public Grads-RE PROJ'!FG36/'WICHE Public Grads-RE PROJ'!AN36</f>
        <v>1.5248692629106829E-2</v>
      </c>
      <c r="DR34" s="266">
        <f>+'WICHE Public Grads-RE PROJ'!FH36/'WICHE Public Grads-RE PROJ'!AO36</f>
        <v>1.6846131855311187E-2</v>
      </c>
      <c r="DS34" s="266">
        <f>+'WICHE Public Grads-RE PROJ'!FI36/'WICHE Public Grads-RE PROJ'!AP36</f>
        <v>1.6471627898107008E-2</v>
      </c>
      <c r="DT34" s="282">
        <f>+'WICHE Public Grads-RE PROJ'!FJ36/'WICHE Public Grads-RE PROJ'!AQ36</f>
        <v>1.6432124535807637E-2</v>
      </c>
      <c r="DU34" s="262">
        <f>+'WICHE Public Grads-RE PROJ'!FK36/'WICHE Public Grads-RE PROJ'!B36</f>
        <v>1.8146249325418241E-2</v>
      </c>
      <c r="DV34" s="262">
        <f>+'WICHE Public Grads-RE PROJ'!FL36/'WICHE Public Grads-RE PROJ'!C36</f>
        <v>2.0432375428420774E-2</v>
      </c>
      <c r="DW34" s="262">
        <f>+'WICHE Public Grads-RE PROJ'!FM36/'WICHE Public Grads-RE PROJ'!D36</f>
        <v>2.2293849046467903E-2</v>
      </c>
      <c r="DX34" s="262">
        <f>+'WICHE Public Grads-RE PROJ'!FN36/'WICHE Public Grads-RE PROJ'!E36</f>
        <v>2.0967309753483387E-2</v>
      </c>
      <c r="DY34" s="262">
        <f>+'WICHE Public Grads-RE PROJ'!FO36/'WICHE Public Grads-RE PROJ'!F36</f>
        <v>2.55161667315933E-2</v>
      </c>
      <c r="DZ34" s="262">
        <f>+'WICHE Public Grads-RE PROJ'!FP36/'WICHE Public Grads-RE PROJ'!G36</f>
        <v>2.1337579617834394E-2</v>
      </c>
      <c r="EA34" s="267">
        <f>+'WICHE Public Grads-RE PROJ'!FQ36/'WICHE Public Grads-RE PROJ'!H36</f>
        <v>2.1356403896182468E-2</v>
      </c>
      <c r="EB34" s="267">
        <f>+'WICHE Public Grads-RE PROJ'!FR36/'WICHE Public Grads-RE PROJ'!I36</f>
        <v>2.0673326788704743E-2</v>
      </c>
      <c r="EC34" s="267">
        <f>+'WICHE Public Grads-RE PROJ'!FS36/'WICHE Public Grads-RE PROJ'!J36</f>
        <v>2.3071377072819033E-2</v>
      </c>
      <c r="ED34" s="267">
        <f>+'WICHE Public Grads-RE PROJ'!FT36/'WICHE Public Grads-RE PROJ'!K36</f>
        <v>2.3407879553821637E-2</v>
      </c>
      <c r="EE34" s="262">
        <f>+'WICHE Public Grads-RE PROJ'!FU36/'WICHE Public Grads-RE PROJ'!L36</f>
        <v>2.1991289300320547E-2</v>
      </c>
      <c r="EF34" s="267">
        <f>+'WICHE Public Grads-RE PROJ'!FV36/'WICHE Public Grads-RE PROJ'!M36</f>
        <v>1.8850085682207647E-2</v>
      </c>
      <c r="EG34" s="267">
        <f>+'WICHE Public Grads-RE PROJ'!FW36/'WICHE Public Grads-RE PROJ'!N36</f>
        <v>2.2635814889336015E-2</v>
      </c>
      <c r="EH34" s="267">
        <f>+'WICHE Public Grads-RE PROJ'!FX36/'WICHE Public Grads-RE PROJ'!O36</f>
        <v>2.0976200080677694E-2</v>
      </c>
      <c r="EI34" s="267">
        <f>+'WICHE Public Grads-RE PROJ'!FY36/'WICHE Public Grads-RE PROJ'!P36</f>
        <v>2.3846930759735159E-2</v>
      </c>
      <c r="EJ34" s="267">
        <f>+'WICHE Public Grads-RE PROJ'!FZ36/'WICHE Public Grads-RE PROJ'!Q36</f>
        <v>2.3929080652160435E-2</v>
      </c>
      <c r="EK34" s="267">
        <f>+'WICHE Public Grads-RE PROJ'!GA36/'WICHE Public Grads-RE PROJ'!R36</f>
        <v>2.5569426193604906E-2</v>
      </c>
      <c r="EL34" s="267">
        <f>+'WICHE Public Grads-RE PROJ'!GB36/'WICHE Public Grads-RE PROJ'!S36</f>
        <v>2.6657743572583794E-2</v>
      </c>
      <c r="EM34" s="267">
        <f>+'WICHE Public Grads-RE PROJ'!GC36/'WICHE Public Grads-RE PROJ'!T36</f>
        <v>2.2003797436127941E-2</v>
      </c>
      <c r="EN34" s="267">
        <f>+'WICHE Public Grads-RE PROJ'!GD36/'WICHE Public Grads-RE PROJ'!U36</f>
        <v>2.1543234580160827E-2</v>
      </c>
      <c r="EO34" s="267">
        <f>+'WICHE Public Grads-RE PROJ'!GE36/'WICHE Public Grads-RE PROJ'!V36</f>
        <v>2.3584282979326871E-2</v>
      </c>
      <c r="EP34" s="267">
        <f>+'WICHE Public Grads-RE PROJ'!GF36/'WICHE Public Grads-RE PROJ'!W36</f>
        <v>2.2722402957901289E-2</v>
      </c>
      <c r="EQ34" s="268">
        <f>+'WICHE Public Grads-RE PROJ'!GG36/'WICHE Public Grads-RE PROJ'!Y36</f>
        <v>2.1203028589510835E-2</v>
      </c>
      <c r="ER34" s="268">
        <f>+'WICHE Public Grads-RE PROJ'!GH36/'WICHE Public Grads-RE PROJ'!Z36</f>
        <v>1.9240692871968432E-2</v>
      </c>
      <c r="ES34" s="268">
        <f>+'WICHE Public Grads-RE PROJ'!GI36/'WICHE Public Grads-RE PROJ'!AA36</f>
        <v>1.7458582590799493E-2</v>
      </c>
      <c r="ET34" s="268">
        <f>+'WICHE Public Grads-RE PROJ'!GJ36/'WICHE Public Grads-RE PROJ'!AB36</f>
        <v>1.8136745955263565E-2</v>
      </c>
      <c r="EU34" s="266">
        <f>+'WICHE Public Grads-RE PROJ'!GK36/'WICHE Public Grads-RE PROJ'!AC36</f>
        <v>1.9102450262490942E-2</v>
      </c>
      <c r="EV34" s="266">
        <f>+'WICHE Public Grads-RE PROJ'!GL36/'WICHE Public Grads-RE PROJ'!AD36</f>
        <v>1.7831810885148479E-2</v>
      </c>
      <c r="EW34" s="266">
        <f>+'WICHE Public Grads-RE PROJ'!GM36/'WICHE Public Grads-RE PROJ'!AE36</f>
        <v>1.7037748107981615E-2</v>
      </c>
      <c r="EX34" s="266">
        <f>+'WICHE Public Grads-RE PROJ'!GN36/'WICHE Public Grads-RE PROJ'!AF36</f>
        <v>1.614231308203215E-2</v>
      </c>
      <c r="EY34" s="266">
        <f>+'WICHE Public Grads-RE PROJ'!GO36/'WICHE Public Grads-RE PROJ'!AG36</f>
        <v>1.5307548972582762E-2</v>
      </c>
      <c r="EZ34" s="268">
        <f>+'WICHE Public Grads-RE PROJ'!GP36/'WICHE Public Grads-RE PROJ'!AH36</f>
        <v>1.5493721908545813E-2</v>
      </c>
      <c r="FA34" s="266">
        <f>+'WICHE Public Grads-RE PROJ'!GQ36/'WICHE Public Grads-RE PROJ'!AI36</f>
        <v>1.478444759714566E-2</v>
      </c>
      <c r="FB34" s="266">
        <f>+'WICHE Public Grads-RE PROJ'!GR36/'WICHE Public Grads-RE PROJ'!AJ36</f>
        <v>1.3512462023809062E-2</v>
      </c>
      <c r="FC34" s="266">
        <f>+'WICHE Public Grads-RE PROJ'!GS36/'WICHE Public Grads-RE PROJ'!AK36</f>
        <v>1.4248088406355091E-2</v>
      </c>
      <c r="FD34" s="266">
        <f>+'WICHE Public Grads-RE PROJ'!GT36/'WICHE Public Grads-RE PROJ'!AL36</f>
        <v>1.5909386062397651E-2</v>
      </c>
      <c r="FE34" s="266">
        <f>+'WICHE Public Grads-RE PROJ'!GU36/'WICHE Public Grads-RE PROJ'!AM36</f>
        <v>1.5547709325349716E-2</v>
      </c>
      <c r="FF34" s="266">
        <f>+'WICHE Public Grads-RE PROJ'!GV36/'WICHE Public Grads-RE PROJ'!AN36</f>
        <v>1.4838693022885638E-2</v>
      </c>
      <c r="FG34" s="266">
        <f>+'WICHE Public Grads-RE PROJ'!GW36/'WICHE Public Grads-RE PROJ'!AO36</f>
        <v>1.3933598836435024E-2</v>
      </c>
      <c r="FH34" s="266">
        <f>+'WICHE Public Grads-RE PROJ'!GX36/'WICHE Public Grads-RE PROJ'!AP36</f>
        <v>1.4117865770725472E-2</v>
      </c>
      <c r="FI34" s="282">
        <f>+'WICHE Public Grads-RE PROJ'!GY36/'WICHE Public Grads-RE PROJ'!AQ36</f>
        <v>1.549616997582683E-2</v>
      </c>
      <c r="FJ34" s="262">
        <f>+'WICHE Public Grads-RE PROJ'!GZ36/'WICHE Public Grads-RE PROJ'!B36</f>
        <v>0.41547490555855371</v>
      </c>
      <c r="FK34" s="262">
        <f>+'WICHE Public Grads-RE PROJ'!HA36/'WICHE Public Grads-RE PROJ'!C36</f>
        <v>0.41240442921170578</v>
      </c>
      <c r="FL34" s="262">
        <f>+'WICHE Public Grads-RE PROJ'!HB36/'WICHE Public Grads-RE PROJ'!D36</f>
        <v>0.41451786193929624</v>
      </c>
      <c r="FM34" s="262">
        <f>+'WICHE Public Grads-RE PROJ'!HC36/'WICHE Public Grads-RE PROJ'!E36</f>
        <v>0.41767148981779206</v>
      </c>
      <c r="FN34" s="262">
        <f>+'WICHE Public Grads-RE PROJ'!HD36/'WICHE Public Grads-RE PROJ'!F36</f>
        <v>0.4035190235034411</v>
      </c>
      <c r="FO34" s="262">
        <f>+'WICHE Public Grads-RE PROJ'!HE36/'WICHE Public Grads-RE PROJ'!G36</f>
        <v>0.41127388535031845</v>
      </c>
      <c r="FP34" s="267">
        <f>+'WICHE Public Grads-RE PROJ'!HF36/'WICHE Public Grads-RE PROJ'!H36</f>
        <v>0.4285195716619275</v>
      </c>
      <c r="FQ34" s="267">
        <f>+'WICHE Public Grads-RE PROJ'!HG36/'WICHE Public Grads-RE PROJ'!I36</f>
        <v>0.43292718138245656</v>
      </c>
      <c r="FR34" s="267">
        <f>+'WICHE Public Grads-RE PROJ'!HH36/'WICHE Public Grads-RE PROJ'!J36</f>
        <v>0.42099717153790694</v>
      </c>
      <c r="FS34" s="267">
        <f>+'WICHE Public Grads-RE PROJ'!HI36/'WICHE Public Grads-RE PROJ'!K36</f>
        <v>0.43705698115281061</v>
      </c>
      <c r="FT34" s="262">
        <f>+'WICHE Public Grads-RE PROJ'!HJ36/'WICHE Public Grads-RE PROJ'!L36</f>
        <v>0.43987358466895105</v>
      </c>
      <c r="FU34" s="267">
        <f>+'WICHE Public Grads-RE PROJ'!HK36/'WICHE Public Grads-RE PROJ'!M36</f>
        <v>0.4474383974472611</v>
      </c>
      <c r="FV34" s="267">
        <f>+'WICHE Public Grads-RE PROJ'!HL36/'WICHE Public Grads-RE PROJ'!N36</f>
        <v>0.45400178850883077</v>
      </c>
      <c r="FW34" s="267">
        <f>+'WICHE Public Grads-RE PROJ'!HM36/'WICHE Public Grads-RE PROJ'!O36</f>
        <v>0.46527977871261456</v>
      </c>
      <c r="FX34" s="267">
        <f>+'WICHE Public Grads-RE PROJ'!HN36/'WICHE Public Grads-RE PROJ'!P36</f>
        <v>0.45993715632364496</v>
      </c>
      <c r="FY34" s="267">
        <f>+'WICHE Public Grads-RE PROJ'!HO36/'WICHE Public Grads-RE PROJ'!Q36</f>
        <v>0.45843407104333272</v>
      </c>
      <c r="FZ34" s="267">
        <f>+'WICHE Public Grads-RE PROJ'!HP36/'WICHE Public Grads-RE PROJ'!R36</f>
        <v>0.47853701270258431</v>
      </c>
      <c r="GA34" s="267">
        <f>+'WICHE Public Grads-RE PROJ'!HQ36/'WICHE Public Grads-RE PROJ'!S36</f>
        <v>0.4885394010373097</v>
      </c>
      <c r="GB34" s="267">
        <f>+'WICHE Public Grads-RE PROJ'!HR36/'WICHE Public Grads-RE PROJ'!T36</f>
        <v>0.51718203818230712</v>
      </c>
      <c r="GC34" s="267">
        <f>+'WICHE Public Grads-RE PROJ'!HS36/'WICHE Public Grads-RE PROJ'!U36</f>
        <v>0.53276147168251342</v>
      </c>
      <c r="GD34" s="267">
        <f>+'WICHE Public Grads-RE PROJ'!HT36/'WICHE Public Grads-RE PROJ'!V36</f>
        <v>0.55481171548117159</v>
      </c>
      <c r="GE34" s="267">
        <f>+'WICHE Public Grads-RE PROJ'!HU36/'WICHE Public Grads-RE PROJ'!W36</f>
        <v>0.55262063227953406</v>
      </c>
      <c r="GF34" s="268">
        <f>+'WICHE Public Grads-RE PROJ'!HV36/'WICHE Public Grads-RE PROJ'!Y36</f>
        <v>0.56697748229012812</v>
      </c>
      <c r="GG34" s="268">
        <f>+'WICHE Public Grads-RE PROJ'!HW36/'WICHE Public Grads-RE PROJ'!Z36</f>
        <v>0.57043906784419263</v>
      </c>
      <c r="GH34" s="268">
        <f>+'WICHE Public Grads-RE PROJ'!HX36/'WICHE Public Grads-RE PROJ'!AA36</f>
        <v>0.5861867265052535</v>
      </c>
      <c r="GI34" s="268">
        <f>+'WICHE Public Grads-RE PROJ'!HY36/'WICHE Public Grads-RE PROJ'!AB36</f>
        <v>0.59550621318188979</v>
      </c>
      <c r="GJ34" s="266">
        <f>+'WICHE Public Grads-RE PROJ'!HZ36/'WICHE Public Grads-RE PROJ'!AC36</f>
        <v>0.59029972206196613</v>
      </c>
      <c r="GK34" s="266">
        <f>+'WICHE Public Grads-RE PROJ'!IA36/'WICHE Public Grads-RE PROJ'!AD36</f>
        <v>0.59863339644382652</v>
      </c>
      <c r="GL34" s="266">
        <f>+'WICHE Public Grads-RE PROJ'!IB36/'WICHE Public Grads-RE PROJ'!AE36</f>
        <v>0.6082539153537867</v>
      </c>
      <c r="GM34" s="266">
        <f>+'WICHE Public Grads-RE PROJ'!IC36/'WICHE Public Grads-RE PROJ'!AF36</f>
        <v>0.60852826308970953</v>
      </c>
      <c r="GN34" s="266">
        <f>+'WICHE Public Grads-RE PROJ'!ID36/'WICHE Public Grads-RE PROJ'!AG36</f>
        <v>0.61436093752260856</v>
      </c>
      <c r="GO34" s="268">
        <f>+'WICHE Public Grads-RE PROJ'!IE36/'WICHE Public Grads-RE PROJ'!AH36</f>
        <v>0.61310551381525769</v>
      </c>
      <c r="GP34" s="266">
        <f>+'WICHE Public Grads-RE PROJ'!IF36/'WICHE Public Grads-RE PROJ'!AI36</f>
        <v>0.61537148039605116</v>
      </c>
      <c r="GQ34" s="266">
        <f>+'WICHE Public Grads-RE PROJ'!IG36/'WICHE Public Grads-RE PROJ'!AJ36</f>
        <v>0.62949642947442053</v>
      </c>
      <c r="GR34" s="266">
        <f>+'WICHE Public Grads-RE PROJ'!IH36/'WICHE Public Grads-RE PROJ'!AK36</f>
        <v>0.63356464763078757</v>
      </c>
      <c r="GS34" s="266">
        <f>+'WICHE Public Grads-RE PROJ'!II36/'WICHE Public Grads-RE PROJ'!AL36</f>
        <v>0.6298746128143633</v>
      </c>
      <c r="GT34" s="266">
        <f>+'WICHE Public Grads-RE PROJ'!IJ36/'WICHE Public Grads-RE PROJ'!AM36</f>
        <v>0.62628490160021955</v>
      </c>
      <c r="GU34" s="266">
        <f>+'WICHE Public Grads-RE PROJ'!IK36/'WICHE Public Grads-RE PROJ'!AN36</f>
        <v>0.62223849996433955</v>
      </c>
      <c r="GV34" s="266">
        <f>+'WICHE Public Grads-RE PROJ'!IL36/'WICHE Public Grads-RE PROJ'!AO36</f>
        <v>0.62033707976795238</v>
      </c>
      <c r="GW34" s="266">
        <f>+'WICHE Public Grads-RE PROJ'!IM36/'WICHE Public Grads-RE PROJ'!AP36</f>
        <v>0.61712668145576233</v>
      </c>
      <c r="GX34" s="282">
        <f>+'WICHE Public Grads-RE PROJ'!IN36/'WICHE Public Grads-RE PROJ'!AQ36</f>
        <v>0.62607148763797915</v>
      </c>
      <c r="GY34" s="262">
        <f>+'WICHE Public Grads-RE PROJ'!IO36/'WICHE Public Grads-RE PROJ'!B36</f>
        <v>0.4464382083108473</v>
      </c>
      <c r="GZ34" s="262">
        <f>+'WICHE Public Grads-RE PROJ'!IP36/'WICHE Public Grads-RE PROJ'!C36</f>
        <v>0.44825995254416029</v>
      </c>
      <c r="HA34" s="262">
        <f>+'WICHE Public Grads-RE PROJ'!IQ36/'WICHE Public Grads-RE PROJ'!D36</f>
        <v>0.44023636852001075</v>
      </c>
      <c r="HB34" s="262">
        <f>+'WICHE Public Grads-RE PROJ'!IR36/'WICHE Public Grads-RE PROJ'!E36</f>
        <v>0.44285905680600213</v>
      </c>
      <c r="HC34" s="262">
        <f>+'WICHE Public Grads-RE PROJ'!IS36/'WICHE Public Grads-RE PROJ'!F36</f>
        <v>0.45649915595377222</v>
      </c>
      <c r="HD34" s="262">
        <f>+'WICHE Public Grads-RE PROJ'!IT36/'WICHE Public Grads-RE PROJ'!G36</f>
        <v>0.45477707006369428</v>
      </c>
      <c r="HE34" s="267">
        <f>+'WICHE Public Grads-RE PROJ'!IU36/'WICHE Public Grads-RE PROJ'!H36</f>
        <v>0.43983302075140662</v>
      </c>
      <c r="HF34" s="267">
        <f>+'WICHE Public Grads-RE PROJ'!IV36/'WICHE Public Grads-RE PROJ'!I36</f>
        <v>0.43743142576658772</v>
      </c>
      <c r="HG34" s="267">
        <f>+'WICHE Public Grads-RE PROJ'!IW36/'WICHE Public Grads-RE PROJ'!J36</f>
        <v>0.44140646664078531</v>
      </c>
      <c r="HH34" s="267">
        <f>+'WICHE Public Grads-RE PROJ'!IX36/'WICHE Public Grads-RE PROJ'!K36</f>
        <v>0.41689103796911919</v>
      </c>
      <c r="HI34" s="262">
        <f>+'WICHE Public Grads-RE PROJ'!IY36/'WICHE Public Grads-RE PROJ'!L36</f>
        <v>0.41856878567480932</v>
      </c>
      <c r="HJ34" s="267">
        <f>+'WICHE Public Grads-RE PROJ'!IZ36/'WICHE Public Grads-RE PROJ'!M36</f>
        <v>0.41328369674407611</v>
      </c>
      <c r="HK34" s="267">
        <f>+'WICHE Public Grads-RE PROJ'!JA36/'WICHE Public Grads-RE PROJ'!N36</f>
        <v>0.4026939414263358</v>
      </c>
      <c r="HL34" s="267">
        <f>+'WICHE Public Grads-RE PROJ'!JB36/'WICHE Public Grads-RE PROJ'!O36</f>
        <v>0.39572408229124645</v>
      </c>
      <c r="HM34" s="267">
        <f>+'WICHE Public Grads-RE PROJ'!JC36/'WICHE Public Grads-RE PROJ'!P36</f>
        <v>0.38721804511278196</v>
      </c>
      <c r="HN34" s="267">
        <f>+'WICHE Public Grads-RE PROJ'!JD36/'WICHE Public Grads-RE PROJ'!Q36</f>
        <v>0.38763870807761452</v>
      </c>
      <c r="HO34" s="267">
        <f>+'WICHE Public Grads-RE PROJ'!JE36/'WICHE Public Grads-RE PROJ'!R36</f>
        <v>0.36043583004818219</v>
      </c>
      <c r="HP34" s="267">
        <f>+'WICHE Public Grads-RE PROJ'!JF36/'WICHE Public Grads-RE PROJ'!S36</f>
        <v>0.35123529083709776</v>
      </c>
      <c r="HQ34" s="267">
        <f>+'WICHE Public Grads-RE PROJ'!JG36/'WICHE Public Grads-RE PROJ'!T36</f>
        <v>0.32595980807318381</v>
      </c>
      <c r="HR34" s="267">
        <f>+'WICHE Public Grads-RE PROJ'!JH36/'WICHE Public Grads-RE PROJ'!U36</f>
        <v>0.31276889693356763</v>
      </c>
      <c r="HS34" s="267">
        <f>+'WICHE Public Grads-RE PROJ'!JI36/'WICHE Public Grads-RE PROJ'!V36</f>
        <v>0.28788602092862831</v>
      </c>
      <c r="HT34" s="267">
        <f>+'WICHE Public Grads-RE PROJ'!JJ36/'WICHE Public Grads-RE PROJ'!W36</f>
        <v>0.29397153524799075</v>
      </c>
      <c r="HU34" s="268">
        <f>+'WICHE Public Grads-RE PROJ'!JK36/'WICHE Public Grads-RE PROJ'!Y36</f>
        <v>0.28635452603367839</v>
      </c>
      <c r="HV34" s="268">
        <f>+'WICHE Public Grads-RE PROJ'!JL36/'WICHE Public Grads-RE PROJ'!Z36</f>
        <v>0.28685764535261865</v>
      </c>
      <c r="HW34" s="268">
        <f>+'WICHE Public Grads-RE PROJ'!JM36/'WICHE Public Grads-RE PROJ'!AA36</f>
        <v>0.27311724465597881</v>
      </c>
      <c r="HX34" s="268">
        <f>+'WICHE Public Grads-RE PROJ'!JN36/'WICHE Public Grads-RE PROJ'!AB36</f>
        <v>0.26348921134431003</v>
      </c>
      <c r="HY34" s="266">
        <f>+'WICHE Public Grads-RE PROJ'!JO36/'WICHE Public Grads-RE PROJ'!AC36</f>
        <v>0.26700612316068201</v>
      </c>
      <c r="HZ34" s="266">
        <f>+'WICHE Public Grads-RE PROJ'!JP36/'WICHE Public Grads-RE PROJ'!AD36</f>
        <v>0.26164617095419396</v>
      </c>
      <c r="IA34" s="266">
        <f>+'WICHE Public Grads-RE PROJ'!JQ36/'WICHE Public Grads-RE PROJ'!AE36</f>
        <v>0.24949281650590516</v>
      </c>
      <c r="IB34" s="266">
        <f>+'WICHE Public Grads-RE PROJ'!JR36/'WICHE Public Grads-RE PROJ'!AF36</f>
        <v>0.25101423958457381</v>
      </c>
      <c r="IC34" s="266">
        <f>+'WICHE Public Grads-RE PROJ'!JS36/'WICHE Public Grads-RE PROJ'!AG36</f>
        <v>0.24505814710420512</v>
      </c>
      <c r="ID34" s="268">
        <f>+'WICHE Public Grads-RE PROJ'!JT36/'WICHE Public Grads-RE PROJ'!AH36</f>
        <v>0.2484824547322354</v>
      </c>
      <c r="IE34" s="266">
        <f>+'WICHE Public Grads-RE PROJ'!JU36/'WICHE Public Grads-RE PROJ'!AI36</f>
        <v>0.24398698667936325</v>
      </c>
      <c r="IF34" s="266">
        <f>+'WICHE Public Grads-RE PROJ'!JV36/'WICHE Public Grads-RE PROJ'!AJ36</f>
        <v>0.23527365468657957</v>
      </c>
      <c r="IG34" s="266">
        <f>+'WICHE Public Grads-RE PROJ'!JW36/'WICHE Public Grads-RE PROJ'!AK36</f>
        <v>0.23194631860041065</v>
      </c>
      <c r="IH34" s="266">
        <f>+'WICHE Public Grads-RE PROJ'!JX36/'WICHE Public Grads-RE PROJ'!AL36</f>
        <v>0.23218100778753625</v>
      </c>
      <c r="II34" s="266">
        <f>+'WICHE Public Grads-RE PROJ'!JY36/'WICHE Public Grads-RE PROJ'!AM36</f>
        <v>0.23842578251881733</v>
      </c>
      <c r="IJ34" s="266">
        <f>+'WICHE Public Grads-RE PROJ'!JZ36/'WICHE Public Grads-RE PROJ'!AN36</f>
        <v>0.23304797802728375</v>
      </c>
      <c r="IK34" s="266">
        <f>+'WICHE Public Grads-RE PROJ'!KA36/'WICHE Public Grads-RE PROJ'!AO36</f>
        <v>0.23235628846154052</v>
      </c>
      <c r="IL34" s="266">
        <f>+'WICHE Public Grads-RE PROJ'!KB36/'WICHE Public Grads-RE PROJ'!AP36</f>
        <v>0.23127518746205347</v>
      </c>
      <c r="IM34" s="282">
        <f>+'WICHE Public Grads-RE PROJ'!KC36/'WICHE Public Grads-RE PROJ'!AQ36</f>
        <v>0.22771779043270388</v>
      </c>
      <c r="IN34" s="278">
        <f t="shared" si="44"/>
        <v>1</v>
      </c>
      <c r="IO34" s="278">
        <f t="shared" si="45"/>
        <v>1</v>
      </c>
      <c r="IP34" s="278">
        <f t="shared" si="46"/>
        <v>1</v>
      </c>
      <c r="IQ34" s="278">
        <f t="shared" si="47"/>
        <v>1</v>
      </c>
      <c r="IR34" s="278">
        <f t="shared" si="48"/>
        <v>1</v>
      </c>
      <c r="IS34" s="278">
        <f t="shared" si="49"/>
        <v>1</v>
      </c>
      <c r="IT34" s="278">
        <f t="shared" si="50"/>
        <v>1</v>
      </c>
      <c r="IU34" s="278">
        <f t="shared" si="51"/>
        <v>1</v>
      </c>
      <c r="IV34" s="278">
        <f t="shared" si="52"/>
        <v>1</v>
      </c>
      <c r="IW34" s="278">
        <f t="shared" si="53"/>
        <v>1</v>
      </c>
      <c r="IX34" s="278">
        <f t="shared" si="54"/>
        <v>1.0000000000110534</v>
      </c>
      <c r="IY34" s="278">
        <f t="shared" si="55"/>
        <v>1</v>
      </c>
      <c r="IZ34" s="278">
        <f t="shared" si="56"/>
        <v>1</v>
      </c>
      <c r="JA34" s="278">
        <f t="shared" si="57"/>
        <v>1</v>
      </c>
      <c r="JB34" s="278">
        <f t="shared" si="58"/>
        <v>1</v>
      </c>
      <c r="JC34" s="278">
        <f t="shared" si="59"/>
        <v>1</v>
      </c>
      <c r="JD34" s="278">
        <f t="shared" si="60"/>
        <v>1</v>
      </c>
      <c r="JE34" s="278">
        <f t="shared" si="61"/>
        <v>1</v>
      </c>
      <c r="JF34" s="278">
        <f t="shared" si="62"/>
        <v>1</v>
      </c>
      <c r="JG34" s="278">
        <f t="shared" si="63"/>
        <v>1</v>
      </c>
      <c r="JH34" s="278">
        <f t="shared" si="64"/>
        <v>1</v>
      </c>
      <c r="JI34" s="278">
        <f t="shared" si="65"/>
        <v>1</v>
      </c>
      <c r="JJ34" s="278">
        <f t="shared" si="66"/>
        <v>0.99998295289309969</v>
      </c>
      <c r="JK34" s="278">
        <f t="shared" si="67"/>
        <v>1.0008588815436881</v>
      </c>
      <c r="JL34" s="278">
        <f t="shared" si="68"/>
        <v>1.0000544681644992</v>
      </c>
      <c r="JM34" s="278">
        <f t="shared" si="69"/>
        <v>0.9989335572894088</v>
      </c>
      <c r="JN34" s="278">
        <f t="shared" si="70"/>
        <v>0.99959141971152055</v>
      </c>
      <c r="JO34" s="278">
        <f t="shared" si="71"/>
        <v>1.0001454621229791</v>
      </c>
      <c r="JP34" s="278">
        <f t="shared" si="72"/>
        <v>1.0008074082988143</v>
      </c>
      <c r="JQ34" s="278">
        <f t="shared" si="73"/>
        <v>1.001351522050191</v>
      </c>
      <c r="JR34" s="278">
        <f t="shared" si="74"/>
        <v>1.0018949896725886</v>
      </c>
      <c r="JS34" s="278">
        <f t="shared" si="75"/>
        <v>1.0020554037953811</v>
      </c>
      <c r="JT34" s="278">
        <f t="shared" si="76"/>
        <v>1.0031593908898535</v>
      </c>
      <c r="JU34" s="278">
        <f t="shared" si="77"/>
        <v>1.0043296020595358</v>
      </c>
      <c r="JV34" s="278">
        <f t="shared" si="78"/>
        <v>1.0080576664881034</v>
      </c>
      <c r="JW34" s="278">
        <f t="shared" si="79"/>
        <v>1.0072183280055444</v>
      </c>
      <c r="JX34" s="278">
        <f t="shared" si="80"/>
        <v>1.0056264680980389</v>
      </c>
      <c r="JY34" s="278">
        <f t="shared" si="81"/>
        <v>0.99560308810755471</v>
      </c>
      <c r="JZ34" s="278">
        <f t="shared" si="81"/>
        <v>0.99150399497682973</v>
      </c>
      <c r="KA34" s="278">
        <f t="shared" si="81"/>
        <v>0.98954279573641013</v>
      </c>
      <c r="KB34" s="278">
        <f t="shared" si="81"/>
        <v>0.99078726794324823</v>
      </c>
    </row>
    <row r="35" spans="1:288" s="17" customFormat="1">
      <c r="A35" s="175" t="s">
        <v>60</v>
      </c>
      <c r="B35" s="262">
        <f>+'WICHE Public Grads-RE PROJ'!AR37/'WICHE Public Grads-RE PROJ'!B37</f>
        <v>5.0582888757162617E-2</v>
      </c>
      <c r="C35" s="262">
        <f>+'WICHE Public Grads-RE PROJ'!AS37/'WICHE Public Grads-RE PROJ'!C37</f>
        <v>5.1747081860005324E-2</v>
      </c>
      <c r="D35" s="262">
        <f>+'WICHE Public Grads-RE PROJ'!AT37/'WICHE Public Grads-RE PROJ'!D37</f>
        <v>5.6192573467993015E-2</v>
      </c>
      <c r="E35" s="262">
        <f>+'WICHE Public Grads-RE PROJ'!AU37/'WICHE Public Grads-RE PROJ'!E37</f>
        <v>5.1013857946607261E-2</v>
      </c>
      <c r="F35" s="262">
        <f>+'WICHE Public Grads-RE PROJ'!AV37/'WICHE Public Grads-RE PROJ'!F37</f>
        <v>5.333082423786225E-2</v>
      </c>
      <c r="G35" s="262">
        <f>+'WICHE Public Grads-RE PROJ'!AW37/'WICHE Public Grads-RE PROJ'!G37</f>
        <v>5.1515151515151514E-2</v>
      </c>
      <c r="H35" s="267">
        <f>+'WICHE Public Grads-RE PROJ'!AX37/'WICHE Public Grads-RE PROJ'!H37</f>
        <v>5.3145492541615623E-2</v>
      </c>
      <c r="I35" s="267">
        <f>+'WICHE Public Grads-RE PROJ'!AY37/'WICHE Public Grads-RE PROJ'!I37</f>
        <v>5.5018587360594798E-2</v>
      </c>
      <c r="J35" s="267">
        <f>+'WICHE Public Grads-RE PROJ'!AZ37/'WICHE Public Grads-RE PROJ'!J37</f>
        <v>6.0036263514874753E-2</v>
      </c>
      <c r="K35" s="267">
        <f>+'WICHE Public Grads-RE PROJ'!BA37/'WICHE Public Grads-RE PROJ'!K37</f>
        <v>5.7349944887938806E-2</v>
      </c>
      <c r="L35" s="262">
        <f>+'WICHE Public Grads-RE PROJ'!BB37/'WICHE Public Grads-RE PROJ'!L37</f>
        <v>5.6912656886977178E-2</v>
      </c>
      <c r="M35" s="267">
        <f>+'WICHE Public Grads-RE PROJ'!BC37/'WICHE Public Grads-RE PROJ'!M37</f>
        <v>6.0637677601497526E-2</v>
      </c>
      <c r="N35" s="267">
        <f>+'WICHE Public Grads-RE PROJ'!BD37/'WICHE Public Grads-RE PROJ'!N37</f>
        <v>6.4900782814491173E-2</v>
      </c>
      <c r="O35" s="267">
        <f>+'WICHE Public Grads-RE PROJ'!BE37/'WICHE Public Grads-RE PROJ'!O37</f>
        <v>6.7173793018833194E-2</v>
      </c>
      <c r="P35" s="267">
        <f>+'WICHE Public Grads-RE PROJ'!BF37/'WICHE Public Grads-RE PROJ'!P37</f>
        <v>6.9796875964684812E-2</v>
      </c>
      <c r="Q35" s="267">
        <f>+'WICHE Public Grads-RE PROJ'!BG37/'WICHE Public Grads-RE PROJ'!Q37</f>
        <v>7.0800693655444599E-2</v>
      </c>
      <c r="R35" s="267">
        <f>+'WICHE Public Grads-RE PROJ'!BH37/'WICHE Public Grads-RE PROJ'!R37</f>
        <v>7.2562877335546075E-2</v>
      </c>
      <c r="S35" s="267">
        <f>+'WICHE Public Grads-RE PROJ'!BI37/'WICHE Public Grads-RE PROJ'!S37</f>
        <v>6.7960612442370089E-2</v>
      </c>
      <c r="T35" s="267">
        <f>+'WICHE Public Grads-RE PROJ'!BJ37/'WICHE Public Grads-RE PROJ'!T37</f>
        <v>6.688587003547633E-2</v>
      </c>
      <c r="U35" s="267">
        <f>+'WICHE Public Grads-RE PROJ'!BK37/'WICHE Public Grads-RE PROJ'!U37</f>
        <v>6.8208629005279117E-2</v>
      </c>
      <c r="V35" s="267">
        <f>+'WICHE Public Grads-RE PROJ'!BL37/'WICHE Public Grads-RE PROJ'!V37</f>
        <v>6.9305932462559436E-2</v>
      </c>
      <c r="W35" s="267">
        <f>+'WICHE Public Grads-RE PROJ'!BM37/'WICHE Public Grads-RE PROJ'!W37</f>
        <v>6.9577163899722877E-2</v>
      </c>
      <c r="X35" s="268">
        <f>+'WICHE Public Grads-RE PROJ'!BN37/'WICHE Public Grads-RE PROJ'!Y37</f>
        <v>7.0373567412426424E-2</v>
      </c>
      <c r="Y35" s="268">
        <f>+'WICHE Public Grads-RE PROJ'!BO37/'WICHE Public Grads-RE PROJ'!Z37</f>
        <v>7.0329689700745671E-2</v>
      </c>
      <c r="Z35" s="268">
        <f>+'WICHE Public Grads-RE PROJ'!BP37/'WICHE Public Grads-RE PROJ'!AA37</f>
        <v>6.8185196470478035E-2</v>
      </c>
      <c r="AA35" s="268">
        <f>+'WICHE Public Grads-RE PROJ'!BQ37/'WICHE Public Grads-RE PROJ'!AB37</f>
        <v>6.9035625374952225E-2</v>
      </c>
      <c r="AB35" s="266">
        <f>+'WICHE Public Grads-RE PROJ'!BR37/'WICHE Public Grads-RE PROJ'!AC37</f>
        <v>7.3004056793419286E-2</v>
      </c>
      <c r="AC35" s="266">
        <f>+'WICHE Public Grads-RE PROJ'!BS37/'WICHE Public Grads-RE PROJ'!AD37</f>
        <v>7.0455100533082196E-2</v>
      </c>
      <c r="AD35" s="266">
        <f>+'WICHE Public Grads-RE PROJ'!BT37/'WICHE Public Grads-RE PROJ'!AE37</f>
        <v>6.8600366376718402E-2</v>
      </c>
      <c r="AE35" s="266">
        <f>+'WICHE Public Grads-RE PROJ'!BU37/'WICHE Public Grads-RE PROJ'!AF37</f>
        <v>7.0800537643427711E-2</v>
      </c>
      <c r="AF35" s="266">
        <f>+'WICHE Public Grads-RE PROJ'!BV37/'WICHE Public Grads-RE PROJ'!AG37</f>
        <v>7.0789458255250806E-2</v>
      </c>
      <c r="AG35" s="268">
        <f>+'WICHE Public Grads-RE PROJ'!BW37/'WICHE Public Grads-RE PROJ'!AH37</f>
        <v>6.9156908628354483E-2</v>
      </c>
      <c r="AH35" s="266">
        <f>+'WICHE Public Grads-RE PROJ'!BX37/'WICHE Public Grads-RE PROJ'!AI37</f>
        <v>6.9225402591988422E-2</v>
      </c>
      <c r="AI35" s="266">
        <f>+'WICHE Public Grads-RE PROJ'!BY37/'WICHE Public Grads-RE PROJ'!AJ37</f>
        <v>6.5597618329596388E-2</v>
      </c>
      <c r="AJ35" s="266">
        <f>+'WICHE Public Grads-RE PROJ'!BZ37/'WICHE Public Grads-RE PROJ'!AK37</f>
        <v>6.8371843068651947E-2</v>
      </c>
      <c r="AK35" s="266">
        <f>+'WICHE Public Grads-RE PROJ'!CA37/'WICHE Public Grads-RE PROJ'!AL37</f>
        <v>7.0234571783946168E-2</v>
      </c>
      <c r="AL35" s="266">
        <f>+'WICHE Public Grads-RE PROJ'!CB37/'WICHE Public Grads-RE PROJ'!AM37</f>
        <v>7.1009892131888616E-2</v>
      </c>
      <c r="AM35" s="266">
        <f>+'WICHE Public Grads-RE PROJ'!CC37/'WICHE Public Grads-RE PROJ'!AN37</f>
        <v>6.9970719149803129E-2</v>
      </c>
      <c r="AN35" s="266">
        <f>+'WICHE Public Grads-RE PROJ'!CD37/'WICHE Public Grads-RE PROJ'!AO37</f>
        <v>7.2108008517875521E-2</v>
      </c>
      <c r="AO35" s="266">
        <f>+'WICHE Public Grads-RE PROJ'!CE37/'WICHE Public Grads-RE PROJ'!AP37</f>
        <v>7.1400389831461561E-2</v>
      </c>
      <c r="AP35" s="282">
        <f>+'WICHE Public Grads-RE PROJ'!CF37/'WICHE Public Grads-RE PROJ'!AQ37</f>
        <v>7.1132331461470452E-2</v>
      </c>
      <c r="AQ35" s="262">
        <f>+'WICHE Public Grads-RE PROJ'!CG37/'WICHE Public Grads-RE PROJ'!B37</f>
        <v>1.4463544754001186E-2</v>
      </c>
      <c r="AR35" s="262">
        <f>+'WICHE Public Grads-RE PROJ'!CH37/'WICHE Public Grads-RE PROJ'!C37</f>
        <v>1.3801756587202008E-2</v>
      </c>
      <c r="AS35" s="262">
        <f>+'WICHE Public Grads-RE PROJ'!CI37/'WICHE Public Grads-RE PROJ'!D37</f>
        <v>1.4579694737641431E-2</v>
      </c>
      <c r="AT35" s="262">
        <f>+'WICHE Public Grads-RE PROJ'!CJ37/'WICHE Public Grads-RE PROJ'!E37</f>
        <v>1.5481629724729072E-2</v>
      </c>
      <c r="AU35" s="262">
        <f>+'WICHE Public Grads-RE PROJ'!CK37/'WICHE Public Grads-RE PROJ'!F37</f>
        <v>1.4640572073767406E-2</v>
      </c>
      <c r="AV35" s="262">
        <f>+'WICHE Public Grads-RE PROJ'!CL37/'WICHE Public Grads-RE PROJ'!G37</f>
        <v>1.3888888888888888E-2</v>
      </c>
      <c r="AW35" s="267">
        <f>+'WICHE Public Grads-RE PROJ'!CM37/'WICHE Public Grads-RE PROJ'!H37</f>
        <v>1.4052028536427182E-2</v>
      </c>
      <c r="AX35" s="267">
        <f>+'WICHE Public Grads-RE PROJ'!CN37/'WICHE Public Grads-RE PROJ'!I37</f>
        <v>1.4409630023012923E-2</v>
      </c>
      <c r="AY35" s="267">
        <f>+'WICHE Public Grads-RE PROJ'!CO37/'WICHE Public Grads-RE PROJ'!J37</f>
        <v>1.5042643207306427E-2</v>
      </c>
      <c r="AZ35" s="267">
        <f>+'WICHE Public Grads-RE PROJ'!CP37/'WICHE Public Grads-RE PROJ'!K37</f>
        <v>1.4963759644610709E-2</v>
      </c>
      <c r="BA35" s="262">
        <f>+'WICHE Public Grads-RE PROJ'!CQ37/'WICHE Public Grads-RE PROJ'!L37</f>
        <v>1.5728822264308412E-2</v>
      </c>
      <c r="BB35" s="267">
        <f>+'WICHE Public Grads-RE PROJ'!CR37/'WICHE Public Grads-RE PROJ'!M37</f>
        <v>1.5527664406051493E-2</v>
      </c>
      <c r="BC35" s="267">
        <f>+'WICHE Public Grads-RE PROJ'!CS37/'WICHE Public Grads-RE PROJ'!N37</f>
        <v>1.7416105346198193E-2</v>
      </c>
      <c r="BD35" s="267">
        <f>+'WICHE Public Grads-RE PROJ'!CT37/'WICHE Public Grads-RE PROJ'!O37</f>
        <v>1.8403778909269371E-2</v>
      </c>
      <c r="BE35" s="267">
        <f>+'WICHE Public Grads-RE PROJ'!CU37/'WICHE Public Grads-RE PROJ'!P37</f>
        <v>1.8429338766438229E-2</v>
      </c>
      <c r="BF35" s="267">
        <f>+'WICHE Public Grads-RE PROJ'!CV37/'WICHE Public Grads-RE PROJ'!Q37</f>
        <v>2.0361179214255815E-2</v>
      </c>
      <c r="BG35" s="267">
        <f>+'WICHE Public Grads-RE PROJ'!CW37/'WICHE Public Grads-RE PROJ'!R37</f>
        <v>2.0744513433860769E-2</v>
      </c>
      <c r="BH35" s="267">
        <f>+'WICHE Public Grads-RE PROJ'!CX37/'WICHE Public Grads-RE PROJ'!S37</f>
        <v>1.9722238032898857E-2</v>
      </c>
      <c r="BI35" s="267">
        <f>+'WICHE Public Grads-RE PROJ'!CY37/'WICHE Public Grads-RE PROJ'!T37</f>
        <v>1.7767009892994144E-2</v>
      </c>
      <c r="BJ35" s="267">
        <f>+'WICHE Public Grads-RE PROJ'!CZ37/'WICHE Public Grads-RE PROJ'!U37</f>
        <v>1.7575880038403852E-2</v>
      </c>
      <c r="BK35" s="267">
        <f>+'WICHE Public Grads-RE PROJ'!DA37/'WICHE Public Grads-RE PROJ'!V37</f>
        <v>1.6512683461783167E-2</v>
      </c>
      <c r="BL35" s="267">
        <f>+'WICHE Public Grads-RE PROJ'!DB37/'WICHE Public Grads-RE PROJ'!W37</f>
        <v>1.6028112687436639E-2</v>
      </c>
      <c r="BM35" s="268">
        <f>+'WICHE Public Grads-RE PROJ'!DC37/'WICHE Public Grads-RE PROJ'!Y37</f>
        <v>1.6207669148272992E-2</v>
      </c>
      <c r="BN35" s="268">
        <f>+'WICHE Public Grads-RE PROJ'!DD37/'WICHE Public Grads-RE PROJ'!Z37</f>
        <v>1.5475714567883688E-2</v>
      </c>
      <c r="BO35" s="268">
        <f>+'WICHE Public Grads-RE PROJ'!DE37/'WICHE Public Grads-RE PROJ'!AA37</f>
        <v>1.4391055600646324E-2</v>
      </c>
      <c r="BP35" s="268">
        <f>+'WICHE Public Grads-RE PROJ'!DF37/'WICHE Public Grads-RE PROJ'!AB37</f>
        <v>1.4711833304428931E-2</v>
      </c>
      <c r="BQ35" s="266">
        <f>+'WICHE Public Grads-RE PROJ'!DG37/'WICHE Public Grads-RE PROJ'!AC37</f>
        <v>1.4450152726826775E-2</v>
      </c>
      <c r="BR35" s="266">
        <f>+'WICHE Public Grads-RE PROJ'!DH37/'WICHE Public Grads-RE PROJ'!AD37</f>
        <v>1.2886909515949403E-2</v>
      </c>
      <c r="BS35" s="266">
        <f>+'WICHE Public Grads-RE PROJ'!DI37/'WICHE Public Grads-RE PROJ'!AE37</f>
        <v>1.2362683202883952E-2</v>
      </c>
      <c r="BT35" s="266">
        <f>+'WICHE Public Grads-RE PROJ'!DJ37/'WICHE Public Grads-RE PROJ'!AF37</f>
        <v>1.1746042773825856E-2</v>
      </c>
      <c r="BU35" s="266">
        <f>+'WICHE Public Grads-RE PROJ'!DK37/'WICHE Public Grads-RE PROJ'!AG37</f>
        <v>1.2132844706285249E-2</v>
      </c>
      <c r="BV35" s="268">
        <f>+'WICHE Public Grads-RE PROJ'!DL37/'WICHE Public Grads-RE PROJ'!AH37</f>
        <v>1.1056250539981008E-2</v>
      </c>
      <c r="BW35" s="266">
        <f>+'WICHE Public Grads-RE PROJ'!DM37/'WICHE Public Grads-RE PROJ'!AI37</f>
        <v>1.0912097419899736E-2</v>
      </c>
      <c r="BX35" s="266">
        <f>+'WICHE Public Grads-RE PROJ'!DN37/'WICHE Public Grads-RE PROJ'!AJ37</f>
        <v>1.1004110167166587E-2</v>
      </c>
      <c r="BY35" s="266">
        <f>+'WICHE Public Grads-RE PROJ'!DO37/'WICHE Public Grads-RE PROJ'!AK37</f>
        <v>1.1196632867232551E-2</v>
      </c>
      <c r="BZ35" s="266">
        <f>+'WICHE Public Grads-RE PROJ'!DP37/'WICHE Public Grads-RE PROJ'!AL37</f>
        <v>1.0687627048044502E-2</v>
      </c>
      <c r="CA35" s="266">
        <f>+'WICHE Public Grads-RE PROJ'!DQ37/'WICHE Public Grads-RE PROJ'!AM37</f>
        <v>1.0030570520000668E-2</v>
      </c>
      <c r="CB35" s="266">
        <f>+'WICHE Public Grads-RE PROJ'!DR37/'WICHE Public Grads-RE PROJ'!AN37</f>
        <v>1.0097018641229473E-2</v>
      </c>
      <c r="CC35" s="266">
        <f>+'WICHE Public Grads-RE PROJ'!DS37/'WICHE Public Grads-RE PROJ'!AO37</f>
        <v>1.0105302775496587E-2</v>
      </c>
      <c r="CD35" s="266">
        <f>+'WICHE Public Grads-RE PROJ'!DT37/'WICHE Public Grads-RE PROJ'!AP37</f>
        <v>1.0668250836146682E-2</v>
      </c>
      <c r="CE35" s="282">
        <f>+'WICHE Public Grads-RE PROJ'!DU37/'WICHE Public Grads-RE PROJ'!AQ37</f>
        <v>8.7085047705610201E-3</v>
      </c>
      <c r="CF35" s="262">
        <f>+'WICHE Public Grads-RE PROJ'!DV37/'WICHE Public Grads-RE PROJ'!B37</f>
        <v>3.6119344003161427E-2</v>
      </c>
      <c r="CG35" s="262">
        <f>+'WICHE Public Grads-RE PROJ'!DW37/'WICHE Public Grads-RE PROJ'!C37</f>
        <v>3.7945325272803317E-2</v>
      </c>
      <c r="CH35" s="262">
        <f>+'WICHE Public Grads-RE PROJ'!DX37/'WICHE Public Grads-RE PROJ'!D37</f>
        <v>4.1612878730351584E-2</v>
      </c>
      <c r="CI35" s="262">
        <f>+'WICHE Public Grads-RE PROJ'!DY37/'WICHE Public Grads-RE PROJ'!E37</f>
        <v>3.5532228221878188E-2</v>
      </c>
      <c r="CJ35" s="262">
        <f>+'WICHE Public Grads-RE PROJ'!DZ37/'WICHE Public Grads-RE PROJ'!F37</f>
        <v>3.8690252164094843E-2</v>
      </c>
      <c r="CK35" s="262">
        <f>+'WICHE Public Grads-RE PROJ'!EA37/'WICHE Public Grads-RE PROJ'!G37</f>
        <v>3.7626262626262626E-2</v>
      </c>
      <c r="CL35" s="267">
        <f>+'WICHE Public Grads-RE PROJ'!EB37/'WICHE Public Grads-RE PROJ'!H37</f>
        <v>3.9093464005188441E-2</v>
      </c>
      <c r="CM35" s="267">
        <f>+'WICHE Public Grads-RE PROJ'!EC37/'WICHE Public Grads-RE PROJ'!I37</f>
        <v>4.0608957337581873E-2</v>
      </c>
      <c r="CN35" s="267">
        <f>+'WICHE Public Grads-RE PROJ'!ED37/'WICHE Public Grads-RE PROJ'!J37</f>
        <v>4.499362030756833E-2</v>
      </c>
      <c r="CO35" s="267">
        <f>+'WICHE Public Grads-RE PROJ'!EE37/'WICHE Public Grads-RE PROJ'!K37</f>
        <v>4.2386185243328101E-2</v>
      </c>
      <c r="CP35" s="262">
        <f>+'WICHE Public Grads-RE PROJ'!EF37/'WICHE Public Grads-RE PROJ'!L37</f>
        <v>4.1183834622668766E-2</v>
      </c>
      <c r="CQ35" s="267">
        <f>+'WICHE Public Grads-RE PROJ'!EG37/'WICHE Public Grads-RE PROJ'!M37</f>
        <v>4.5110013195446039E-2</v>
      </c>
      <c r="CR35" s="267">
        <f>+'WICHE Public Grads-RE PROJ'!EH37/'WICHE Public Grads-RE PROJ'!N37</f>
        <v>4.7484677468292977E-2</v>
      </c>
      <c r="CS35" s="267">
        <f>+'WICHE Public Grads-RE PROJ'!EI37/'WICHE Public Grads-RE PROJ'!O37</f>
        <v>4.8770014109563831E-2</v>
      </c>
      <c r="CT35" s="267">
        <f>+'WICHE Public Grads-RE PROJ'!EJ37/'WICHE Public Grads-RE PROJ'!P37</f>
        <v>5.1367537198246591E-2</v>
      </c>
      <c r="CU35" s="267">
        <f>+'WICHE Public Grads-RE PROJ'!EK37/'WICHE Public Grads-RE PROJ'!Q37</f>
        <v>5.0439514441188785E-2</v>
      </c>
      <c r="CV35" s="267">
        <f>+'WICHE Public Grads-RE PROJ'!EL37/'WICHE Public Grads-RE PROJ'!R37</f>
        <v>5.1818363901685316E-2</v>
      </c>
      <c r="CW35" s="267">
        <f>+'WICHE Public Grads-RE PROJ'!EM37/'WICHE Public Grads-RE PROJ'!S37</f>
        <v>4.8238374409471228E-2</v>
      </c>
      <c r="CX35" s="267">
        <f>+'WICHE Public Grads-RE PROJ'!EN37/'WICHE Public Grads-RE PROJ'!T37</f>
        <v>4.9118860142482193E-2</v>
      </c>
      <c r="CY35" s="267">
        <f>+'WICHE Public Grads-RE PROJ'!EO37/'WICHE Public Grads-RE PROJ'!U37</f>
        <v>5.0632748966875266E-2</v>
      </c>
      <c r="CZ35" s="267">
        <f>+'WICHE Public Grads-RE PROJ'!EP37/'WICHE Public Grads-RE PROJ'!V37</f>
        <v>5.2793249000776282E-2</v>
      </c>
      <c r="DA35" s="267">
        <f>+'WICHE Public Grads-RE PROJ'!EQ37/'WICHE Public Grads-RE PROJ'!W37</f>
        <v>5.3549051212286244E-2</v>
      </c>
      <c r="DB35" s="268">
        <f>+'WICHE Public Grads-RE PROJ'!ER37/'WICHE Public Grads-RE PROJ'!Y37</f>
        <v>5.4165898264153425E-2</v>
      </c>
      <c r="DC35" s="268">
        <f>+'WICHE Public Grads-RE PROJ'!ES37/'WICHE Public Grads-RE PROJ'!Z37</f>
        <v>5.4853975132861992E-2</v>
      </c>
      <c r="DD35" s="268">
        <f>+'WICHE Public Grads-RE PROJ'!ET37/'WICHE Public Grads-RE PROJ'!AA37</f>
        <v>5.3794140869831704E-2</v>
      </c>
      <c r="DE35" s="268">
        <f>+'WICHE Public Grads-RE PROJ'!EU37/'WICHE Public Grads-RE PROJ'!AB37</f>
        <v>5.4323792070523298E-2</v>
      </c>
      <c r="DF35" s="266">
        <f>+'WICHE Public Grads-RE PROJ'!EV37/'WICHE Public Grads-RE PROJ'!AC37</f>
        <v>5.8553904066592513E-2</v>
      </c>
      <c r="DG35" s="266">
        <f>+'WICHE Public Grads-RE PROJ'!EW37/'WICHE Public Grads-RE PROJ'!AD37</f>
        <v>5.75681910171328E-2</v>
      </c>
      <c r="DH35" s="266">
        <f>+'WICHE Public Grads-RE PROJ'!EX37/'WICHE Public Grads-RE PROJ'!AE37</f>
        <v>5.6237683173834464E-2</v>
      </c>
      <c r="DI35" s="266">
        <f>+'WICHE Public Grads-RE PROJ'!EY37/'WICHE Public Grads-RE PROJ'!AF37</f>
        <v>5.9054494869601862E-2</v>
      </c>
      <c r="DJ35" s="266">
        <f>+'WICHE Public Grads-RE PROJ'!EZ37/'WICHE Public Grads-RE PROJ'!AG37</f>
        <v>5.865661354896555E-2</v>
      </c>
      <c r="DK35" s="268">
        <f>+'WICHE Public Grads-RE PROJ'!FA37/'WICHE Public Grads-RE PROJ'!AH37</f>
        <v>5.8100658088373468E-2</v>
      </c>
      <c r="DL35" s="266">
        <f>+'WICHE Public Grads-RE PROJ'!FB37/'WICHE Public Grads-RE PROJ'!AI37</f>
        <v>5.8313305172088686E-2</v>
      </c>
      <c r="DM35" s="266">
        <f>+'WICHE Public Grads-RE PROJ'!FC37/'WICHE Public Grads-RE PROJ'!AJ37</f>
        <v>5.4593508162429805E-2</v>
      </c>
      <c r="DN35" s="266">
        <f>+'WICHE Public Grads-RE PROJ'!FD37/'WICHE Public Grads-RE PROJ'!AK37</f>
        <v>5.7175210201419399E-2</v>
      </c>
      <c r="DO35" s="266">
        <f>+'WICHE Public Grads-RE PROJ'!FE37/'WICHE Public Grads-RE PROJ'!AL37</f>
        <v>5.9546944735901663E-2</v>
      </c>
      <c r="DP35" s="266">
        <f>+'WICHE Public Grads-RE PROJ'!FF37/'WICHE Public Grads-RE PROJ'!AM37</f>
        <v>6.097932161188796E-2</v>
      </c>
      <c r="DQ35" s="266">
        <f>+'WICHE Public Grads-RE PROJ'!FG37/'WICHE Public Grads-RE PROJ'!AN37</f>
        <v>5.9873700508573671E-2</v>
      </c>
      <c r="DR35" s="266">
        <f>+'WICHE Public Grads-RE PROJ'!FH37/'WICHE Public Grads-RE PROJ'!AO37</f>
        <v>6.2002705742378927E-2</v>
      </c>
      <c r="DS35" s="266">
        <f>+'WICHE Public Grads-RE PROJ'!FI37/'WICHE Public Grads-RE PROJ'!AP37</f>
        <v>6.0732138995314884E-2</v>
      </c>
      <c r="DT35" s="282">
        <f>+'WICHE Public Grads-RE PROJ'!FJ37/'WICHE Public Grads-RE PROJ'!AQ37</f>
        <v>6.2423826690909436E-2</v>
      </c>
      <c r="DU35" s="262">
        <f>+'WICHE Public Grads-RE PROJ'!FK37/'WICHE Public Grads-RE PROJ'!B37</f>
        <v>1.4779687808733451E-2</v>
      </c>
      <c r="DV35" s="262">
        <f>+'WICHE Public Grads-RE PROJ'!FL37/'WICHE Public Grads-RE PROJ'!C37</f>
        <v>1.7033572867951791E-2</v>
      </c>
      <c r="DW35" s="262">
        <f>+'WICHE Public Grads-RE PROJ'!FM37/'WICHE Public Grads-RE PROJ'!D37</f>
        <v>1.5111246108284607E-2</v>
      </c>
      <c r="DX35" s="262">
        <f>+'WICHE Public Grads-RE PROJ'!FN37/'WICHE Public Grads-RE PROJ'!E37</f>
        <v>1.034625986481894E-2</v>
      </c>
      <c r="DY35" s="262">
        <f>+'WICHE Public Grads-RE PROJ'!FO37/'WICHE Public Grads-RE PROJ'!F37</f>
        <v>1.7237485886337976E-2</v>
      </c>
      <c r="DZ35" s="262">
        <f>+'WICHE Public Grads-RE PROJ'!FP37/'WICHE Public Grads-RE PROJ'!G37</f>
        <v>1.6738816738816741E-2</v>
      </c>
      <c r="EA35" s="267">
        <f>+'WICHE Public Grads-RE PROJ'!FQ37/'WICHE Public Grads-RE PROJ'!H37</f>
        <v>1.769114361893781E-2</v>
      </c>
      <c r="EB35" s="267">
        <f>+'WICHE Public Grads-RE PROJ'!FR37/'WICHE Public Grads-RE PROJ'!I37</f>
        <v>1.8622765091166577E-2</v>
      </c>
      <c r="EC35" s="267">
        <f>+'WICHE Public Grads-RE PROJ'!FS37/'WICHE Public Grads-RE PROJ'!J37</f>
        <v>1.7426633537035795E-2</v>
      </c>
      <c r="ED35" s="267">
        <f>+'WICHE Public Grads-RE PROJ'!FT37/'WICHE Public Grads-RE PROJ'!K37</f>
        <v>2.017435452085908E-2</v>
      </c>
      <c r="EE35" s="262">
        <f>+'WICHE Public Grads-RE PROJ'!FU37/'WICHE Public Grads-RE PROJ'!L37</f>
        <v>1.9067184540814689E-2</v>
      </c>
      <c r="EF35" s="267">
        <f>+'WICHE Public Grads-RE PROJ'!FV37/'WICHE Public Grads-RE PROJ'!M37</f>
        <v>2.1388897413078835E-2</v>
      </c>
      <c r="EG35" s="267">
        <f>+'WICHE Public Grads-RE PROJ'!FW37/'WICHE Public Grads-RE PROJ'!N37</f>
        <v>2.0996419685660538E-2</v>
      </c>
      <c r="EH35" s="267">
        <f>+'WICHE Public Grads-RE PROJ'!FX37/'WICHE Public Grads-RE PROJ'!O37</f>
        <v>2.1225691675357341E-2</v>
      </c>
      <c r="EI35" s="267">
        <f>+'WICHE Public Grads-RE PROJ'!FY37/'WICHE Public Grads-RE PROJ'!P37</f>
        <v>2.3028955979502375E-2</v>
      </c>
      <c r="EJ35" s="267">
        <f>+'WICHE Public Grads-RE PROJ'!FZ37/'WICHE Public Grads-RE PROJ'!Q37</f>
        <v>2.4098546911439336E-2</v>
      </c>
      <c r="EK35" s="267">
        <f>+'WICHE Public Grads-RE PROJ'!GA37/'WICHE Public Grads-RE PROJ'!R37</f>
        <v>2.3748891241523361E-2</v>
      </c>
      <c r="EL35" s="267">
        <f>+'WICHE Public Grads-RE PROJ'!GB37/'WICHE Public Grads-RE PROJ'!S37</f>
        <v>2.3507314019010756E-2</v>
      </c>
      <c r="EM35" s="267">
        <f>+'WICHE Public Grads-RE PROJ'!GC37/'WICHE Public Grads-RE PROJ'!T37</f>
        <v>2.5756395835135993E-2</v>
      </c>
      <c r="EN35" s="267">
        <f>+'WICHE Public Grads-RE PROJ'!GD37/'WICHE Public Grads-RE PROJ'!U37</f>
        <v>2.5705451826966964E-2</v>
      </c>
      <c r="EO35" s="267">
        <f>+'WICHE Public Grads-RE PROJ'!GE37/'WICHE Public Grads-RE PROJ'!V37</f>
        <v>2.5383464779570361E-2</v>
      </c>
      <c r="EP35" s="267">
        <f>+'WICHE Public Grads-RE PROJ'!GF37/'WICHE Public Grads-RE PROJ'!W37</f>
        <v>2.6357098167548613E-2</v>
      </c>
      <c r="EQ35" s="268">
        <f>+'WICHE Public Grads-RE PROJ'!GG37/'WICHE Public Grads-RE PROJ'!Y37</f>
        <v>2.3575817023226735E-2</v>
      </c>
      <c r="ER35" s="268">
        <f>+'WICHE Public Grads-RE PROJ'!GH37/'WICHE Public Grads-RE PROJ'!Z37</f>
        <v>2.3318545358537834E-2</v>
      </c>
      <c r="ES35" s="268">
        <f>+'WICHE Public Grads-RE PROJ'!GI37/'WICHE Public Grads-RE PROJ'!AA37</f>
        <v>2.2513364678330337E-2</v>
      </c>
      <c r="ET35" s="268">
        <f>+'WICHE Public Grads-RE PROJ'!GJ37/'WICHE Public Grads-RE PROJ'!AB37</f>
        <v>2.3306193087148791E-2</v>
      </c>
      <c r="EU35" s="266">
        <f>+'WICHE Public Grads-RE PROJ'!GK37/'WICHE Public Grads-RE PROJ'!AC37</f>
        <v>2.1986677149809241E-2</v>
      </c>
      <c r="EV35" s="266">
        <f>+'WICHE Public Grads-RE PROJ'!GL37/'WICHE Public Grads-RE PROJ'!AD37</f>
        <v>2.1726946397669342E-2</v>
      </c>
      <c r="EW35" s="266">
        <f>+'WICHE Public Grads-RE PROJ'!GM37/'WICHE Public Grads-RE PROJ'!AE37</f>
        <v>2.0274462727125298E-2</v>
      </c>
      <c r="EX35" s="266">
        <f>+'WICHE Public Grads-RE PROJ'!GN37/'WICHE Public Grads-RE PROJ'!AF37</f>
        <v>2.1110417946345245E-2</v>
      </c>
      <c r="EY35" s="266">
        <f>+'WICHE Public Grads-RE PROJ'!GO37/'WICHE Public Grads-RE PROJ'!AG37</f>
        <v>1.9649533736355817E-2</v>
      </c>
      <c r="EZ35" s="268">
        <f>+'WICHE Public Grads-RE PROJ'!GP37/'WICHE Public Grads-RE PROJ'!AH37</f>
        <v>1.9519777791884577E-2</v>
      </c>
      <c r="FA35" s="266">
        <f>+'WICHE Public Grads-RE PROJ'!GQ37/'WICHE Public Grads-RE PROJ'!AI37</f>
        <v>1.9676593227103956E-2</v>
      </c>
      <c r="FB35" s="266">
        <f>+'WICHE Public Grads-RE PROJ'!GR37/'WICHE Public Grads-RE PROJ'!AJ37</f>
        <v>1.953407574024214E-2</v>
      </c>
      <c r="FC35" s="266">
        <f>+'WICHE Public Grads-RE PROJ'!GS37/'WICHE Public Grads-RE PROJ'!AK37</f>
        <v>2.1743324635737488E-2</v>
      </c>
      <c r="FD35" s="266">
        <f>+'WICHE Public Grads-RE PROJ'!GT37/'WICHE Public Grads-RE PROJ'!AL37</f>
        <v>2.1353544647170947E-2</v>
      </c>
      <c r="FE35" s="266">
        <f>+'WICHE Public Grads-RE PROJ'!GU37/'WICHE Public Grads-RE PROJ'!AM37</f>
        <v>2.2075636498432024E-2</v>
      </c>
      <c r="FF35" s="266">
        <f>+'WICHE Public Grads-RE PROJ'!GV37/'WICHE Public Grads-RE PROJ'!AN37</f>
        <v>2.2504918575431843E-2</v>
      </c>
      <c r="FG35" s="266">
        <f>+'WICHE Public Grads-RE PROJ'!GW37/'WICHE Public Grads-RE PROJ'!AO37</f>
        <v>2.2324424757119932E-2</v>
      </c>
      <c r="FH35" s="266">
        <f>+'WICHE Public Grads-RE PROJ'!GX37/'WICHE Public Grads-RE PROJ'!AP37</f>
        <v>2.2980458912288681E-2</v>
      </c>
      <c r="FI35" s="282">
        <f>+'WICHE Public Grads-RE PROJ'!GY37/'WICHE Public Grads-RE PROJ'!AQ37</f>
        <v>2.3371338129291777E-2</v>
      </c>
      <c r="FJ35" s="262">
        <f>+'WICHE Public Grads-RE PROJ'!GZ37/'WICHE Public Grads-RE PROJ'!B37</f>
        <v>3.0310215372456036E-2</v>
      </c>
      <c r="FK35" s="262">
        <f>+'WICHE Public Grads-RE PROJ'!HA37/'WICHE Public Grads-RE PROJ'!C37</f>
        <v>3.4789551728071175E-2</v>
      </c>
      <c r="FL35" s="262">
        <f>+'WICHE Public Grads-RE PROJ'!HB37/'WICHE Public Grads-RE PROJ'!D37</f>
        <v>3.7702179360619634E-2</v>
      </c>
      <c r="FM35" s="262">
        <f>+'WICHE Public Grads-RE PROJ'!HC37/'WICHE Public Grads-RE PROJ'!E37</f>
        <v>4.0818638371785676E-2</v>
      </c>
      <c r="FN35" s="262">
        <f>+'WICHE Public Grads-RE PROJ'!HD37/'WICHE Public Grads-RE PROJ'!F37</f>
        <v>4.0233345878810688E-2</v>
      </c>
      <c r="FO35" s="262">
        <f>+'WICHE Public Grads-RE PROJ'!HE37/'WICHE Public Grads-RE PROJ'!G37</f>
        <v>4.3326118326118324E-2</v>
      </c>
      <c r="FP35" s="267">
        <f>+'WICHE Public Grads-RE PROJ'!HF37/'WICHE Public Grads-RE PROJ'!H37</f>
        <v>4.6443755855011891E-2</v>
      </c>
      <c r="FQ35" s="267">
        <f>+'WICHE Public Grads-RE PROJ'!HG37/'WICHE Public Grads-RE PROJ'!I37</f>
        <v>4.8893609488405029E-2</v>
      </c>
      <c r="FR35" s="267">
        <f>+'WICHE Public Grads-RE PROJ'!HH37/'WICHE Public Grads-RE PROJ'!J37</f>
        <v>5.355583909744141E-2</v>
      </c>
      <c r="FS35" s="267">
        <f>+'WICHE Public Grads-RE PROJ'!HI37/'WICHE Public Grads-RE PROJ'!K37</f>
        <v>5.4410634957747422E-2</v>
      </c>
      <c r="FT35" s="262">
        <f>+'WICHE Public Grads-RE PROJ'!HJ37/'WICHE Public Grads-RE PROJ'!L37</f>
        <v>6.3878278175456618E-2</v>
      </c>
      <c r="FU35" s="267">
        <f>+'WICHE Public Grads-RE PROJ'!HK37/'WICHE Public Grads-RE PROJ'!M37</f>
        <v>7.3035259459293581E-2</v>
      </c>
      <c r="FV35" s="267">
        <f>+'WICHE Public Grads-RE PROJ'!HL37/'WICHE Public Grads-RE PROJ'!N37</f>
        <v>7.8372474057891856E-2</v>
      </c>
      <c r="FW35" s="267">
        <f>+'WICHE Public Grads-RE PROJ'!HM37/'WICHE Public Grads-RE PROJ'!O37</f>
        <v>8.3338445494141461E-2</v>
      </c>
      <c r="FX35" s="267">
        <f>+'WICHE Public Grads-RE PROJ'!HN37/'WICHE Public Grads-RE PROJ'!P37</f>
        <v>9.6900660616163481E-2</v>
      </c>
      <c r="FY35" s="267">
        <f>+'WICHE Public Grads-RE PROJ'!HO37/'WICHE Public Grads-RE PROJ'!Q37</f>
        <v>9.693236859415176E-2</v>
      </c>
      <c r="FZ35" s="267">
        <f>+'WICHE Public Grads-RE PROJ'!HP37/'WICHE Public Grads-RE PROJ'!R37</f>
        <v>0.11013190649231738</v>
      </c>
      <c r="GA35" s="267">
        <f>+'WICHE Public Grads-RE PROJ'!HQ37/'WICHE Public Grads-RE PROJ'!S37</f>
        <v>0.12095167624793671</v>
      </c>
      <c r="GB35" s="267">
        <f>+'WICHE Public Grads-RE PROJ'!HR37/'WICHE Public Grads-RE PROJ'!T37</f>
        <v>0.1413284877851807</v>
      </c>
      <c r="GC35" s="267">
        <f>+'WICHE Public Grads-RE PROJ'!HS37/'WICHE Public Grads-RE PROJ'!U37</f>
        <v>0.15591970739855426</v>
      </c>
      <c r="GD35" s="267">
        <f>+'WICHE Public Grads-RE PROJ'!HT37/'WICHE Public Grads-RE PROJ'!V37</f>
        <v>0.16210851989142172</v>
      </c>
      <c r="GE35" s="267">
        <f>+'WICHE Public Grads-RE PROJ'!HU37/'WICHE Public Grads-RE PROJ'!W37</f>
        <v>0.17130298828874008</v>
      </c>
      <c r="GF35" s="268">
        <f>+'WICHE Public Grads-RE PROJ'!HV37/'WICHE Public Grads-RE PROJ'!Y37</f>
        <v>0.1757378108531813</v>
      </c>
      <c r="GG35" s="268">
        <f>+'WICHE Public Grads-RE PROJ'!HW37/'WICHE Public Grads-RE PROJ'!Z37</f>
        <v>0.1845068968953355</v>
      </c>
      <c r="GH35" s="268">
        <f>+'WICHE Public Grads-RE PROJ'!HX37/'WICHE Public Grads-RE PROJ'!AA37</f>
        <v>0.19356696497268525</v>
      </c>
      <c r="GI35" s="268">
        <f>+'WICHE Public Grads-RE PROJ'!HY37/'WICHE Public Grads-RE PROJ'!AB37</f>
        <v>0.19664543231488146</v>
      </c>
      <c r="GJ35" s="266">
        <f>+'WICHE Public Grads-RE PROJ'!HZ37/'WICHE Public Grads-RE PROJ'!AC37</f>
        <v>0.20551265642476155</v>
      </c>
      <c r="GK35" s="266">
        <f>+'WICHE Public Grads-RE PROJ'!IA37/'WICHE Public Grads-RE PROJ'!AD37</f>
        <v>0.21518305400346421</v>
      </c>
      <c r="GL35" s="266">
        <f>+'WICHE Public Grads-RE PROJ'!IB37/'WICHE Public Grads-RE PROJ'!AE37</f>
        <v>0.22052168838289155</v>
      </c>
      <c r="GM35" s="266">
        <f>+'WICHE Public Grads-RE PROJ'!IC37/'WICHE Public Grads-RE PROJ'!AF37</f>
        <v>0.22256411388605121</v>
      </c>
      <c r="GN35" s="266">
        <f>+'WICHE Public Grads-RE PROJ'!ID37/'WICHE Public Grads-RE PROJ'!AG37</f>
        <v>0.23042492092759945</v>
      </c>
      <c r="GO35" s="268">
        <f>+'WICHE Public Grads-RE PROJ'!IE37/'WICHE Public Grads-RE PROJ'!AH37</f>
        <v>0.23857380565022826</v>
      </c>
      <c r="GP35" s="266">
        <f>+'WICHE Public Grads-RE PROJ'!IF37/'WICHE Public Grads-RE PROJ'!AI37</f>
        <v>0.24225471149336453</v>
      </c>
      <c r="GQ35" s="266">
        <f>+'WICHE Public Grads-RE PROJ'!IG37/'WICHE Public Grads-RE PROJ'!AJ37</f>
        <v>0.24383378976105061</v>
      </c>
      <c r="GR35" s="266">
        <f>+'WICHE Public Grads-RE PROJ'!IH37/'WICHE Public Grads-RE PROJ'!AK37</f>
        <v>0.25187461620136686</v>
      </c>
      <c r="GS35" s="266">
        <f>+'WICHE Public Grads-RE PROJ'!II37/'WICHE Public Grads-RE PROJ'!AL37</f>
        <v>0.24525707013757975</v>
      </c>
      <c r="GT35" s="266">
        <f>+'WICHE Public Grads-RE PROJ'!IJ37/'WICHE Public Grads-RE PROJ'!AM37</f>
        <v>0.2421699368149334</v>
      </c>
      <c r="GU35" s="266">
        <f>+'WICHE Public Grads-RE PROJ'!IK37/'WICHE Public Grads-RE PROJ'!AN37</f>
        <v>0.23049969379372492</v>
      </c>
      <c r="GV35" s="266">
        <f>+'WICHE Public Grads-RE PROJ'!IL37/'WICHE Public Grads-RE PROJ'!AO37</f>
        <v>0.2261807608961543</v>
      </c>
      <c r="GW35" s="266">
        <f>+'WICHE Public Grads-RE PROJ'!IM37/'WICHE Public Grads-RE PROJ'!AP37</f>
        <v>0.22289965961912292</v>
      </c>
      <c r="GX35" s="282">
        <f>+'WICHE Public Grads-RE PROJ'!IN37/'WICHE Public Grads-RE PROJ'!AQ37</f>
        <v>0.22289366272136613</v>
      </c>
      <c r="GY35" s="262">
        <f>+'WICHE Public Grads-RE PROJ'!IO37/'WICHE Public Grads-RE PROJ'!B37</f>
        <v>0.9043272080616479</v>
      </c>
      <c r="GZ35" s="262">
        <f>+'WICHE Public Grads-RE PROJ'!IP37/'WICHE Public Grads-RE PROJ'!C37</f>
        <v>0.89642979354397168</v>
      </c>
      <c r="HA35" s="262">
        <f>+'WICHE Public Grads-RE PROJ'!IQ37/'WICHE Public Grads-RE PROJ'!D37</f>
        <v>0.89099400106310278</v>
      </c>
      <c r="HB35" s="262">
        <f>+'WICHE Public Grads-RE PROJ'!IR37/'WICHE Public Grads-RE PROJ'!E37</f>
        <v>0.89782124381678818</v>
      </c>
      <c r="HC35" s="262">
        <f>+'WICHE Public Grads-RE PROJ'!IS37/'WICHE Public Grads-RE PROJ'!F37</f>
        <v>0.88919834399698905</v>
      </c>
      <c r="HD35" s="262">
        <f>+'WICHE Public Grads-RE PROJ'!IT37/'WICHE Public Grads-RE PROJ'!G37</f>
        <v>0.88841991341991344</v>
      </c>
      <c r="HE35" s="267">
        <f>+'WICHE Public Grads-RE PROJ'!IU37/'WICHE Public Grads-RE PROJ'!H37</f>
        <v>0.88271960798443472</v>
      </c>
      <c r="HF35" s="267">
        <f>+'WICHE Public Grads-RE PROJ'!IV37/'WICHE Public Grads-RE PROJ'!I37</f>
        <v>0.87746503805983356</v>
      </c>
      <c r="HG35" s="267">
        <f>+'WICHE Public Grads-RE PROJ'!IW37/'WICHE Public Grads-RE PROJ'!J37</f>
        <v>0.868981263850648</v>
      </c>
      <c r="HH35" s="267">
        <f>+'WICHE Public Grads-RE PROJ'!IX37/'WICHE Public Grads-RE PROJ'!K37</f>
        <v>0.86115100704766356</v>
      </c>
      <c r="HI35" s="262">
        <f>+'WICHE Public Grads-RE PROJ'!IY37/'WICHE Public Grads-RE PROJ'!L37</f>
        <v>0.84948480082175071</v>
      </c>
      <c r="HJ35" s="267">
        <f>+'WICHE Public Grads-RE PROJ'!IZ37/'WICHE Public Grads-RE PROJ'!M37</f>
        <v>0.83490348912142875</v>
      </c>
      <c r="HK35" s="267">
        <f>+'WICHE Public Grads-RE PROJ'!JA37/'WICHE Public Grads-RE PROJ'!N37</f>
        <v>0.8186479762121488</v>
      </c>
      <c r="HL35" s="267">
        <f>+'WICHE Public Grads-RE PROJ'!JB37/'WICHE Public Grads-RE PROJ'!O37</f>
        <v>0.81228145512545247</v>
      </c>
      <c r="HM35" s="267">
        <f>+'WICHE Public Grads-RE PROJ'!JC37/'WICHE Public Grads-RE PROJ'!P37</f>
        <v>0.81027350743964932</v>
      </c>
      <c r="HN35" s="267">
        <f>+'WICHE Public Grads-RE PROJ'!JD37/'WICHE Public Grads-RE PROJ'!Q37</f>
        <v>0.78415954075225736</v>
      </c>
      <c r="HO35" s="267">
        <f>+'WICHE Public Grads-RE PROJ'!JE37/'WICHE Public Grads-RE PROJ'!R37</f>
        <v>0.768147872614381</v>
      </c>
      <c r="HP35" s="267">
        <f>+'WICHE Public Grads-RE PROJ'!JF37/'WICHE Public Grads-RE PROJ'!S37</f>
        <v>0.75581991006887128</v>
      </c>
      <c r="HQ35" s="267">
        <f>+'WICHE Public Grads-RE PROJ'!JG37/'WICHE Public Grads-RE PROJ'!T37</f>
        <v>0.74053243344581932</v>
      </c>
      <c r="HR35" s="267">
        <f>+'WICHE Public Grads-RE PROJ'!JH37/'WICHE Public Grads-RE PROJ'!U37</f>
        <v>0.75016621176919962</v>
      </c>
      <c r="HS35" s="267">
        <f>+'WICHE Public Grads-RE PROJ'!JI37/'WICHE Public Grads-RE PROJ'!V37</f>
        <v>0.7432020828664484</v>
      </c>
      <c r="HT35" s="267">
        <f>+'WICHE Public Grads-RE PROJ'!JJ37/'WICHE Public Grads-RE PROJ'!W37</f>
        <v>0.73276274964398835</v>
      </c>
      <c r="HU35" s="268">
        <f>+'WICHE Public Grads-RE PROJ'!JK37/'WICHE Public Grads-RE PROJ'!Y37</f>
        <v>0.72792478065775978</v>
      </c>
      <c r="HV35" s="268">
        <f>+'WICHE Public Grads-RE PROJ'!JL37/'WICHE Public Grads-RE PROJ'!Z37</f>
        <v>0.72487184152750517</v>
      </c>
      <c r="HW35" s="268">
        <f>+'WICHE Public Grads-RE PROJ'!JM37/'WICHE Public Grads-RE PROJ'!AA37</f>
        <v>0.72623095226061851</v>
      </c>
      <c r="HX35" s="268">
        <f>+'WICHE Public Grads-RE PROJ'!JN37/'WICHE Public Grads-RE PROJ'!AB37</f>
        <v>0.72604041420878873</v>
      </c>
      <c r="HY35" s="266">
        <f>+'WICHE Public Grads-RE PROJ'!JO37/'WICHE Public Grads-RE PROJ'!AC37</f>
        <v>0.71910335843120354</v>
      </c>
      <c r="HZ35" s="266">
        <f>+'WICHE Public Grads-RE PROJ'!JP37/'WICHE Public Grads-RE PROJ'!AD37</f>
        <v>0.71655727351792586</v>
      </c>
      <c r="IA35" s="266">
        <f>+'WICHE Public Grads-RE PROJ'!JQ37/'WICHE Public Grads-RE PROJ'!AE37</f>
        <v>0.72055321054583554</v>
      </c>
      <c r="IB35" s="266">
        <f>+'WICHE Public Grads-RE PROJ'!JR37/'WICHE Public Grads-RE PROJ'!AF37</f>
        <v>0.72228714626409263</v>
      </c>
      <c r="IC35" s="266">
        <f>+'WICHE Public Grads-RE PROJ'!JS37/'WICHE Public Grads-RE PROJ'!AG37</f>
        <v>0.722067523893416</v>
      </c>
      <c r="ID35" s="268">
        <f>+'WICHE Public Grads-RE PROJ'!JT37/'WICHE Public Grads-RE PROJ'!AH37</f>
        <v>0.7221494295769989</v>
      </c>
      <c r="IE35" s="266">
        <f>+'WICHE Public Grads-RE PROJ'!JU37/'WICHE Public Grads-RE PROJ'!AI37</f>
        <v>0.72504385890880418</v>
      </c>
      <c r="IF35" s="266">
        <f>+'WICHE Public Grads-RE PROJ'!JV37/'WICHE Public Grads-RE PROJ'!AJ37</f>
        <v>0.73389353986333994</v>
      </c>
      <c r="IG35" s="266">
        <f>+'WICHE Public Grads-RE PROJ'!JW37/'WICHE Public Grads-RE PROJ'!AK37</f>
        <v>0.71345988554642381</v>
      </c>
      <c r="IH35" s="266">
        <f>+'WICHE Public Grads-RE PROJ'!JX37/'WICHE Public Grads-RE PROJ'!AL37</f>
        <v>0.71765245569017511</v>
      </c>
      <c r="II35" s="266">
        <f>+'WICHE Public Grads-RE PROJ'!JY37/'WICHE Public Grads-RE PROJ'!AM37</f>
        <v>0.72016182313995791</v>
      </c>
      <c r="IJ35" s="266">
        <f>+'WICHE Public Grads-RE PROJ'!JZ37/'WICHE Public Grads-RE PROJ'!AN37</f>
        <v>0.72680179993624927</v>
      </c>
      <c r="IK35" s="266">
        <f>+'WICHE Public Grads-RE PROJ'!KA37/'WICHE Public Grads-RE PROJ'!AO37</f>
        <v>0.72864265515532411</v>
      </c>
      <c r="IL35" s="266">
        <f>+'WICHE Public Grads-RE PROJ'!KB37/'WICHE Public Grads-RE PROJ'!AP37</f>
        <v>0.73092089661241333</v>
      </c>
      <c r="IM35" s="282">
        <f>+'WICHE Public Grads-RE PROJ'!KC37/'WICHE Public Grads-RE PROJ'!AQ37</f>
        <v>0.73214515673767799</v>
      </c>
      <c r="IN35" s="278">
        <f t="shared" si="44"/>
        <v>1</v>
      </c>
      <c r="IO35" s="278">
        <f t="shared" si="45"/>
        <v>1</v>
      </c>
      <c r="IP35" s="278">
        <f t="shared" si="46"/>
        <v>1</v>
      </c>
      <c r="IQ35" s="278">
        <f t="shared" si="47"/>
        <v>1</v>
      </c>
      <c r="IR35" s="278">
        <f t="shared" si="48"/>
        <v>1</v>
      </c>
      <c r="IS35" s="278">
        <f t="shared" si="49"/>
        <v>1</v>
      </c>
      <c r="IT35" s="278">
        <f t="shared" si="50"/>
        <v>1</v>
      </c>
      <c r="IU35" s="278">
        <f t="shared" si="51"/>
        <v>1</v>
      </c>
      <c r="IV35" s="278">
        <f t="shared" si="52"/>
        <v>1</v>
      </c>
      <c r="IW35" s="278">
        <f t="shared" si="53"/>
        <v>0.99308594141420881</v>
      </c>
      <c r="IX35" s="278">
        <f t="shared" si="54"/>
        <v>0.98934292042499916</v>
      </c>
      <c r="IY35" s="278">
        <f t="shared" si="55"/>
        <v>0.98996532359529876</v>
      </c>
      <c r="IZ35" s="278">
        <f t="shared" si="56"/>
        <v>0.98291765277019238</v>
      </c>
      <c r="JA35" s="278">
        <f t="shared" si="57"/>
        <v>0.98401938531378441</v>
      </c>
      <c r="JB35" s="278">
        <f t="shared" si="58"/>
        <v>1</v>
      </c>
      <c r="JC35" s="278">
        <f t="shared" si="59"/>
        <v>0.97599114991329305</v>
      </c>
      <c r="JD35" s="278">
        <f t="shared" si="60"/>
        <v>0.97459154768376788</v>
      </c>
      <c r="JE35" s="278">
        <f t="shared" si="61"/>
        <v>0.96823951277818887</v>
      </c>
      <c r="JF35" s="278">
        <f t="shared" si="62"/>
        <v>0.97450318710161232</v>
      </c>
      <c r="JG35" s="278">
        <f t="shared" si="63"/>
        <v>1</v>
      </c>
      <c r="JH35" s="278">
        <f t="shared" si="64"/>
        <v>0.99999999999999989</v>
      </c>
      <c r="JI35" s="278">
        <f t="shared" si="65"/>
        <v>0.99999999999999989</v>
      </c>
      <c r="JJ35" s="278">
        <f t="shared" si="66"/>
        <v>0.99761197594659423</v>
      </c>
      <c r="JK35" s="278">
        <f t="shared" si="67"/>
        <v>1.0030269734821242</v>
      </c>
      <c r="JL35" s="278">
        <f t="shared" si="68"/>
        <v>1.010496478382112</v>
      </c>
      <c r="JM35" s="278">
        <f t="shared" si="69"/>
        <v>1.0150276649857712</v>
      </c>
      <c r="JN35" s="278">
        <f t="shared" si="70"/>
        <v>1.0196067487991936</v>
      </c>
      <c r="JO35" s="278">
        <f t="shared" si="71"/>
        <v>1.0239223744521415</v>
      </c>
      <c r="JP35" s="278">
        <f t="shared" si="72"/>
        <v>1.0299497280325709</v>
      </c>
      <c r="JQ35" s="278">
        <f t="shared" si="73"/>
        <v>1.0367622157399168</v>
      </c>
      <c r="JR35" s="278">
        <f t="shared" si="74"/>
        <v>1.0429314368126221</v>
      </c>
      <c r="JS35" s="278">
        <f t="shared" si="75"/>
        <v>1.0493999216474661</v>
      </c>
      <c r="JT35" s="278">
        <f t="shared" si="76"/>
        <v>1.056200566221261</v>
      </c>
      <c r="JU35" s="278">
        <f t="shared" si="77"/>
        <v>1.062859023694229</v>
      </c>
      <c r="JV35" s="278">
        <f t="shared" si="78"/>
        <v>1.0554496694521802</v>
      </c>
      <c r="JW35" s="278">
        <f t="shared" si="79"/>
        <v>1.0544976422588719</v>
      </c>
      <c r="JX35" s="278">
        <f t="shared" si="80"/>
        <v>1.055417288585212</v>
      </c>
      <c r="JY35" s="278">
        <f t="shared" si="81"/>
        <v>1.0497771314552091</v>
      </c>
      <c r="JZ35" s="278">
        <f t="shared" si="81"/>
        <v>1.0492558493264739</v>
      </c>
      <c r="KA35" s="278">
        <f t="shared" si="81"/>
        <v>1.0482014049752864</v>
      </c>
      <c r="KB35" s="278">
        <f t="shared" si="81"/>
        <v>1.0495424890498064</v>
      </c>
    </row>
    <row r="36" spans="1:288" s="17" customFormat="1">
      <c r="A36" s="175" t="s">
        <v>61</v>
      </c>
      <c r="B36" s="262">
        <f>+'WICHE Public Grads-RE PROJ'!AR38/'WICHE Public Grads-RE PROJ'!B38</f>
        <v>3.283091477591598E-2</v>
      </c>
      <c r="C36" s="262">
        <f>+'WICHE Public Grads-RE PROJ'!AS38/'WICHE Public Grads-RE PROJ'!C38</f>
        <v>3.0954250526924826E-2</v>
      </c>
      <c r="D36" s="262">
        <f>+'WICHE Public Grads-RE PROJ'!AT38/'WICHE Public Grads-RE PROJ'!D38</f>
        <v>3.0408603779300943E-2</v>
      </c>
      <c r="E36" s="262">
        <f>+'WICHE Public Grads-RE PROJ'!AU38/'WICHE Public Grads-RE PROJ'!E38</f>
        <v>2.8586917238886882E-2</v>
      </c>
      <c r="F36" s="262">
        <f>+'WICHE Public Grads-RE PROJ'!AV38/'WICHE Public Grads-RE PROJ'!F38</f>
        <v>2.6661088502643288E-2</v>
      </c>
      <c r="G36" s="262">
        <f>+'WICHE Public Grads-RE PROJ'!AW38/'WICHE Public Grads-RE PROJ'!G38</f>
        <v>2.8550060156732678E-2</v>
      </c>
      <c r="H36" s="267">
        <f>+'WICHE Public Grads-RE PROJ'!AX38/'WICHE Public Grads-RE PROJ'!H38</f>
        <v>3.0844155844155844E-2</v>
      </c>
      <c r="I36" s="267">
        <f>+'WICHE Public Grads-RE PROJ'!AY38/'WICHE Public Grads-RE PROJ'!I38</f>
        <v>3.0911509469816939E-2</v>
      </c>
      <c r="J36" s="267">
        <f>+'WICHE Public Grads-RE PROJ'!AZ38/'WICHE Public Grads-RE PROJ'!J38</f>
        <v>3.2583612811913479E-2</v>
      </c>
      <c r="K36" s="267">
        <f>+'WICHE Public Grads-RE PROJ'!BA38/'WICHE Public Grads-RE PROJ'!K38</f>
        <v>3.5958242041500194E-2</v>
      </c>
      <c r="L36" s="262">
        <f>+'WICHE Public Grads-RE PROJ'!BB38/'WICHE Public Grads-RE PROJ'!L38</f>
        <v>3.7438293078885465E-2</v>
      </c>
      <c r="M36" s="267">
        <f>+'WICHE Public Grads-RE PROJ'!BC38/'WICHE Public Grads-RE PROJ'!M38</f>
        <v>3.8879669455075018E-2</v>
      </c>
      <c r="N36" s="267">
        <f>+'WICHE Public Grads-RE PROJ'!BD38/'WICHE Public Grads-RE PROJ'!N38</f>
        <v>4.0360967869892898E-2</v>
      </c>
      <c r="O36" s="267">
        <f>+'WICHE Public Grads-RE PROJ'!BE38/'WICHE Public Grads-RE PROJ'!O38</f>
        <v>4.0359633755330047E-2</v>
      </c>
      <c r="P36" s="267">
        <f>+'WICHE Public Grads-RE PROJ'!BF38/'WICHE Public Grads-RE PROJ'!P38</f>
        <v>4.0791738382099825E-2</v>
      </c>
      <c r="Q36" s="267">
        <f>+'WICHE Public Grads-RE PROJ'!BG38/'WICHE Public Grads-RE PROJ'!Q38</f>
        <v>4.477295232706182E-2</v>
      </c>
      <c r="R36" s="267">
        <f>+'WICHE Public Grads-RE PROJ'!BH38/'WICHE Public Grads-RE PROJ'!R38</f>
        <v>4.4378173039372318E-2</v>
      </c>
      <c r="S36" s="267">
        <f>+'WICHE Public Grads-RE PROJ'!BI38/'WICHE Public Grads-RE PROJ'!S38</f>
        <v>4.9437021961067522E-2</v>
      </c>
      <c r="T36" s="267">
        <f>+'WICHE Public Grads-RE PROJ'!BJ38/'WICHE Public Grads-RE PROJ'!T38</f>
        <v>4.939487309805915E-2</v>
      </c>
      <c r="U36" s="267">
        <f>+'WICHE Public Grads-RE PROJ'!BK38/'WICHE Public Grads-RE PROJ'!U38</f>
        <v>4.8896467480727075E-2</v>
      </c>
      <c r="V36" s="267">
        <f>+'WICHE Public Grads-RE PROJ'!BL38/'WICHE Public Grads-RE PROJ'!V38</f>
        <v>4.9161165291574785E-2</v>
      </c>
      <c r="W36" s="267">
        <f>+'WICHE Public Grads-RE PROJ'!BM38/'WICHE Public Grads-RE PROJ'!W38</f>
        <v>4.6127573009860375E-2</v>
      </c>
      <c r="X36" s="268">
        <f>+'WICHE Public Grads-RE PROJ'!BN38/'WICHE Public Grads-RE PROJ'!Y38</f>
        <v>4.6382960563032316E-2</v>
      </c>
      <c r="Y36" s="268">
        <f>+'WICHE Public Grads-RE PROJ'!BO38/'WICHE Public Grads-RE PROJ'!Z38</f>
        <v>4.5430573118117615E-2</v>
      </c>
      <c r="Z36" s="268">
        <f>+'WICHE Public Grads-RE PROJ'!BP38/'WICHE Public Grads-RE PROJ'!AA38</f>
        <v>4.49126924612945E-2</v>
      </c>
      <c r="AA36" s="268">
        <f>+'WICHE Public Grads-RE PROJ'!BQ38/'WICHE Public Grads-RE PROJ'!AB38</f>
        <v>4.3594558587320066E-2</v>
      </c>
      <c r="AB36" s="266">
        <f>+'WICHE Public Grads-RE PROJ'!BR38/'WICHE Public Grads-RE PROJ'!AC38</f>
        <v>4.3326754405280721E-2</v>
      </c>
      <c r="AC36" s="266">
        <f>+'WICHE Public Grads-RE PROJ'!BS38/'WICHE Public Grads-RE PROJ'!AD38</f>
        <v>4.0616982903852468E-2</v>
      </c>
      <c r="AD36" s="266">
        <f>+'WICHE Public Grads-RE PROJ'!BT38/'WICHE Public Grads-RE PROJ'!AE38</f>
        <v>4.0133752309756146E-2</v>
      </c>
      <c r="AE36" s="266">
        <f>+'WICHE Public Grads-RE PROJ'!BU38/'WICHE Public Grads-RE PROJ'!AF38</f>
        <v>4.1445132722495545E-2</v>
      </c>
      <c r="AF36" s="266">
        <f>+'WICHE Public Grads-RE PROJ'!BV38/'WICHE Public Grads-RE PROJ'!AG38</f>
        <v>3.948462318332209E-2</v>
      </c>
      <c r="AG36" s="268">
        <f>+'WICHE Public Grads-RE PROJ'!BW38/'WICHE Public Grads-RE PROJ'!AH38</f>
        <v>3.8043771619905679E-2</v>
      </c>
      <c r="AH36" s="266">
        <f>+'WICHE Public Grads-RE PROJ'!BX38/'WICHE Public Grads-RE PROJ'!AI38</f>
        <v>3.5476002027606493E-2</v>
      </c>
      <c r="AI36" s="266">
        <f>+'WICHE Public Grads-RE PROJ'!BY38/'WICHE Public Grads-RE PROJ'!AJ38</f>
        <v>3.6534518201617378E-2</v>
      </c>
      <c r="AJ36" s="266">
        <f>+'WICHE Public Grads-RE PROJ'!BZ38/'WICHE Public Grads-RE PROJ'!AK38</f>
        <v>4.1831238169023781E-2</v>
      </c>
      <c r="AK36" s="266">
        <f>+'WICHE Public Grads-RE PROJ'!CA38/'WICHE Public Grads-RE PROJ'!AL38</f>
        <v>3.737863174096049E-2</v>
      </c>
      <c r="AL36" s="266">
        <f>+'WICHE Public Grads-RE PROJ'!CB38/'WICHE Public Grads-RE PROJ'!AM38</f>
        <v>3.7257894902663985E-2</v>
      </c>
      <c r="AM36" s="266">
        <f>+'WICHE Public Grads-RE PROJ'!CC38/'WICHE Public Grads-RE PROJ'!AN38</f>
        <v>3.6902282742298349E-2</v>
      </c>
      <c r="AN36" s="266">
        <f>+'WICHE Public Grads-RE PROJ'!CD38/'WICHE Public Grads-RE PROJ'!AO38</f>
        <v>3.899652929497565E-2</v>
      </c>
      <c r="AO36" s="266">
        <f>+'WICHE Public Grads-RE PROJ'!CE38/'WICHE Public Grads-RE PROJ'!AP38</f>
        <v>3.9375559112041367E-2</v>
      </c>
      <c r="AP36" s="282">
        <f>+'WICHE Public Grads-RE PROJ'!CF38/'WICHE Public Grads-RE PROJ'!AQ38</f>
        <v>3.9611165906658814E-2</v>
      </c>
      <c r="AQ36" s="262">
        <f>+'WICHE Public Grads-RE PROJ'!CG38/'WICHE Public Grads-RE PROJ'!B38</f>
        <v>1.3990218872765173E-2</v>
      </c>
      <c r="AR36" s="262">
        <f>+'WICHE Public Grads-RE PROJ'!CH38/'WICHE Public Grads-RE PROJ'!C38</f>
        <v>9.7946026366904984E-3</v>
      </c>
      <c r="AS36" s="262">
        <f>+'WICHE Public Grads-RE PROJ'!CI38/'WICHE Public Grads-RE PROJ'!D38</f>
        <v>9.3914492369447499E-3</v>
      </c>
      <c r="AT36" s="262">
        <f>+'WICHE Public Grads-RE PROJ'!CJ38/'WICHE Public Grads-RE PROJ'!E38</f>
        <v>8.3483917600289115E-3</v>
      </c>
      <c r="AU36" s="262">
        <f>+'WICHE Public Grads-RE PROJ'!CK38/'WICHE Public Grads-RE PROJ'!F38</f>
        <v>8.0629825428821366E-3</v>
      </c>
      <c r="AV36" s="262">
        <f>+'WICHE Public Grads-RE PROJ'!CL38/'WICHE Public Grads-RE PROJ'!G38</f>
        <v>8.4869768803043609E-3</v>
      </c>
      <c r="AW36" s="267">
        <f>+'WICHE Public Grads-RE PROJ'!CM38/'WICHE Public Grads-RE PROJ'!H38</f>
        <v>8.9126559714795012E-3</v>
      </c>
      <c r="AX36" s="267">
        <f>+'WICHE Public Grads-RE PROJ'!CN38/'WICHE Public Grads-RE PROJ'!I38</f>
        <v>9.2164439095458288E-3</v>
      </c>
      <c r="AY36" s="267">
        <f>+'WICHE Public Grads-RE PROJ'!CO38/'WICHE Public Grads-RE PROJ'!J38</f>
        <v>1.0091997169317867E-2</v>
      </c>
      <c r="AZ36" s="267">
        <f>+'WICHE Public Grads-RE PROJ'!CP38/'WICHE Public Grads-RE PROJ'!K38</f>
        <v>1.1212785152725866E-2</v>
      </c>
      <c r="BA36" s="262">
        <f>+'WICHE Public Grads-RE PROJ'!CQ38/'WICHE Public Grads-RE PROJ'!L38</f>
        <v>1.0370075870523143E-2</v>
      </c>
      <c r="BB36" s="267">
        <f>+'WICHE Public Grads-RE PROJ'!CR38/'WICHE Public Grads-RE PROJ'!M38</f>
        <v>1.1514884681816643E-2</v>
      </c>
      <c r="BC36" s="267">
        <f>+'WICHE Public Grads-RE PROJ'!CS38/'WICHE Public Grads-RE PROJ'!N38</f>
        <v>1.2461985984397727E-2</v>
      </c>
      <c r="BD36" s="267">
        <f>+'WICHE Public Grads-RE PROJ'!CT38/'WICHE Public Grads-RE PROJ'!O38</f>
        <v>1.2461574058771031E-2</v>
      </c>
      <c r="BE36" s="267">
        <f>+'WICHE Public Grads-RE PROJ'!CU38/'WICHE Public Grads-RE PROJ'!P38</f>
        <v>1.1738382099827882E-2</v>
      </c>
      <c r="BF36" s="267">
        <f>+'WICHE Public Grads-RE PROJ'!CV38/'WICHE Public Grads-RE PROJ'!Q38</f>
        <v>1.3792615645777337E-2</v>
      </c>
      <c r="BG36" s="267">
        <f>+'WICHE Public Grads-RE PROJ'!CW38/'WICHE Public Grads-RE PROJ'!R38</f>
        <v>1.3561969680832179E-2</v>
      </c>
      <c r="BH36" s="267">
        <f>+'WICHE Public Grads-RE PROJ'!CX38/'WICHE Public Grads-RE PROJ'!S38</f>
        <v>1.3787217279978991E-2</v>
      </c>
      <c r="BI36" s="267">
        <f>+'WICHE Public Grads-RE PROJ'!CY38/'WICHE Public Grads-RE PROJ'!T38</f>
        <v>1.4040214732695911E-2</v>
      </c>
      <c r="BJ36" s="267">
        <f>+'WICHE Public Grads-RE PROJ'!CZ38/'WICHE Public Grads-RE PROJ'!U38</f>
        <v>1.2605842139307722E-2</v>
      </c>
      <c r="BK36" s="267">
        <f>+'WICHE Public Grads-RE PROJ'!DA38/'WICHE Public Grads-RE PROJ'!V38</f>
        <v>1.2829866746110573E-2</v>
      </c>
      <c r="BL36" s="267">
        <f>+'WICHE Public Grads-RE PROJ'!DB38/'WICHE Public Grads-RE PROJ'!W38</f>
        <v>1.1415102533668203E-2</v>
      </c>
      <c r="BM36" s="268">
        <f>+'WICHE Public Grads-RE PROJ'!DC38/'WICHE Public Grads-RE PROJ'!Y38</f>
        <v>1.113661420861905E-2</v>
      </c>
      <c r="BN36" s="268">
        <f>+'WICHE Public Grads-RE PROJ'!DD38/'WICHE Public Grads-RE PROJ'!Z38</f>
        <v>1.0973472952831255E-2</v>
      </c>
      <c r="BO36" s="268">
        <f>+'WICHE Public Grads-RE PROJ'!DE38/'WICHE Public Grads-RE PROJ'!AA38</f>
        <v>1.0635665257046761E-2</v>
      </c>
      <c r="BP36" s="268">
        <f>+'WICHE Public Grads-RE PROJ'!DF38/'WICHE Public Grads-RE PROJ'!AB38</f>
        <v>9.801580234518022E-3</v>
      </c>
      <c r="BQ36" s="266">
        <f>+'WICHE Public Grads-RE PROJ'!DG38/'WICHE Public Grads-RE PROJ'!AC38</f>
        <v>9.4825659117267497E-3</v>
      </c>
      <c r="BR36" s="266">
        <f>+'WICHE Public Grads-RE PROJ'!DH38/'WICHE Public Grads-RE PROJ'!AD38</f>
        <v>9.2701010175708452E-3</v>
      </c>
      <c r="BS36" s="266">
        <f>+'WICHE Public Grads-RE PROJ'!DI38/'WICHE Public Grads-RE PROJ'!AE38</f>
        <v>8.5207265886000916E-3</v>
      </c>
      <c r="BT36" s="266">
        <f>+'WICHE Public Grads-RE PROJ'!DJ38/'WICHE Public Grads-RE PROJ'!AF38</f>
        <v>8.5866139391204375E-3</v>
      </c>
      <c r="BU36" s="266">
        <f>+'WICHE Public Grads-RE PROJ'!DK38/'WICHE Public Grads-RE PROJ'!AG38</f>
        <v>7.6459030052975427E-3</v>
      </c>
      <c r="BV36" s="268">
        <f>+'WICHE Public Grads-RE PROJ'!DL38/'WICHE Public Grads-RE PROJ'!AH38</f>
        <v>7.1833169121302094E-3</v>
      </c>
      <c r="BW36" s="266">
        <f>+'WICHE Public Grads-RE PROJ'!DM38/'WICHE Public Grads-RE PROJ'!AI38</f>
        <v>6.9578951142699906E-3</v>
      </c>
      <c r="BX36" s="266">
        <f>+'WICHE Public Grads-RE PROJ'!DN38/'WICHE Public Grads-RE PROJ'!AJ38</f>
        <v>7.1714940755653843E-3</v>
      </c>
      <c r="BY36" s="266">
        <f>+'WICHE Public Grads-RE PROJ'!DO38/'WICHE Public Grads-RE PROJ'!AK38</f>
        <v>7.4300475404829331E-3</v>
      </c>
      <c r="BZ36" s="266">
        <f>+'WICHE Public Grads-RE PROJ'!DP38/'WICHE Public Grads-RE PROJ'!AL38</f>
        <v>6.9151973558543708E-3</v>
      </c>
      <c r="CA36" s="266">
        <f>+'WICHE Public Grads-RE PROJ'!DQ38/'WICHE Public Grads-RE PROJ'!AM38</f>
        <v>6.4990222443732761E-3</v>
      </c>
      <c r="CB36" s="266">
        <f>+'WICHE Public Grads-RE PROJ'!DR38/'WICHE Public Grads-RE PROJ'!AN38</f>
        <v>6.3080137782743221E-3</v>
      </c>
      <c r="CC36" s="266">
        <f>+'WICHE Public Grads-RE PROJ'!DS38/'WICHE Public Grads-RE PROJ'!AO38</f>
        <v>6.6534018126651936E-3</v>
      </c>
      <c r="CD36" s="266">
        <f>+'WICHE Public Grads-RE PROJ'!DT38/'WICHE Public Grads-RE PROJ'!AP38</f>
        <v>6.4893719719927466E-3</v>
      </c>
      <c r="CE36" s="282">
        <f>+'WICHE Public Grads-RE PROJ'!DU38/'WICHE Public Grads-RE PROJ'!AQ38</f>
        <v>6.2250270299840475E-3</v>
      </c>
      <c r="CF36" s="262">
        <f>+'WICHE Public Grads-RE PROJ'!DV38/'WICHE Public Grads-RE PROJ'!B38</f>
        <v>1.8840695903150805E-2</v>
      </c>
      <c r="CG36" s="262">
        <f>+'WICHE Public Grads-RE PROJ'!DW38/'WICHE Public Grads-RE PROJ'!C38</f>
        <v>2.1159647890234327E-2</v>
      </c>
      <c r="CH36" s="262">
        <f>+'WICHE Public Grads-RE PROJ'!DX38/'WICHE Public Grads-RE PROJ'!D38</f>
        <v>2.1017154542356194E-2</v>
      </c>
      <c r="CI36" s="262">
        <f>+'WICHE Public Grads-RE PROJ'!DY38/'WICHE Public Grads-RE PROJ'!E38</f>
        <v>2.0238525478857967E-2</v>
      </c>
      <c r="CJ36" s="262">
        <f>+'WICHE Public Grads-RE PROJ'!DZ38/'WICHE Public Grads-RE PROJ'!F38</f>
        <v>1.8598105959761153E-2</v>
      </c>
      <c r="CK36" s="262">
        <f>+'WICHE Public Grads-RE PROJ'!EA38/'WICHE Public Grads-RE PROJ'!G38</f>
        <v>2.0063083276428317E-2</v>
      </c>
      <c r="CL36" s="267">
        <f>+'WICHE Public Grads-RE PROJ'!EB38/'WICHE Public Grads-RE PROJ'!H38</f>
        <v>2.1931499872676345E-2</v>
      </c>
      <c r="CM36" s="267">
        <f>+'WICHE Public Grads-RE PROJ'!EC38/'WICHE Public Grads-RE PROJ'!I38</f>
        <v>2.169506556027111E-2</v>
      </c>
      <c r="CN36" s="267">
        <f>+'WICHE Public Grads-RE PROJ'!ED38/'WICHE Public Grads-RE PROJ'!J38</f>
        <v>2.2491615642595612E-2</v>
      </c>
      <c r="CO36" s="267">
        <f>+'WICHE Public Grads-RE PROJ'!EE38/'WICHE Public Grads-RE PROJ'!K38</f>
        <v>2.4745456888774327E-2</v>
      </c>
      <c r="CP36" s="262">
        <f>+'WICHE Public Grads-RE PROJ'!EF38/'WICHE Public Grads-RE PROJ'!L38</f>
        <v>2.7068217208362323E-2</v>
      </c>
      <c r="CQ36" s="267">
        <f>+'WICHE Public Grads-RE PROJ'!EG38/'WICHE Public Grads-RE PROJ'!M38</f>
        <v>2.7364784773258374E-2</v>
      </c>
      <c r="CR36" s="267">
        <f>+'WICHE Public Grads-RE PROJ'!EH38/'WICHE Public Grads-RE PROJ'!N38</f>
        <v>2.7898981885495173E-2</v>
      </c>
      <c r="CS36" s="267">
        <f>+'WICHE Public Grads-RE PROJ'!EI38/'WICHE Public Grads-RE PROJ'!O38</f>
        <v>2.7898059696559018E-2</v>
      </c>
      <c r="CT36" s="267">
        <f>+'WICHE Public Grads-RE PROJ'!EJ38/'WICHE Public Grads-RE PROJ'!P38</f>
        <v>2.9053356282271944E-2</v>
      </c>
      <c r="CU36" s="267">
        <f>+'WICHE Public Grads-RE PROJ'!EK38/'WICHE Public Grads-RE PROJ'!Q38</f>
        <v>3.0980336681284481E-2</v>
      </c>
      <c r="CV36" s="267">
        <f>+'WICHE Public Grads-RE PROJ'!EL38/'WICHE Public Grads-RE PROJ'!R38</f>
        <v>3.0816203358540135E-2</v>
      </c>
      <c r="CW36" s="267">
        <f>+'WICHE Public Grads-RE PROJ'!EM38/'WICHE Public Grads-RE PROJ'!S38</f>
        <v>3.5649804681088533E-2</v>
      </c>
      <c r="CX36" s="267">
        <f>+'WICHE Public Grads-RE PROJ'!EN38/'WICHE Public Grads-RE PROJ'!T38</f>
        <v>3.5354658365363237E-2</v>
      </c>
      <c r="CY36" s="267">
        <f>+'WICHE Public Grads-RE PROJ'!EO38/'WICHE Public Grads-RE PROJ'!U38</f>
        <v>3.6290625341419351E-2</v>
      </c>
      <c r="CZ36" s="267">
        <f>+'WICHE Public Grads-RE PROJ'!EP38/'WICHE Public Grads-RE PROJ'!V38</f>
        <v>3.6331298545464207E-2</v>
      </c>
      <c r="DA36" s="267">
        <f>+'WICHE Public Grads-RE PROJ'!EQ38/'WICHE Public Grads-RE PROJ'!W38</f>
        <v>3.4712470476192171E-2</v>
      </c>
      <c r="DB36" s="268">
        <f>+'WICHE Public Grads-RE PROJ'!ER38/'WICHE Public Grads-RE PROJ'!Y38</f>
        <v>3.5246346354413267E-2</v>
      </c>
      <c r="DC36" s="268">
        <f>+'WICHE Public Grads-RE PROJ'!ES38/'WICHE Public Grads-RE PROJ'!Z38</f>
        <v>3.4457100165286358E-2</v>
      </c>
      <c r="DD36" s="268">
        <f>+'WICHE Public Grads-RE PROJ'!ET38/'WICHE Public Grads-RE PROJ'!AA38</f>
        <v>3.4277027204247731E-2</v>
      </c>
      <c r="DE36" s="268">
        <f>+'WICHE Public Grads-RE PROJ'!EU38/'WICHE Public Grads-RE PROJ'!AB38</f>
        <v>3.3792978352802046E-2</v>
      </c>
      <c r="DF36" s="266">
        <f>+'WICHE Public Grads-RE PROJ'!EV38/'WICHE Public Grads-RE PROJ'!AC38</f>
        <v>3.3844188493553973E-2</v>
      </c>
      <c r="DG36" s="266">
        <f>+'WICHE Public Grads-RE PROJ'!EW38/'WICHE Public Grads-RE PROJ'!AD38</f>
        <v>3.1346881886281618E-2</v>
      </c>
      <c r="DH36" s="266">
        <f>+'WICHE Public Grads-RE PROJ'!EX38/'WICHE Public Grads-RE PROJ'!AE38</f>
        <v>3.1613025721156061E-2</v>
      </c>
      <c r="DI36" s="266">
        <f>+'WICHE Public Grads-RE PROJ'!EY38/'WICHE Public Grads-RE PROJ'!AF38</f>
        <v>3.2858518783375111E-2</v>
      </c>
      <c r="DJ36" s="266">
        <f>+'WICHE Public Grads-RE PROJ'!EZ38/'WICHE Public Grads-RE PROJ'!AG38</f>
        <v>3.1838720178024554E-2</v>
      </c>
      <c r="DK36" s="268">
        <f>+'WICHE Public Grads-RE PROJ'!FA38/'WICHE Public Grads-RE PROJ'!AH38</f>
        <v>3.0860454707775473E-2</v>
      </c>
      <c r="DL36" s="266">
        <f>+'WICHE Public Grads-RE PROJ'!FB38/'WICHE Public Grads-RE PROJ'!AI38</f>
        <v>2.8518106913336502E-2</v>
      </c>
      <c r="DM36" s="266">
        <f>+'WICHE Public Grads-RE PROJ'!FC38/'WICHE Public Grads-RE PROJ'!AJ38</f>
        <v>2.9363024126051997E-2</v>
      </c>
      <c r="DN36" s="266">
        <f>+'WICHE Public Grads-RE PROJ'!FD38/'WICHE Public Grads-RE PROJ'!AK38</f>
        <v>3.4401190628540849E-2</v>
      </c>
      <c r="DO36" s="266">
        <f>+'WICHE Public Grads-RE PROJ'!FE38/'WICHE Public Grads-RE PROJ'!AL38</f>
        <v>3.0463434385106115E-2</v>
      </c>
      <c r="DP36" s="266">
        <f>+'WICHE Public Grads-RE PROJ'!FF38/'WICHE Public Grads-RE PROJ'!AM38</f>
        <v>3.0758872658290713E-2</v>
      </c>
      <c r="DQ36" s="266">
        <f>+'WICHE Public Grads-RE PROJ'!FG38/'WICHE Public Grads-RE PROJ'!AN38</f>
        <v>3.0594268964024028E-2</v>
      </c>
      <c r="DR36" s="266">
        <f>+'WICHE Public Grads-RE PROJ'!FH38/'WICHE Public Grads-RE PROJ'!AO38</f>
        <v>3.2343127482310455E-2</v>
      </c>
      <c r="DS36" s="266">
        <f>+'WICHE Public Grads-RE PROJ'!FI38/'WICHE Public Grads-RE PROJ'!AP38</f>
        <v>3.2886187140048616E-2</v>
      </c>
      <c r="DT36" s="282">
        <f>+'WICHE Public Grads-RE PROJ'!FJ38/'WICHE Public Grads-RE PROJ'!AQ38</f>
        <v>3.3386138876674763E-2</v>
      </c>
      <c r="DU36" s="262">
        <f>+'WICHE Public Grads-RE PROJ'!FK38/'WICHE Public Grads-RE PROJ'!B38</f>
        <v>4.3293513990218871E-3</v>
      </c>
      <c r="DV36" s="262">
        <f>+'WICHE Public Grads-RE PROJ'!FL38/'WICHE Public Grads-RE PROJ'!C38</f>
        <v>3.5541596065627968E-3</v>
      </c>
      <c r="DW36" s="262">
        <f>+'WICHE Public Grads-RE PROJ'!FM38/'WICHE Public Grads-RE PROJ'!D38</f>
        <v>3.4839247169311167E-3</v>
      </c>
      <c r="DX36" s="262">
        <f>+'WICHE Public Grads-RE PROJ'!FN38/'WICHE Public Grads-RE PROJ'!E38</f>
        <v>3.2526201662450307E-3</v>
      </c>
      <c r="DY36" s="262">
        <f>+'WICHE Public Grads-RE PROJ'!FO38/'WICHE Public Grads-RE PROJ'!F38</f>
        <v>3.5750960331647208E-3</v>
      </c>
      <c r="DZ36" s="262">
        <f>+'WICHE Public Grads-RE PROJ'!FP38/'WICHE Public Grads-RE PROJ'!G38</f>
        <v>4.3247813221474326E-3</v>
      </c>
      <c r="EA36" s="267">
        <f>+'WICHE Public Grads-RE PROJ'!FQ38/'WICHE Public Grads-RE PROJ'!H38</f>
        <v>4.0743570155334858E-3</v>
      </c>
      <c r="EB36" s="267">
        <f>+'WICHE Public Grads-RE PROJ'!FR38/'WICHE Public Grads-RE PROJ'!I38</f>
        <v>4.3073414834990812E-3</v>
      </c>
      <c r="EC36" s="267">
        <f>+'WICHE Public Grads-RE PROJ'!FS38/'WICHE Public Grads-RE PROJ'!J38</f>
        <v>5.1690717208701274E-3</v>
      </c>
      <c r="ED36" s="267">
        <f>+'WICHE Public Grads-RE PROJ'!FT38/'WICHE Public Grads-RE PROJ'!K38</f>
        <v>5.9285990462688487E-3</v>
      </c>
      <c r="EE36" s="262">
        <f>+'WICHE Public Grads-RE PROJ'!FU38/'WICHE Public Grads-RE PROJ'!L38</f>
        <v>5.698572043865752E-3</v>
      </c>
      <c r="EF36" s="267">
        <f>+'WICHE Public Grads-RE PROJ'!FV38/'WICHE Public Grads-RE PROJ'!M38</f>
        <v>6.8750635012022896E-3</v>
      </c>
      <c r="EG36" s="267">
        <f>+'WICHE Public Grads-RE PROJ'!FW38/'WICHE Public Grads-RE PROJ'!N38</f>
        <v>7.2061351315615496E-3</v>
      </c>
      <c r="EH36" s="267">
        <f>+'WICHE Public Grads-RE PROJ'!FX38/'WICHE Public Grads-RE PROJ'!O38</f>
        <v>7.2058969358410737E-3</v>
      </c>
      <c r="EI36" s="267">
        <f>+'WICHE Public Grads-RE PROJ'!FY38/'WICHE Public Grads-RE PROJ'!P38</f>
        <v>7.9518072289156624E-3</v>
      </c>
      <c r="EJ36" s="267">
        <f>+'WICHE Public Grads-RE PROJ'!FZ38/'WICHE Public Grads-RE PROJ'!Q38</f>
        <v>8.169472344037346E-3</v>
      </c>
      <c r="EK36" s="267">
        <f>+'WICHE Public Grads-RE PROJ'!GA38/'WICHE Public Grads-RE PROJ'!R38</f>
        <v>8.130081300813009E-3</v>
      </c>
      <c r="EL36" s="267">
        <f>+'WICHE Public Grads-RE PROJ'!GB38/'WICHE Public Grads-RE PROJ'!S38</f>
        <v>1.1292387486458983E-2</v>
      </c>
      <c r="EM36" s="267">
        <f>+'WICHE Public Grads-RE PROJ'!GC38/'WICHE Public Grads-RE PROJ'!T38</f>
        <v>1.1657825354976017E-2</v>
      </c>
      <c r="EN36" s="267">
        <f>+'WICHE Public Grads-RE PROJ'!GD38/'WICHE Public Grads-RE PROJ'!U38</f>
        <v>1.1748670979780398E-2</v>
      </c>
      <c r="EO36" s="267">
        <f>+'WICHE Public Grads-RE PROJ'!GE38/'WICHE Public Grads-RE PROJ'!V38</f>
        <v>1.2205275082374619E-2</v>
      </c>
      <c r="EP36" s="267">
        <f>+'WICHE Public Grads-RE PROJ'!GF38/'WICHE Public Grads-RE PROJ'!W38</f>
        <v>1.2286275431548106E-2</v>
      </c>
      <c r="EQ36" s="268">
        <f>+'WICHE Public Grads-RE PROJ'!GG38/'WICHE Public Grads-RE PROJ'!Y38</f>
        <v>1.1637688504172452E-2</v>
      </c>
      <c r="ER36" s="268">
        <f>+'WICHE Public Grads-RE PROJ'!GH38/'WICHE Public Grads-RE PROJ'!Z38</f>
        <v>1.0913049814199088E-2</v>
      </c>
      <c r="ES36" s="268">
        <f>+'WICHE Public Grads-RE PROJ'!GI38/'WICHE Public Grads-RE PROJ'!AA38</f>
        <v>1.1166207464549957E-2</v>
      </c>
      <c r="ET36" s="268">
        <f>+'WICHE Public Grads-RE PROJ'!GJ38/'WICHE Public Grads-RE PROJ'!AB38</f>
        <v>1.1763656412430554E-2</v>
      </c>
      <c r="EU36" s="266">
        <f>+'WICHE Public Grads-RE PROJ'!GK38/'WICHE Public Grads-RE PROJ'!AC38</f>
        <v>1.0927648738784924E-2</v>
      </c>
      <c r="EV36" s="266">
        <f>+'WICHE Public Grads-RE PROJ'!GL38/'WICHE Public Grads-RE PROJ'!AD38</f>
        <v>1.1679246305531202E-2</v>
      </c>
      <c r="EW36" s="266">
        <f>+'WICHE Public Grads-RE PROJ'!GM38/'WICHE Public Grads-RE PROJ'!AE38</f>
        <v>1.1342534899808509E-2</v>
      </c>
      <c r="EX36" s="266">
        <f>+'WICHE Public Grads-RE PROJ'!GN38/'WICHE Public Grads-RE PROJ'!AF38</f>
        <v>1.0278951700304718E-2</v>
      </c>
      <c r="EY36" s="266">
        <f>+'WICHE Public Grads-RE PROJ'!GO38/'WICHE Public Grads-RE PROJ'!AG38</f>
        <v>9.8144552893301776E-3</v>
      </c>
      <c r="EZ36" s="268">
        <f>+'WICHE Public Grads-RE PROJ'!GP38/'WICHE Public Grads-RE PROJ'!AH38</f>
        <v>9.3638400024713131E-3</v>
      </c>
      <c r="FA36" s="266">
        <f>+'WICHE Public Grads-RE PROJ'!GQ38/'WICHE Public Grads-RE PROJ'!AI38</f>
        <v>9.2114773558565517E-3</v>
      </c>
      <c r="FB36" s="266">
        <f>+'WICHE Public Grads-RE PROJ'!GR38/'WICHE Public Grads-RE PROJ'!AJ38</f>
        <v>8.9359274662242725E-3</v>
      </c>
      <c r="FC36" s="266">
        <f>+'WICHE Public Grads-RE PROJ'!GS38/'WICHE Public Grads-RE PROJ'!AK38</f>
        <v>1.1187023290498107E-2</v>
      </c>
      <c r="FD36" s="266">
        <f>+'WICHE Public Grads-RE PROJ'!GT38/'WICHE Public Grads-RE PROJ'!AL38</f>
        <v>1.1134211412403066E-2</v>
      </c>
      <c r="FE36" s="266">
        <f>+'WICHE Public Grads-RE PROJ'!GU38/'WICHE Public Grads-RE PROJ'!AM38</f>
        <v>1.189773414901656E-2</v>
      </c>
      <c r="FF36" s="266">
        <f>+'WICHE Public Grads-RE PROJ'!GV38/'WICHE Public Grads-RE PROJ'!AN38</f>
        <v>1.1630241866454363E-2</v>
      </c>
      <c r="FG36" s="266">
        <f>+'WICHE Public Grads-RE PROJ'!GW38/'WICHE Public Grads-RE PROJ'!AO38</f>
        <v>1.0199767048932152E-2</v>
      </c>
      <c r="FH36" s="266">
        <f>+'WICHE Public Grads-RE PROJ'!GX38/'WICHE Public Grads-RE PROJ'!AP38</f>
        <v>1.1685061454763347E-2</v>
      </c>
      <c r="FI36" s="282">
        <f>+'WICHE Public Grads-RE PROJ'!GY38/'WICHE Public Grads-RE PROJ'!AQ38</f>
        <v>1.191789849479619E-2</v>
      </c>
      <c r="FJ36" s="262">
        <f>+'WICHE Public Grads-RE PROJ'!GZ38/'WICHE Public Grads-RE PROJ'!B38</f>
        <v>2.8020524332558326E-2</v>
      </c>
      <c r="FK36" s="262">
        <f>+'WICHE Public Grads-RE PROJ'!HA38/'WICHE Public Grads-RE PROJ'!C38</f>
        <v>2.8309294540645534E-2</v>
      </c>
      <c r="FL36" s="262">
        <f>+'WICHE Public Grads-RE PROJ'!HB38/'WICHE Public Grads-RE PROJ'!D38</f>
        <v>2.8022872723141592E-2</v>
      </c>
      <c r="FM36" s="262">
        <f>+'WICHE Public Grads-RE PROJ'!HC38/'WICHE Public Grads-RE PROJ'!E38</f>
        <v>2.6599204915070472E-2</v>
      </c>
      <c r="FN36" s="262">
        <f>+'WICHE Public Grads-RE PROJ'!HD38/'WICHE Public Grads-RE PROJ'!F38</f>
        <v>2.7840109534857185E-2</v>
      </c>
      <c r="FO36" s="262">
        <f>+'WICHE Public Grads-RE PROJ'!HE38/'WICHE Public Grads-RE PROJ'!G38</f>
        <v>3.1541638214157966E-2</v>
      </c>
      <c r="FP36" s="267">
        <f>+'WICHE Public Grads-RE PROJ'!HF38/'WICHE Public Grads-RE PROJ'!H38</f>
        <v>3.4154570919276803E-2</v>
      </c>
      <c r="FQ36" s="267">
        <f>+'WICHE Public Grads-RE PROJ'!HG38/'WICHE Public Grads-RE PROJ'!I38</f>
        <v>3.908278963704314E-2</v>
      </c>
      <c r="FR36" s="267">
        <f>+'WICHE Public Grads-RE PROJ'!HH38/'WICHE Public Grads-RE PROJ'!J38</f>
        <v>4.1506415187225011E-2</v>
      </c>
      <c r="FS36" s="267">
        <f>+'WICHE Public Grads-RE PROJ'!HI38/'WICHE Public Grads-RE PROJ'!K38</f>
        <v>4.9200927954633329E-2</v>
      </c>
      <c r="FT36" s="262">
        <f>+'WICHE Public Grads-RE PROJ'!HJ38/'WICHE Public Grads-RE PROJ'!L38</f>
        <v>5.214856044793427E-2</v>
      </c>
      <c r="FU36" s="267">
        <f>+'WICHE Public Grads-RE PROJ'!HK38/'WICHE Public Grads-RE PROJ'!M38</f>
        <v>5.384901954143665E-2</v>
      </c>
      <c r="FV36" s="267">
        <f>+'WICHE Public Grads-RE PROJ'!HL38/'WICHE Public Grads-RE PROJ'!N38</f>
        <v>6.0756313632156549E-2</v>
      </c>
      <c r="FW36" s="267">
        <f>+'WICHE Public Grads-RE PROJ'!HM38/'WICHE Public Grads-RE PROJ'!O38</f>
        <v>6.0754305358146299E-2</v>
      </c>
      <c r="FX36" s="267">
        <f>+'WICHE Public Grads-RE PROJ'!HN38/'WICHE Public Grads-RE PROJ'!P38</f>
        <v>6.9569707401032702E-2</v>
      </c>
      <c r="FY36" s="267">
        <f>+'WICHE Public Grads-RE PROJ'!HO38/'WICHE Public Grads-RE PROJ'!Q38</f>
        <v>7.4267930400339507E-2</v>
      </c>
      <c r="FZ36" s="267">
        <f>+'WICHE Public Grads-RE PROJ'!HP38/'WICHE Public Grads-RE PROJ'!R38</f>
        <v>7.324173678418007E-2</v>
      </c>
      <c r="GA36" s="267">
        <f>+'WICHE Public Grads-RE PROJ'!HQ38/'WICHE Public Grads-RE PROJ'!S38</f>
        <v>8.8861898040245538E-2</v>
      </c>
      <c r="GB36" s="267">
        <f>+'WICHE Public Grads-RE PROJ'!HR38/'WICHE Public Grads-RE PROJ'!T38</f>
        <v>9.8345033512277247E-2</v>
      </c>
      <c r="GC36" s="267">
        <f>+'WICHE Public Grads-RE PROJ'!HS38/'WICHE Public Grads-RE PROJ'!U38</f>
        <v>0.10667573167573167</v>
      </c>
      <c r="GD36" s="267">
        <f>+'WICHE Public Grads-RE PROJ'!HT38/'WICHE Public Grads-RE PROJ'!V38</f>
        <v>0.11936322495747344</v>
      </c>
      <c r="GE36" s="267">
        <f>+'WICHE Public Grads-RE PROJ'!HU38/'WICHE Public Grads-RE PROJ'!W38</f>
        <v>0.12354607364551316</v>
      </c>
      <c r="GF36" s="268">
        <f>+'WICHE Public Grads-RE PROJ'!HV38/'WICHE Public Grads-RE PROJ'!Y38</f>
        <v>0.12392049927646032</v>
      </c>
      <c r="GG36" s="268">
        <f>+'WICHE Public Grads-RE PROJ'!HW38/'WICHE Public Grads-RE PROJ'!Z38</f>
        <v>0.12691526056874636</v>
      </c>
      <c r="GH36" s="268">
        <f>+'WICHE Public Grads-RE PROJ'!HX38/'WICHE Public Grads-RE PROJ'!AA38</f>
        <v>0.13186527962179068</v>
      </c>
      <c r="GI36" s="268">
        <f>+'WICHE Public Grads-RE PROJ'!HY38/'WICHE Public Grads-RE PROJ'!AB38</f>
        <v>0.13469643048101787</v>
      </c>
      <c r="GJ36" s="266">
        <f>+'WICHE Public Grads-RE PROJ'!HZ38/'WICHE Public Grads-RE PROJ'!AC38</f>
        <v>0.13783369084724975</v>
      </c>
      <c r="GK36" s="266">
        <f>+'WICHE Public Grads-RE PROJ'!IA38/'WICHE Public Grads-RE PROJ'!AD38</f>
        <v>0.14122805952278228</v>
      </c>
      <c r="GL36" s="266">
        <f>+'WICHE Public Grads-RE PROJ'!IB38/'WICHE Public Grads-RE PROJ'!AE38</f>
        <v>0.14615985627548528</v>
      </c>
      <c r="GM36" s="266">
        <f>+'WICHE Public Grads-RE PROJ'!IC38/'WICHE Public Grads-RE PROJ'!AF38</f>
        <v>0.14946401383240371</v>
      </c>
      <c r="GN36" s="266">
        <f>+'WICHE Public Grads-RE PROJ'!ID38/'WICHE Public Grads-RE PROJ'!AG38</f>
        <v>0.14889374958195653</v>
      </c>
      <c r="GO36" s="268">
        <f>+'WICHE Public Grads-RE PROJ'!IE38/'WICHE Public Grads-RE PROJ'!AH38</f>
        <v>0.14957713743528747</v>
      </c>
      <c r="GP36" s="266">
        <f>+'WICHE Public Grads-RE PROJ'!IF38/'WICHE Public Grads-RE PROJ'!AI38</f>
        <v>0.14963080862183417</v>
      </c>
      <c r="GQ36" s="266">
        <f>+'WICHE Public Grads-RE PROJ'!IG38/'WICHE Public Grads-RE PROJ'!AJ38</f>
        <v>0.15567255728983015</v>
      </c>
      <c r="GR36" s="266">
        <f>+'WICHE Public Grads-RE PROJ'!IH38/'WICHE Public Grads-RE PROJ'!AK38</f>
        <v>0.16926516304660541</v>
      </c>
      <c r="GS36" s="266">
        <f>+'WICHE Public Grads-RE PROJ'!II38/'WICHE Public Grads-RE PROJ'!AL38</f>
        <v>0.16234330830656138</v>
      </c>
      <c r="GT36" s="266">
        <f>+'WICHE Public Grads-RE PROJ'!IJ38/'WICHE Public Grads-RE PROJ'!AM38</f>
        <v>0.15250278372883952</v>
      </c>
      <c r="GU36" s="266">
        <f>+'WICHE Public Grads-RE PROJ'!IK38/'WICHE Public Grads-RE PROJ'!AN38</f>
        <v>0.14750781633197785</v>
      </c>
      <c r="GV36" s="266">
        <f>+'WICHE Public Grads-RE PROJ'!IL38/'WICHE Public Grads-RE PROJ'!AO38</f>
        <v>0.14600134818885194</v>
      </c>
      <c r="GW36" s="266">
        <f>+'WICHE Public Grads-RE PROJ'!IM38/'WICHE Public Grads-RE PROJ'!AP38</f>
        <v>0.1493887589384956</v>
      </c>
      <c r="GX36" s="282">
        <f>+'WICHE Public Grads-RE PROJ'!IN38/'WICHE Public Grads-RE PROJ'!AQ38</f>
        <v>0.14996142610109417</v>
      </c>
      <c r="GY36" s="262">
        <f>+'WICHE Public Grads-RE PROJ'!IO38/'WICHE Public Grads-RE PROJ'!B38</f>
        <v>0.93481920949250386</v>
      </c>
      <c r="GZ36" s="262">
        <f>+'WICHE Public Grads-RE PROJ'!IP38/'WICHE Public Grads-RE PROJ'!C38</f>
        <v>0.93718229532586683</v>
      </c>
      <c r="HA36" s="262">
        <f>+'WICHE Public Grads-RE PROJ'!IQ38/'WICHE Public Grads-RE PROJ'!D38</f>
        <v>0.93808459878062633</v>
      </c>
      <c r="HB36" s="262">
        <f>+'WICHE Public Grads-RE PROJ'!IR38/'WICHE Public Grads-RE PROJ'!E38</f>
        <v>0.94156125767979759</v>
      </c>
      <c r="HC36" s="262">
        <f>+'WICHE Public Grads-RE PROJ'!IS38/'WICHE Public Grads-RE PROJ'!F38</f>
        <v>0.94192370592933483</v>
      </c>
      <c r="HD36" s="262">
        <f>+'WICHE Public Grads-RE PROJ'!IT38/'WICHE Public Grads-RE PROJ'!G38</f>
        <v>0.9355835203069619</v>
      </c>
      <c r="HE36" s="267">
        <f>+'WICHE Public Grads-RE PROJ'!IU38/'WICHE Public Grads-RE PROJ'!H38</f>
        <v>0.93092691622103385</v>
      </c>
      <c r="HF36" s="267">
        <f>+'WICHE Public Grads-RE PROJ'!IV38/'WICHE Public Grads-RE PROJ'!I38</f>
        <v>0.92569835940964085</v>
      </c>
      <c r="HG36" s="267">
        <f>+'WICHE Public Grads-RE PROJ'!IW38/'WICHE Public Grads-RE PROJ'!J38</f>
        <v>0.92074090027999134</v>
      </c>
      <c r="HH36" s="267">
        <f>+'WICHE Public Grads-RE PROJ'!IX38/'WICHE Public Grads-RE PROJ'!K38</f>
        <v>0.90891223095759766</v>
      </c>
      <c r="HI36" s="262">
        <f>+'WICHE Public Grads-RE PROJ'!IY38/'WICHE Public Grads-RE PROJ'!L38</f>
        <v>0.90471457442931447</v>
      </c>
      <c r="HJ36" s="267">
        <f>+'WICHE Public Grads-RE PROJ'!IZ38/'WICHE Public Grads-RE PROJ'!M38</f>
        <v>0.89934636095776743</v>
      </c>
      <c r="HK36" s="267">
        <f>+'WICHE Public Grads-RE PROJ'!JA38/'WICHE Public Grads-RE PROJ'!N38</f>
        <v>0.891676583366389</v>
      </c>
      <c r="HL36" s="267">
        <f>+'WICHE Public Grads-RE PROJ'!JB38/'WICHE Public Grads-RE PROJ'!O38</f>
        <v>0.89168016395068261</v>
      </c>
      <c r="HM36" s="267">
        <f>+'WICHE Public Grads-RE PROJ'!JC38/'WICHE Public Grads-RE PROJ'!P38</f>
        <v>0.88037865748709121</v>
      </c>
      <c r="HN36" s="267">
        <f>+'WICHE Public Grads-RE PROJ'!JD38/'WICHE Public Grads-RE PROJ'!Q38</f>
        <v>0.87278964492856137</v>
      </c>
      <c r="HO36" s="267">
        <f>+'WICHE Public Grads-RE PROJ'!JE38/'WICHE Public Grads-RE PROJ'!R38</f>
        <v>0.87155181595484077</v>
      </c>
      <c r="HP36" s="267">
        <f>+'WICHE Public Grads-RE PROJ'!JF38/'WICHE Public Grads-RE PROJ'!S38</f>
        <v>0.84696188819223317</v>
      </c>
      <c r="HQ36" s="267">
        <f>+'WICHE Public Grads-RE PROJ'!JG38/'WICHE Public Grads-RE PROJ'!T38</f>
        <v>0.83723515771417678</v>
      </c>
      <c r="HR36" s="267">
        <f>+'WICHE Public Grads-RE PROJ'!JH38/'WICHE Public Grads-RE PROJ'!U38</f>
        <v>0.8326791298637608</v>
      </c>
      <c r="HS36" s="267">
        <f>+'WICHE Public Grads-RE PROJ'!JI38/'WICHE Public Grads-RE PROJ'!V38</f>
        <v>0.81927033466857713</v>
      </c>
      <c r="HT36" s="267">
        <f>+'WICHE Public Grads-RE PROJ'!JJ38/'WICHE Public Grads-RE PROJ'!W38</f>
        <v>0.81804007791307842</v>
      </c>
      <c r="HU36" s="268">
        <f>+'WICHE Public Grads-RE PROJ'!JK38/'WICHE Public Grads-RE PROJ'!Y38</f>
        <v>0.81366292831766374</v>
      </c>
      <c r="HV36" s="268">
        <f>+'WICHE Public Grads-RE PROJ'!JL38/'WICHE Public Grads-RE PROJ'!Z38</f>
        <v>0.812619009218984</v>
      </c>
      <c r="HW36" s="268">
        <f>+'WICHE Public Grads-RE PROJ'!JM38/'WICHE Public Grads-RE PROJ'!AA38</f>
        <v>0.80874153126879622</v>
      </c>
      <c r="HX36" s="268">
        <f>+'WICHE Public Grads-RE PROJ'!JN38/'WICHE Public Grads-RE PROJ'!AB38</f>
        <v>0.80747515821399207</v>
      </c>
      <c r="HY36" s="266">
        <f>+'WICHE Public Grads-RE PROJ'!JO38/'WICHE Public Grads-RE PROJ'!AC38</f>
        <v>0.80555647779465323</v>
      </c>
      <c r="HZ36" s="266">
        <f>+'WICHE Public Grads-RE PROJ'!JP38/'WICHE Public Grads-RE PROJ'!AD38</f>
        <v>0.80343518642883649</v>
      </c>
      <c r="IA36" s="266">
        <f>+'WICHE Public Grads-RE PROJ'!JQ38/'WICHE Public Grads-RE PROJ'!AE38</f>
        <v>0.79967788779713989</v>
      </c>
      <c r="IB36" s="266">
        <f>+'WICHE Public Grads-RE PROJ'!JR38/'WICHE Public Grads-RE PROJ'!AF38</f>
        <v>0.79706112218947078</v>
      </c>
      <c r="IC36" s="266">
        <f>+'WICHE Public Grads-RE PROJ'!JS38/'WICHE Public Grads-RE PROJ'!AG38</f>
        <v>0.80165592379618389</v>
      </c>
      <c r="ID36" s="268">
        <f>+'WICHE Public Grads-RE PROJ'!JT38/'WICHE Public Grads-RE PROJ'!AH38</f>
        <v>0.80412038076821402</v>
      </c>
      <c r="IE36" s="266">
        <f>+'WICHE Public Grads-RE PROJ'!JU38/'WICHE Public Grads-RE PROJ'!AI38</f>
        <v>0.80833597976039984</v>
      </c>
      <c r="IF36" s="266">
        <f>+'WICHE Public Grads-RE PROJ'!JV38/'WICHE Public Grads-RE PROJ'!AJ38</f>
        <v>0.80205784070586494</v>
      </c>
      <c r="IG36" s="266">
        <f>+'WICHE Public Grads-RE PROJ'!JW38/'WICHE Public Grads-RE PROJ'!AK38</f>
        <v>0.78212089019185127</v>
      </c>
      <c r="IH36" s="266">
        <f>+'WICHE Public Grads-RE PROJ'!JX38/'WICHE Public Grads-RE PROJ'!AL38</f>
        <v>0.79352130740249049</v>
      </c>
      <c r="II36" s="266">
        <f>+'WICHE Public Grads-RE PROJ'!JY38/'WICHE Public Grads-RE PROJ'!AM38</f>
        <v>0.80267117800182886</v>
      </c>
      <c r="IJ36" s="266">
        <f>+'WICHE Public Grads-RE PROJ'!JZ38/'WICHE Public Grads-RE PROJ'!AN38</f>
        <v>0.80862893705837491</v>
      </c>
      <c r="IK36" s="266">
        <f>+'WICHE Public Grads-RE PROJ'!KA38/'WICHE Public Grads-RE PROJ'!AO38</f>
        <v>0.78758232424304464</v>
      </c>
      <c r="IL36" s="266">
        <f>+'WICHE Public Grads-RE PROJ'!KB38/'WICHE Public Grads-RE PROJ'!AP38</f>
        <v>0.78244368023526911</v>
      </c>
      <c r="IM36" s="282">
        <f>+'WICHE Public Grads-RE PROJ'!KC38/'WICHE Public Grads-RE PROJ'!AQ38</f>
        <v>0.78003893461462981</v>
      </c>
      <c r="IN36" s="278">
        <f t="shared" si="44"/>
        <v>1</v>
      </c>
      <c r="IO36" s="278">
        <f t="shared" si="45"/>
        <v>1</v>
      </c>
      <c r="IP36" s="278">
        <f t="shared" si="46"/>
        <v>1</v>
      </c>
      <c r="IQ36" s="278">
        <f t="shared" si="47"/>
        <v>1</v>
      </c>
      <c r="IR36" s="278">
        <f t="shared" si="48"/>
        <v>1</v>
      </c>
      <c r="IS36" s="278">
        <f t="shared" si="49"/>
        <v>1</v>
      </c>
      <c r="IT36" s="278">
        <f t="shared" si="50"/>
        <v>1</v>
      </c>
      <c r="IU36" s="278">
        <f t="shared" si="51"/>
        <v>1</v>
      </c>
      <c r="IV36" s="278">
        <f t="shared" si="52"/>
        <v>1</v>
      </c>
      <c r="IW36" s="278">
        <f t="shared" si="53"/>
        <v>1</v>
      </c>
      <c r="IX36" s="278">
        <f t="shared" si="54"/>
        <v>1</v>
      </c>
      <c r="IY36" s="278">
        <f t="shared" si="55"/>
        <v>0.99895011345548135</v>
      </c>
      <c r="IZ36" s="278">
        <f t="shared" si="56"/>
        <v>1</v>
      </c>
      <c r="JA36" s="278">
        <f t="shared" si="57"/>
        <v>1</v>
      </c>
      <c r="JB36" s="278">
        <f t="shared" si="58"/>
        <v>0.99869191049913941</v>
      </c>
      <c r="JC36" s="278">
        <f t="shared" si="59"/>
        <v>1</v>
      </c>
      <c r="JD36" s="278">
        <f t="shared" si="60"/>
        <v>0.99730180707920613</v>
      </c>
      <c r="JE36" s="278">
        <f t="shared" si="61"/>
        <v>0.99655319568000522</v>
      </c>
      <c r="JF36" s="278">
        <f t="shared" si="62"/>
        <v>0.99663288967948915</v>
      </c>
      <c r="JG36" s="278">
        <f t="shared" si="63"/>
        <v>1</v>
      </c>
      <c r="JH36" s="278">
        <f t="shared" si="64"/>
        <v>1</v>
      </c>
      <c r="JI36" s="278">
        <f t="shared" si="65"/>
        <v>1</v>
      </c>
      <c r="JJ36" s="278">
        <f t="shared" si="66"/>
        <v>0.99560407666132877</v>
      </c>
      <c r="JK36" s="278">
        <f t="shared" si="67"/>
        <v>0.99587789272004712</v>
      </c>
      <c r="JL36" s="278">
        <f t="shared" si="68"/>
        <v>0.99668571081643131</v>
      </c>
      <c r="JM36" s="278">
        <f t="shared" si="69"/>
        <v>0.99752980369476063</v>
      </c>
      <c r="JN36" s="278">
        <f t="shared" si="70"/>
        <v>0.99764457178596855</v>
      </c>
      <c r="JO36" s="278">
        <f t="shared" si="71"/>
        <v>0.99695947516100247</v>
      </c>
      <c r="JP36" s="278">
        <f t="shared" si="72"/>
        <v>0.99731403128218976</v>
      </c>
      <c r="JQ36" s="278">
        <f t="shared" si="73"/>
        <v>0.99824922044467479</v>
      </c>
      <c r="JR36" s="278">
        <f t="shared" si="74"/>
        <v>0.99984875185079269</v>
      </c>
      <c r="JS36" s="278">
        <f t="shared" si="75"/>
        <v>1.0011051298258784</v>
      </c>
      <c r="JT36" s="278">
        <f t="shared" si="76"/>
        <v>1.0026542677656971</v>
      </c>
      <c r="JU36" s="278">
        <f t="shared" si="77"/>
        <v>1.0032008436635367</v>
      </c>
      <c r="JV36" s="278">
        <f t="shared" si="78"/>
        <v>1.0044043146979786</v>
      </c>
      <c r="JW36" s="278">
        <f t="shared" si="79"/>
        <v>1.0043774588624155</v>
      </c>
      <c r="JX36" s="278">
        <f t="shared" si="80"/>
        <v>1.0043295907823488</v>
      </c>
      <c r="JY36" s="278">
        <f t="shared" si="81"/>
        <v>1.0046692779991055</v>
      </c>
      <c r="JZ36" s="278">
        <f t="shared" si="81"/>
        <v>0.98277996877580431</v>
      </c>
      <c r="KA36" s="278">
        <f t="shared" si="81"/>
        <v>0.9828930597405694</v>
      </c>
      <c r="KB36" s="278">
        <f t="shared" si="81"/>
        <v>0.981529425117179</v>
      </c>
    </row>
    <row r="37" spans="1:288" s="17" customFormat="1">
      <c r="A37" s="173" t="s">
        <v>62</v>
      </c>
      <c r="B37" s="262">
        <f>+'WICHE Public Grads-RE PROJ'!AR39/'WICHE Public Grads-RE PROJ'!B39</f>
        <v>0.10488540786307461</v>
      </c>
      <c r="C37" s="262">
        <f>+'WICHE Public Grads-RE PROJ'!AS39/'WICHE Public Grads-RE PROJ'!C39</f>
        <v>0.10488540786307461</v>
      </c>
      <c r="D37" s="262">
        <f>+'WICHE Public Grads-RE PROJ'!AT39/'WICHE Public Grads-RE PROJ'!D39</f>
        <v>0.10488540786307461</v>
      </c>
      <c r="E37" s="262">
        <f>+'WICHE Public Grads-RE PROJ'!AU39/'WICHE Public Grads-RE PROJ'!E39</f>
        <v>0.1048854078630746</v>
      </c>
      <c r="F37" s="262">
        <f>+'WICHE Public Grads-RE PROJ'!AV39/'WICHE Public Grads-RE PROJ'!F39</f>
        <v>0.10488540786307461</v>
      </c>
      <c r="G37" s="262">
        <f>+'WICHE Public Grads-RE PROJ'!AW39/'WICHE Public Grads-RE PROJ'!G39</f>
        <v>0.10488480691352284</v>
      </c>
      <c r="H37" s="267">
        <f>+'WICHE Public Grads-RE PROJ'!AX39/'WICHE Public Grads-RE PROJ'!H39</f>
        <v>0.10488468273780692</v>
      </c>
      <c r="I37" s="267">
        <f>+'WICHE Public Grads-RE PROJ'!AY39/'WICHE Public Grads-RE PROJ'!I39</f>
        <v>0.10487567216427876</v>
      </c>
      <c r="J37" s="267">
        <f>+'WICHE Public Grads-RE PROJ'!AZ39/'WICHE Public Grads-RE PROJ'!J39</f>
        <v>0.10488211396229036</v>
      </c>
      <c r="K37" s="267">
        <f>+'WICHE Public Grads-RE PROJ'!BA39/'WICHE Public Grads-RE PROJ'!K39</f>
        <v>0.10426462845627349</v>
      </c>
      <c r="L37" s="262">
        <f>+'WICHE Public Grads-RE PROJ'!BB39/'WICHE Public Grads-RE PROJ'!L39</f>
        <v>0.10546895096979987</v>
      </c>
      <c r="M37" s="267">
        <f>+'WICHE Public Grads-RE PROJ'!BC39/'WICHE Public Grads-RE PROJ'!M39</f>
        <v>0.10492264416315049</v>
      </c>
      <c r="N37" s="267">
        <f>+'WICHE Public Grads-RE PROJ'!BD39/'WICHE Public Grads-RE PROJ'!N39</f>
        <v>0.10498743349544669</v>
      </c>
      <c r="O37" s="267">
        <f>+'WICHE Public Grads-RE PROJ'!BE39/'WICHE Public Grads-RE PROJ'!O39</f>
        <v>0.10454381772350804</v>
      </c>
      <c r="P37" s="267">
        <f>+'WICHE Public Grads-RE PROJ'!BF39/'WICHE Public Grads-RE PROJ'!P39</f>
        <v>0.10833208775513593</v>
      </c>
      <c r="Q37" s="267">
        <f>+'WICHE Public Grads-RE PROJ'!BG39/'WICHE Public Grads-RE PROJ'!Q39</f>
        <v>0.11096957054823968</v>
      </c>
      <c r="R37" s="267">
        <f>+'WICHE Public Grads-RE PROJ'!BH39/'WICHE Public Grads-RE PROJ'!R39</f>
        <v>0.10896551724137932</v>
      </c>
      <c r="S37" s="267">
        <f>+'WICHE Public Grads-RE PROJ'!BI39/'WICHE Public Grads-RE PROJ'!S39</f>
        <v>0.11275571983939837</v>
      </c>
      <c r="T37" s="267">
        <f>+'WICHE Public Grads-RE PROJ'!BJ39/'WICHE Public Grads-RE PROJ'!T39</f>
        <v>0.11098325409563031</v>
      </c>
      <c r="U37" s="267">
        <f>+'WICHE Public Grads-RE PROJ'!BK39/'WICHE Public Grads-RE PROJ'!U39</f>
        <v>0.1037332896766569</v>
      </c>
      <c r="V37" s="267">
        <f>+'WICHE Public Grads-RE PROJ'!BL39/'WICHE Public Grads-RE PROJ'!V39</f>
        <v>0.10824266636094852</v>
      </c>
      <c r="W37" s="267">
        <f>+'WICHE Public Grads-RE PROJ'!BM39/'WICHE Public Grads-RE PROJ'!W39</f>
        <v>0.10569982986744084</v>
      </c>
      <c r="X37" s="268">
        <f>+'WICHE Public Grads-RE PROJ'!BN39/'WICHE Public Grads-RE PROJ'!Y39</f>
        <v>0.10676391814416471</v>
      </c>
      <c r="Y37" s="268">
        <f>+'WICHE Public Grads-RE PROJ'!BO39/'WICHE Public Grads-RE PROJ'!Z39</f>
        <v>0.10656391750550251</v>
      </c>
      <c r="Z37" s="268">
        <f>+'WICHE Public Grads-RE PROJ'!BP39/'WICHE Public Grads-RE PROJ'!AA39</f>
        <v>0.10359558354308908</v>
      </c>
      <c r="AA37" s="268">
        <f>+'WICHE Public Grads-RE PROJ'!BQ39/'WICHE Public Grads-RE PROJ'!AB39</f>
        <v>0.10146084606274962</v>
      </c>
      <c r="AB37" s="266">
        <f>+'WICHE Public Grads-RE PROJ'!BR39/'WICHE Public Grads-RE PROJ'!AC39</f>
        <v>0.10454299933444483</v>
      </c>
      <c r="AC37" s="266">
        <f>+'WICHE Public Grads-RE PROJ'!BS39/'WICHE Public Grads-RE PROJ'!AD39</f>
        <v>0.10542969812713086</v>
      </c>
      <c r="AD37" s="266">
        <f>+'WICHE Public Grads-RE PROJ'!BT39/'WICHE Public Grads-RE PROJ'!AE39</f>
        <v>0.10651534172699266</v>
      </c>
      <c r="AE37" s="266">
        <f>+'WICHE Public Grads-RE PROJ'!BU39/'WICHE Public Grads-RE PROJ'!AF39</f>
        <v>0.1065640982979033</v>
      </c>
      <c r="AF37" s="266">
        <f>+'WICHE Public Grads-RE PROJ'!BV39/'WICHE Public Grads-RE PROJ'!AG39</f>
        <v>0.10723140469937582</v>
      </c>
      <c r="AG37" s="268">
        <f>+'WICHE Public Grads-RE PROJ'!BW39/'WICHE Public Grads-RE PROJ'!AH39</f>
        <v>0.10569395255600608</v>
      </c>
      <c r="AH37" s="266">
        <f>+'WICHE Public Grads-RE PROJ'!BX39/'WICHE Public Grads-RE PROJ'!AI39</f>
        <v>9.9551807797642763E-2</v>
      </c>
      <c r="AI37" s="266">
        <f>+'WICHE Public Grads-RE PROJ'!BY39/'WICHE Public Grads-RE PROJ'!AJ39</f>
        <v>0.10006588849291145</v>
      </c>
      <c r="AJ37" s="266">
        <f>+'WICHE Public Grads-RE PROJ'!BZ39/'WICHE Public Grads-RE PROJ'!AK39</f>
        <v>0.10991436786480938</v>
      </c>
      <c r="AK37" s="266">
        <f>+'WICHE Public Grads-RE PROJ'!CA39/'WICHE Public Grads-RE PROJ'!AL39</f>
        <v>0.10930422196599762</v>
      </c>
      <c r="AL37" s="266">
        <f>+'WICHE Public Grads-RE PROJ'!CB39/'WICHE Public Grads-RE PROJ'!AM39</f>
        <v>0.10960709573076723</v>
      </c>
      <c r="AM37" s="266">
        <f>+'WICHE Public Grads-RE PROJ'!CC39/'WICHE Public Grads-RE PROJ'!AN39</f>
        <v>0.10861670096928483</v>
      </c>
      <c r="AN37" s="266">
        <f>+'WICHE Public Grads-RE PROJ'!CD39/'WICHE Public Grads-RE PROJ'!AO39</f>
        <v>0.11611659952148662</v>
      </c>
      <c r="AO37" s="266">
        <f>+'WICHE Public Grads-RE PROJ'!CE39/'WICHE Public Grads-RE PROJ'!AP39</f>
        <v>0.1160909591667843</v>
      </c>
      <c r="AP37" s="282">
        <f>+'WICHE Public Grads-RE PROJ'!CF39/'WICHE Public Grads-RE PROJ'!AQ39</f>
        <v>0.11985965408650719</v>
      </c>
      <c r="AQ37" s="262">
        <f>+'WICHE Public Grads-RE PROJ'!CG39/'WICHE Public Grads-RE PROJ'!B39</f>
        <v>1.9274749608698571E-2</v>
      </c>
      <c r="AR37" s="262">
        <f>+'WICHE Public Grads-RE PROJ'!CH39/'WICHE Public Grads-RE PROJ'!C39</f>
        <v>1.9274749608698571E-2</v>
      </c>
      <c r="AS37" s="262">
        <f>+'WICHE Public Grads-RE PROJ'!CI39/'WICHE Public Grads-RE PROJ'!D39</f>
        <v>1.9274749608698571E-2</v>
      </c>
      <c r="AT37" s="262">
        <f>+'WICHE Public Grads-RE PROJ'!CJ39/'WICHE Public Grads-RE PROJ'!E39</f>
        <v>1.9274749608698571E-2</v>
      </c>
      <c r="AU37" s="262">
        <f>+'WICHE Public Grads-RE PROJ'!CK39/'WICHE Public Grads-RE PROJ'!F39</f>
        <v>1.9274749608698571E-2</v>
      </c>
      <c r="AV37" s="262">
        <f>+'WICHE Public Grads-RE PROJ'!CL39/'WICHE Public Grads-RE PROJ'!G39</f>
        <v>1.927958301846577E-2</v>
      </c>
      <c r="AW37" s="267">
        <f>+'WICHE Public Grads-RE PROJ'!CM39/'WICHE Public Grads-RE PROJ'!H39</f>
        <v>1.9281642386079958E-2</v>
      </c>
      <c r="AX37" s="267">
        <f>+'WICHE Public Grads-RE PROJ'!CN39/'WICHE Public Grads-RE PROJ'!I39</f>
        <v>1.9271716770724312E-2</v>
      </c>
      <c r="AY37" s="267">
        <f>+'WICHE Public Grads-RE PROJ'!CO39/'WICHE Public Grads-RE PROJ'!J39</f>
        <v>1.9271502482725095E-2</v>
      </c>
      <c r="AZ37" s="267">
        <f>+'WICHE Public Grads-RE PROJ'!CP39/'WICHE Public Grads-RE PROJ'!K39</f>
        <v>1.9389626186888401E-2</v>
      </c>
      <c r="BA37" s="262">
        <f>+'WICHE Public Grads-RE PROJ'!CQ39/'WICHE Public Grads-RE PROJ'!L39</f>
        <v>1.9207353672548919E-2</v>
      </c>
      <c r="BB37" s="267">
        <f>+'WICHE Public Grads-RE PROJ'!CR39/'WICHE Public Grads-RE PROJ'!M39</f>
        <v>1.9227268966658394E-2</v>
      </c>
      <c r="BC37" s="267">
        <f>+'WICHE Public Grads-RE PROJ'!CS39/'WICHE Public Grads-RE PROJ'!N39</f>
        <v>2.0726572445082744E-2</v>
      </c>
      <c r="BD37" s="267">
        <f>+'WICHE Public Grads-RE PROJ'!CT39/'WICHE Public Grads-RE PROJ'!O39</f>
        <v>2.0443906111893149E-2</v>
      </c>
      <c r="BE37" s="267">
        <f>+'WICHE Public Grads-RE PROJ'!CU39/'WICHE Public Grads-RE PROJ'!P39</f>
        <v>1.9431019879428031E-2</v>
      </c>
      <c r="BF37" s="267">
        <f>+'WICHE Public Grads-RE PROJ'!CV39/'WICHE Public Grads-RE PROJ'!Q39</f>
        <v>2.0270377860225154E-2</v>
      </c>
      <c r="BG37" s="267">
        <f>+'WICHE Public Grads-RE PROJ'!CW39/'WICHE Public Grads-RE PROJ'!R39</f>
        <v>1.9780933062880323E-2</v>
      </c>
      <c r="BH37" s="267">
        <f>+'WICHE Public Grads-RE PROJ'!CX39/'WICHE Public Grads-RE PROJ'!S39</f>
        <v>1.9390096233509655E-2</v>
      </c>
      <c r="BI37" s="267">
        <f>+'WICHE Public Grads-RE PROJ'!CY39/'WICHE Public Grads-RE PROJ'!T39</f>
        <v>2.1757562910698604E-2</v>
      </c>
      <c r="BJ37" s="267">
        <f>+'WICHE Public Grads-RE PROJ'!CZ39/'WICHE Public Grads-RE PROJ'!U39</f>
        <v>1.4611028544309384E-2</v>
      </c>
      <c r="BK37" s="267">
        <f>+'WICHE Public Grads-RE PROJ'!DA39/'WICHE Public Grads-RE PROJ'!V39</f>
        <v>1.3871917863227641E-2</v>
      </c>
      <c r="BL37" s="267">
        <f>+'WICHE Public Grads-RE PROJ'!DB39/'WICHE Public Grads-RE PROJ'!W39</f>
        <v>1.1997081579450347E-2</v>
      </c>
      <c r="BM37" s="268">
        <f>+'WICHE Public Grads-RE PROJ'!DC39/'WICHE Public Grads-RE PROJ'!Y39</f>
        <v>1.2686417645972911E-2</v>
      </c>
      <c r="BN37" s="268">
        <f>+'WICHE Public Grads-RE PROJ'!DD39/'WICHE Public Grads-RE PROJ'!Z39</f>
        <v>1.2061373182730243E-2</v>
      </c>
      <c r="BO37" s="268">
        <f>+'WICHE Public Grads-RE PROJ'!DE39/'WICHE Public Grads-RE PROJ'!AA39</f>
        <v>1.0918738145834659E-2</v>
      </c>
      <c r="BP37" s="268">
        <f>+'WICHE Public Grads-RE PROJ'!DF39/'WICHE Public Grads-RE PROJ'!AB39</f>
        <v>1.0290562656225464E-2</v>
      </c>
      <c r="BQ37" s="266">
        <f>+'WICHE Public Grads-RE PROJ'!DG39/'WICHE Public Grads-RE PROJ'!AC39</f>
        <v>9.3660966867188077E-3</v>
      </c>
      <c r="BR37" s="266">
        <f>+'WICHE Public Grads-RE PROJ'!DH39/'WICHE Public Grads-RE PROJ'!AD39</f>
        <v>8.6894955616590146E-3</v>
      </c>
      <c r="BS37" s="266">
        <f>+'WICHE Public Grads-RE PROJ'!DI39/'WICHE Public Grads-RE PROJ'!AE39</f>
        <v>7.9023439906288143E-3</v>
      </c>
      <c r="BT37" s="266">
        <f>+'WICHE Public Grads-RE PROJ'!DJ39/'WICHE Public Grads-RE PROJ'!AF39</f>
        <v>7.4072005973948498E-3</v>
      </c>
      <c r="BU37" s="266">
        <f>+'WICHE Public Grads-RE PROJ'!DK39/'WICHE Public Grads-RE PROJ'!AG39</f>
        <v>6.6787557978291645E-3</v>
      </c>
      <c r="BV37" s="268">
        <f>+'WICHE Public Grads-RE PROJ'!DL39/'WICHE Public Grads-RE PROJ'!AH39</f>
        <v>6.0477383316474504E-3</v>
      </c>
      <c r="BW37" s="266">
        <f>+'WICHE Public Grads-RE PROJ'!DM39/'WICHE Public Grads-RE PROJ'!AI39</f>
        <v>5.481991989927988E-3</v>
      </c>
      <c r="BX37" s="266">
        <f>+'WICHE Public Grads-RE PROJ'!DN39/'WICHE Public Grads-RE PROJ'!AJ39</f>
        <v>4.9196540526146148E-3</v>
      </c>
      <c r="BY37" s="266">
        <f>+'WICHE Public Grads-RE PROJ'!DO39/'WICHE Public Grads-RE PROJ'!AK39</f>
        <v>5.6143846248237258E-3</v>
      </c>
      <c r="BZ37" s="266">
        <f>+'WICHE Public Grads-RE PROJ'!DP39/'WICHE Public Grads-RE PROJ'!AL39</f>
        <v>5.6599472318387221E-3</v>
      </c>
      <c r="CA37" s="266">
        <f>+'WICHE Public Grads-RE PROJ'!DQ39/'WICHE Public Grads-RE PROJ'!AM39</f>
        <v>5.3603592265023458E-3</v>
      </c>
      <c r="CB37" s="266">
        <f>+'WICHE Public Grads-RE PROJ'!DR39/'WICHE Public Grads-RE PROJ'!AN39</f>
        <v>5.067684804208961E-3</v>
      </c>
      <c r="CC37" s="266">
        <f>+'WICHE Public Grads-RE PROJ'!DS39/'WICHE Public Grads-RE PROJ'!AO39</f>
        <v>4.8493307355045902E-3</v>
      </c>
      <c r="CD37" s="266">
        <f>+'WICHE Public Grads-RE PROJ'!DT39/'WICHE Public Grads-RE PROJ'!AP39</f>
        <v>4.9834576373561437E-3</v>
      </c>
      <c r="CE37" s="282">
        <f>+'WICHE Public Grads-RE PROJ'!DU39/'WICHE Public Grads-RE PROJ'!AQ39</f>
        <v>4.8939454313222785E-3</v>
      </c>
      <c r="CF37" s="262">
        <f>+'WICHE Public Grads-RE PROJ'!DV39/'WICHE Public Grads-RE PROJ'!B39</f>
        <v>8.561065825437604E-2</v>
      </c>
      <c r="CG37" s="262">
        <f>+'WICHE Public Grads-RE PROJ'!DW39/'WICHE Public Grads-RE PROJ'!C39</f>
        <v>8.561065825437604E-2</v>
      </c>
      <c r="CH37" s="262">
        <f>+'WICHE Public Grads-RE PROJ'!DX39/'WICHE Public Grads-RE PROJ'!D39</f>
        <v>8.561065825437604E-2</v>
      </c>
      <c r="CI37" s="262">
        <f>+'WICHE Public Grads-RE PROJ'!DY39/'WICHE Public Grads-RE PROJ'!E39</f>
        <v>8.5610658254376026E-2</v>
      </c>
      <c r="CJ37" s="262">
        <f>+'WICHE Public Grads-RE PROJ'!DZ39/'WICHE Public Grads-RE PROJ'!F39</f>
        <v>8.561065825437604E-2</v>
      </c>
      <c r="CK37" s="262">
        <f>+'WICHE Public Grads-RE PROJ'!EA39/'WICHE Public Grads-RE PROJ'!G39</f>
        <v>8.5605223895057064E-2</v>
      </c>
      <c r="CL37" s="267">
        <f>+'WICHE Public Grads-RE PROJ'!EB39/'WICHE Public Grads-RE PROJ'!H39</f>
        <v>8.5603040351726958E-2</v>
      </c>
      <c r="CM37" s="267">
        <f>+'WICHE Public Grads-RE PROJ'!EC39/'WICHE Public Grads-RE PROJ'!I39</f>
        <v>8.5603955393554435E-2</v>
      </c>
      <c r="CN37" s="267">
        <f>+'WICHE Public Grads-RE PROJ'!ED39/'WICHE Public Grads-RE PROJ'!J39</f>
        <v>8.5610611479565266E-2</v>
      </c>
      <c r="CO37" s="267">
        <f>+'WICHE Public Grads-RE PROJ'!EE39/'WICHE Public Grads-RE PROJ'!K39</f>
        <v>8.4875002269385089E-2</v>
      </c>
      <c r="CP37" s="262">
        <f>+'WICHE Public Grads-RE PROJ'!EF39/'WICHE Public Grads-RE PROJ'!L39</f>
        <v>8.6261597297250941E-2</v>
      </c>
      <c r="CQ37" s="267">
        <f>+'WICHE Public Grads-RE PROJ'!EG39/'WICHE Public Grads-RE PROJ'!M39</f>
        <v>8.5695375196492105E-2</v>
      </c>
      <c r="CR37" s="267">
        <f>+'WICHE Public Grads-RE PROJ'!EH39/'WICHE Public Grads-RE PROJ'!N39</f>
        <v>8.4260861050363942E-2</v>
      </c>
      <c r="CS37" s="267">
        <f>+'WICHE Public Grads-RE PROJ'!EI39/'WICHE Public Grads-RE PROJ'!O39</f>
        <v>8.4099911611614883E-2</v>
      </c>
      <c r="CT37" s="267">
        <f>+'WICHE Public Grads-RE PROJ'!EJ39/'WICHE Public Grads-RE PROJ'!P39</f>
        <v>8.8901067875707909E-2</v>
      </c>
      <c r="CU37" s="267">
        <f>+'WICHE Public Grads-RE PROJ'!EK39/'WICHE Public Grads-RE PROJ'!Q39</f>
        <v>9.0699192688014518E-2</v>
      </c>
      <c r="CV37" s="267">
        <f>+'WICHE Public Grads-RE PROJ'!EL39/'WICHE Public Grads-RE PROJ'!R39</f>
        <v>8.9184584178498991E-2</v>
      </c>
      <c r="CW37" s="267">
        <f>+'WICHE Public Grads-RE PROJ'!EM39/'WICHE Public Grads-RE PROJ'!S39</f>
        <v>9.3365623605888723E-2</v>
      </c>
      <c r="CX37" s="267">
        <f>+'WICHE Public Grads-RE PROJ'!EN39/'WICHE Public Grads-RE PROJ'!T39</f>
        <v>8.9225691184931719E-2</v>
      </c>
      <c r="CY37" s="267">
        <f>+'WICHE Public Grads-RE PROJ'!EO39/'WICHE Public Grads-RE PROJ'!U39</f>
        <v>8.9122261132347516E-2</v>
      </c>
      <c r="CZ37" s="267">
        <f>+'WICHE Public Grads-RE PROJ'!EP39/'WICHE Public Grads-RE PROJ'!V39</f>
        <v>9.4370748497720883E-2</v>
      </c>
      <c r="DA37" s="267">
        <f>+'WICHE Public Grads-RE PROJ'!EQ39/'WICHE Public Grads-RE PROJ'!W39</f>
        <v>9.3702748287990495E-2</v>
      </c>
      <c r="DB37" s="268">
        <f>+'WICHE Public Grads-RE PROJ'!ER39/'WICHE Public Grads-RE PROJ'!Y39</f>
        <v>9.4077500498191788E-2</v>
      </c>
      <c r="DC37" s="268">
        <f>+'WICHE Public Grads-RE PROJ'!ES39/'WICHE Public Grads-RE PROJ'!Z39</f>
        <v>9.4502544322772261E-2</v>
      </c>
      <c r="DD37" s="268">
        <f>+'WICHE Public Grads-RE PROJ'!ET39/'WICHE Public Grads-RE PROJ'!AA39</f>
        <v>9.2676845397254431E-2</v>
      </c>
      <c r="DE37" s="268">
        <f>+'WICHE Public Grads-RE PROJ'!EU39/'WICHE Public Grads-RE PROJ'!AB39</f>
        <v>9.1170283406524152E-2</v>
      </c>
      <c r="DF37" s="266">
        <f>+'WICHE Public Grads-RE PROJ'!EV39/'WICHE Public Grads-RE PROJ'!AC39</f>
        <v>9.5176902647726019E-2</v>
      </c>
      <c r="DG37" s="266">
        <f>+'WICHE Public Grads-RE PROJ'!EW39/'WICHE Public Grads-RE PROJ'!AD39</f>
        <v>9.6740202565471847E-2</v>
      </c>
      <c r="DH37" s="266">
        <f>+'WICHE Public Grads-RE PROJ'!EX39/'WICHE Public Grads-RE PROJ'!AE39</f>
        <v>9.8612997736363853E-2</v>
      </c>
      <c r="DI37" s="266">
        <f>+'WICHE Public Grads-RE PROJ'!EY39/'WICHE Public Grads-RE PROJ'!AF39</f>
        <v>9.9156897700508451E-2</v>
      </c>
      <c r="DJ37" s="266">
        <f>+'WICHE Public Grads-RE PROJ'!EZ39/'WICHE Public Grads-RE PROJ'!AG39</f>
        <v>0.10055264890154665</v>
      </c>
      <c r="DK37" s="268">
        <f>+'WICHE Public Grads-RE PROJ'!FA39/'WICHE Public Grads-RE PROJ'!AH39</f>
        <v>9.964621422435864E-2</v>
      </c>
      <c r="DL37" s="266">
        <f>+'WICHE Public Grads-RE PROJ'!FB39/'WICHE Public Grads-RE PROJ'!AI39</f>
        <v>9.4069815807714757E-2</v>
      </c>
      <c r="DM37" s="266">
        <f>+'WICHE Public Grads-RE PROJ'!FC39/'WICHE Public Grads-RE PROJ'!AJ39</f>
        <v>9.5146234440296837E-2</v>
      </c>
      <c r="DN37" s="266">
        <f>+'WICHE Public Grads-RE PROJ'!FD39/'WICHE Public Grads-RE PROJ'!AK39</f>
        <v>0.10429998323998566</v>
      </c>
      <c r="DO37" s="266">
        <f>+'WICHE Public Grads-RE PROJ'!FE39/'WICHE Public Grads-RE PROJ'!AL39</f>
        <v>0.10364427473415889</v>
      </c>
      <c r="DP37" s="266">
        <f>+'WICHE Public Grads-RE PROJ'!FF39/'WICHE Public Grads-RE PROJ'!AM39</f>
        <v>0.10424673650426487</v>
      </c>
      <c r="DQ37" s="266">
        <f>+'WICHE Public Grads-RE PROJ'!FG39/'WICHE Public Grads-RE PROJ'!AN39</f>
        <v>0.10354901616507588</v>
      </c>
      <c r="DR37" s="266">
        <f>+'WICHE Public Grads-RE PROJ'!FH39/'WICHE Public Grads-RE PROJ'!AO39</f>
        <v>0.11126726878598202</v>
      </c>
      <c r="DS37" s="266">
        <f>+'WICHE Public Grads-RE PROJ'!FI39/'WICHE Public Grads-RE PROJ'!AP39</f>
        <v>0.11110750152942817</v>
      </c>
      <c r="DT37" s="282">
        <f>+'WICHE Public Grads-RE PROJ'!FJ39/'WICHE Public Grads-RE PROJ'!AQ39</f>
        <v>0.11496570865518489</v>
      </c>
      <c r="DU37" s="262">
        <f>+'WICHE Public Grads-RE PROJ'!FK39/'WICHE Public Grads-RE PROJ'!B39</f>
        <v>3.9406868418722173E-2</v>
      </c>
      <c r="DV37" s="262">
        <f>+'WICHE Public Grads-RE PROJ'!FL39/'WICHE Public Grads-RE PROJ'!C39</f>
        <v>3.9406868418722173E-2</v>
      </c>
      <c r="DW37" s="262">
        <f>+'WICHE Public Grads-RE PROJ'!FM39/'WICHE Public Grads-RE PROJ'!D39</f>
        <v>3.9406868418722173E-2</v>
      </c>
      <c r="DX37" s="262">
        <f>+'WICHE Public Grads-RE PROJ'!FN39/'WICHE Public Grads-RE PROJ'!E39</f>
        <v>3.9406868418722173E-2</v>
      </c>
      <c r="DY37" s="262">
        <f>+'WICHE Public Grads-RE PROJ'!FO39/'WICHE Public Grads-RE PROJ'!F39</f>
        <v>3.9406868418722173E-2</v>
      </c>
      <c r="DZ37" s="262">
        <f>+'WICHE Public Grads-RE PROJ'!FP39/'WICHE Public Grads-RE PROJ'!G39</f>
        <v>3.9411730512119977E-2</v>
      </c>
      <c r="EA37" s="267">
        <f>+'WICHE Public Grads-RE PROJ'!FQ39/'WICHE Public Grads-RE PROJ'!H39</f>
        <v>3.9401617049815568E-2</v>
      </c>
      <c r="EB37" s="267">
        <f>+'WICHE Public Grads-RE PROJ'!FR39/'WICHE Public Grads-RE PROJ'!I39</f>
        <v>3.9409578115413763E-2</v>
      </c>
      <c r="EC37" s="267">
        <f>+'WICHE Public Grads-RE PROJ'!FS39/'WICHE Public Grads-RE PROJ'!J39</f>
        <v>3.9411090662870241E-2</v>
      </c>
      <c r="ED37" s="267">
        <f>+'WICHE Public Grads-RE PROJ'!FT39/'WICHE Public Grads-RE PROJ'!K39</f>
        <v>3.9160509068462808E-2</v>
      </c>
      <c r="EE37" s="262">
        <f>+'WICHE Public Grads-RE PROJ'!FU39/'WICHE Public Grads-RE PROJ'!L39</f>
        <v>3.9546569257944468E-2</v>
      </c>
      <c r="EF37" s="267">
        <f>+'WICHE Public Grads-RE PROJ'!FV39/'WICHE Public Grads-RE PROJ'!M39</f>
        <v>3.9513526929759242E-2</v>
      </c>
      <c r="EG37" s="267">
        <f>+'WICHE Public Grads-RE PROJ'!FW39/'WICHE Public Grads-RE PROJ'!N39</f>
        <v>4.2921957110683161E-2</v>
      </c>
      <c r="EH37" s="267">
        <f>+'WICHE Public Grads-RE PROJ'!FX39/'WICHE Public Grads-RE PROJ'!O39</f>
        <v>4.3752250630176452E-2</v>
      </c>
      <c r="EI37" s="267">
        <f>+'WICHE Public Grads-RE PROJ'!FY39/'WICHE Public Grads-RE PROJ'!P39</f>
        <v>4.4392406955308654E-2</v>
      </c>
      <c r="EJ37" s="267">
        <f>+'WICHE Public Grads-RE PROJ'!FZ39/'WICHE Public Grads-RE PROJ'!Q39</f>
        <v>4.377318832502667E-2</v>
      </c>
      <c r="EK37" s="267">
        <f>+'WICHE Public Grads-RE PROJ'!GA39/'WICHE Public Grads-RE PROJ'!R39</f>
        <v>4.3797160243407705E-2</v>
      </c>
      <c r="EL37" s="267">
        <f>+'WICHE Public Grads-RE PROJ'!GB39/'WICHE Public Grads-RE PROJ'!S39</f>
        <v>4.7176725511439678E-2</v>
      </c>
      <c r="EM37" s="267">
        <f>+'WICHE Public Grads-RE PROJ'!GC39/'WICHE Public Grads-RE PROJ'!T39</f>
        <v>4.7391212185446507E-2</v>
      </c>
      <c r="EN37" s="267">
        <f>+'WICHE Public Grads-RE PROJ'!GD39/'WICHE Public Grads-RE PROJ'!U39</f>
        <v>4.5191021283593459E-2</v>
      </c>
      <c r="EO37" s="267">
        <f>+'WICHE Public Grads-RE PROJ'!GE39/'WICHE Public Grads-RE PROJ'!V39</f>
        <v>4.5815483771207047E-2</v>
      </c>
      <c r="EP37" s="267">
        <f>+'WICHE Public Grads-RE PROJ'!GF39/'WICHE Public Grads-RE PROJ'!W39</f>
        <v>4.6709953272911948E-2</v>
      </c>
      <c r="EQ37" s="268">
        <f>+'WICHE Public Grads-RE PROJ'!GG39/'WICHE Public Grads-RE PROJ'!Y39</f>
        <v>4.7163083166655538E-2</v>
      </c>
      <c r="ER37" s="268">
        <f>+'WICHE Public Grads-RE PROJ'!GH39/'WICHE Public Grads-RE PROJ'!Z39</f>
        <v>4.485042414322267E-2</v>
      </c>
      <c r="ES37" s="268">
        <f>+'WICHE Public Grads-RE PROJ'!GI39/'WICHE Public Grads-RE PROJ'!AA39</f>
        <v>4.2613856305285837E-2</v>
      </c>
      <c r="ET37" s="268">
        <f>+'WICHE Public Grads-RE PROJ'!GJ39/'WICHE Public Grads-RE PROJ'!AB39</f>
        <v>4.2046284352360672E-2</v>
      </c>
      <c r="EU37" s="266">
        <f>+'WICHE Public Grads-RE PROJ'!GK39/'WICHE Public Grads-RE PROJ'!AC39</f>
        <v>4.1558793061412184E-2</v>
      </c>
      <c r="EV37" s="266">
        <f>+'WICHE Public Grads-RE PROJ'!GL39/'WICHE Public Grads-RE PROJ'!AD39</f>
        <v>4.0228281836809383E-2</v>
      </c>
      <c r="EW37" s="266">
        <f>+'WICHE Public Grads-RE PROJ'!GM39/'WICHE Public Grads-RE PROJ'!AE39</f>
        <v>3.9439120086802934E-2</v>
      </c>
      <c r="EX37" s="266">
        <f>+'WICHE Public Grads-RE PROJ'!GN39/'WICHE Public Grads-RE PROJ'!AF39</f>
        <v>3.8521234950939919E-2</v>
      </c>
      <c r="EY37" s="266">
        <f>+'WICHE Public Grads-RE PROJ'!GO39/'WICHE Public Grads-RE PROJ'!AG39</f>
        <v>3.8037826671435175E-2</v>
      </c>
      <c r="EZ37" s="268">
        <f>+'WICHE Public Grads-RE PROJ'!GP39/'WICHE Public Grads-RE PROJ'!AH39</f>
        <v>3.7152062618368967E-2</v>
      </c>
      <c r="FA37" s="266">
        <f>+'WICHE Public Grads-RE PROJ'!GQ39/'WICHE Public Grads-RE PROJ'!AI39</f>
        <v>3.7881390432621911E-2</v>
      </c>
      <c r="FB37" s="266">
        <f>+'WICHE Public Grads-RE PROJ'!GR39/'WICHE Public Grads-RE PROJ'!AJ39</f>
        <v>3.7568563078600098E-2</v>
      </c>
      <c r="FC37" s="266">
        <f>+'WICHE Public Grads-RE PROJ'!GS39/'WICHE Public Grads-RE PROJ'!AK39</f>
        <v>3.9237701683948405E-2</v>
      </c>
      <c r="FD37" s="266">
        <f>+'WICHE Public Grads-RE PROJ'!GT39/'WICHE Public Grads-RE PROJ'!AL39</f>
        <v>4.0030119908859359E-2</v>
      </c>
      <c r="FE37" s="266">
        <f>+'WICHE Public Grads-RE PROJ'!GU39/'WICHE Public Grads-RE PROJ'!AM39</f>
        <v>4.0905675424602717E-2</v>
      </c>
      <c r="FF37" s="266">
        <f>+'WICHE Public Grads-RE PROJ'!GV39/'WICHE Public Grads-RE PROJ'!AN39</f>
        <v>4.1124261133324305E-2</v>
      </c>
      <c r="FG37" s="266">
        <f>+'WICHE Public Grads-RE PROJ'!GW39/'WICHE Public Grads-RE PROJ'!AO39</f>
        <v>4.1422651768349625E-2</v>
      </c>
      <c r="FH37" s="266">
        <f>+'WICHE Public Grads-RE PROJ'!GX39/'WICHE Public Grads-RE PROJ'!AP39</f>
        <v>4.3729851246199637E-2</v>
      </c>
      <c r="FI37" s="282">
        <f>+'WICHE Public Grads-RE PROJ'!GY39/'WICHE Public Grads-RE PROJ'!AQ39</f>
        <v>4.4021923975648754E-2</v>
      </c>
      <c r="FJ37" s="262">
        <f>+'WICHE Public Grads-RE PROJ'!GZ39/'WICHE Public Grads-RE PROJ'!B39</f>
        <v>6.7776005870103337E-2</v>
      </c>
      <c r="FK37" s="262">
        <f>+'WICHE Public Grads-RE PROJ'!HA39/'WICHE Public Grads-RE PROJ'!C39</f>
        <v>6.7776005870103337E-2</v>
      </c>
      <c r="FL37" s="262">
        <f>+'WICHE Public Grads-RE PROJ'!HB39/'WICHE Public Grads-RE PROJ'!D39</f>
        <v>6.7776005870103337E-2</v>
      </c>
      <c r="FM37" s="262">
        <f>+'WICHE Public Grads-RE PROJ'!HC39/'WICHE Public Grads-RE PROJ'!E39</f>
        <v>6.7776005870103337E-2</v>
      </c>
      <c r="FN37" s="262">
        <f>+'WICHE Public Grads-RE PROJ'!HD39/'WICHE Public Grads-RE PROJ'!F39</f>
        <v>6.7776005870103337E-2</v>
      </c>
      <c r="FO37" s="262">
        <f>+'WICHE Public Grads-RE PROJ'!HE39/'WICHE Public Grads-RE PROJ'!G39</f>
        <v>6.7778875777480665E-2</v>
      </c>
      <c r="FP37" s="267">
        <f>+'WICHE Public Grads-RE PROJ'!HF39/'WICHE Public Grads-RE PROJ'!H39</f>
        <v>6.7774507246916804E-2</v>
      </c>
      <c r="FQ37" s="267">
        <f>+'WICHE Public Grads-RE PROJ'!HG39/'WICHE Public Grads-RE PROJ'!I39</f>
        <v>6.7775812912772029E-2</v>
      </c>
      <c r="FR37" s="267">
        <f>+'WICHE Public Grads-RE PROJ'!HH39/'WICHE Public Grads-RE PROJ'!J39</f>
        <v>6.7780131254557452E-2</v>
      </c>
      <c r="FS37" s="267">
        <f>+'WICHE Public Grads-RE PROJ'!HI39/'WICHE Public Grads-RE PROJ'!K39</f>
        <v>6.345200704417131E-2</v>
      </c>
      <c r="FT37" s="262">
        <f>+'WICHE Public Grads-RE PROJ'!HJ39/'WICHE Public Grads-RE PROJ'!L39</f>
        <v>6.7517278043593837E-2</v>
      </c>
      <c r="FU37" s="267">
        <f>+'WICHE Public Grads-RE PROJ'!HK39/'WICHE Public Grads-RE PROJ'!M39</f>
        <v>7.2358732522544877E-2</v>
      </c>
      <c r="FV37" s="267">
        <f>+'WICHE Public Grads-RE PROJ'!HL39/'WICHE Public Grads-RE PROJ'!N39</f>
        <v>7.4240297679276687E-2</v>
      </c>
      <c r="FW37" s="267">
        <f>+'WICHE Public Grads-RE PROJ'!HM39/'WICHE Public Grads-RE PROJ'!O39</f>
        <v>8.0089697842668672E-2</v>
      </c>
      <c r="FX37" s="267">
        <f>+'WICHE Public Grads-RE PROJ'!HN39/'WICHE Public Grads-RE PROJ'!P39</f>
        <v>8.6409911480909443E-2</v>
      </c>
      <c r="FY37" s="267">
        <f>+'WICHE Public Grads-RE PROJ'!HO39/'WICHE Public Grads-RE PROJ'!Q39</f>
        <v>8.9568637442078949E-2</v>
      </c>
      <c r="FZ37" s="267">
        <f>+'WICHE Public Grads-RE PROJ'!HP39/'WICHE Public Grads-RE PROJ'!R39</f>
        <v>9.2137931034482756E-2</v>
      </c>
      <c r="GA37" s="267">
        <f>+'WICHE Public Grads-RE PROJ'!HQ39/'WICHE Public Grads-RE PROJ'!S39</f>
        <v>0.10193741635332357</v>
      </c>
      <c r="GB37" s="267">
        <f>+'WICHE Public Grads-RE PROJ'!HR39/'WICHE Public Grads-RE PROJ'!T39</f>
        <v>0.10554764860854556</v>
      </c>
      <c r="GC37" s="267">
        <f>+'WICHE Public Grads-RE PROJ'!HS39/'WICHE Public Grads-RE PROJ'!U39</f>
        <v>0.13486223345823364</v>
      </c>
      <c r="GD37" s="267">
        <f>+'WICHE Public Grads-RE PROJ'!HT39/'WICHE Public Grads-RE PROJ'!V39</f>
        <v>0.14577102982900084</v>
      </c>
      <c r="GE37" s="267">
        <f>+'WICHE Public Grads-RE PROJ'!HU39/'WICHE Public Grads-RE PROJ'!W39</f>
        <v>0.1527563345745164</v>
      </c>
      <c r="GF37" s="268">
        <f>+'WICHE Public Grads-RE PROJ'!HV39/'WICHE Public Grads-RE PROJ'!Y39</f>
        <v>0.16188984574258844</v>
      </c>
      <c r="GG37" s="268">
        <f>+'WICHE Public Grads-RE PROJ'!HW39/'WICHE Public Grads-RE PROJ'!Z39</f>
        <v>0.17216646736728639</v>
      </c>
      <c r="GH37" s="268">
        <f>+'WICHE Public Grads-RE PROJ'!HX39/'WICHE Public Grads-RE PROJ'!AA39</f>
        <v>0.18313732433722338</v>
      </c>
      <c r="GI37" s="268">
        <f>+'WICHE Public Grads-RE PROJ'!HY39/'WICHE Public Grads-RE PROJ'!AB39</f>
        <v>0.19091683043300381</v>
      </c>
      <c r="GJ37" s="266">
        <f>+'WICHE Public Grads-RE PROJ'!HZ39/'WICHE Public Grads-RE PROJ'!AC39</f>
        <v>0.19948520789407892</v>
      </c>
      <c r="GK37" s="266">
        <f>+'WICHE Public Grads-RE PROJ'!IA39/'WICHE Public Grads-RE PROJ'!AD39</f>
        <v>0.21704144586716168</v>
      </c>
      <c r="GL37" s="266">
        <f>+'WICHE Public Grads-RE PROJ'!IB39/'WICHE Public Grads-RE PROJ'!AE39</f>
        <v>0.22461397939417613</v>
      </c>
      <c r="GM37" s="266">
        <f>+'WICHE Public Grads-RE PROJ'!IC39/'WICHE Public Grads-RE PROJ'!AF39</f>
        <v>0.23469368443728322</v>
      </c>
      <c r="GN37" s="266">
        <f>+'WICHE Public Grads-RE PROJ'!ID39/'WICHE Public Grads-RE PROJ'!AG39</f>
        <v>0.24770277077437966</v>
      </c>
      <c r="GO37" s="268">
        <f>+'WICHE Public Grads-RE PROJ'!IE39/'WICHE Public Grads-RE PROJ'!AH39</f>
        <v>0.26437085652242714</v>
      </c>
      <c r="GP37" s="266">
        <f>+'WICHE Public Grads-RE PROJ'!IF39/'WICHE Public Grads-RE PROJ'!AI39</f>
        <v>0.27806414971138799</v>
      </c>
      <c r="GQ37" s="266">
        <f>+'WICHE Public Grads-RE PROJ'!IG39/'WICHE Public Grads-RE PROJ'!AJ39</f>
        <v>0.2910181802973037</v>
      </c>
      <c r="GR37" s="266">
        <f>+'WICHE Public Grads-RE PROJ'!IH39/'WICHE Public Grads-RE PROJ'!AK39</f>
        <v>0.28616207281934947</v>
      </c>
      <c r="GS37" s="266">
        <f>+'WICHE Public Grads-RE PROJ'!II39/'WICHE Public Grads-RE PROJ'!AL39</f>
        <v>0.28618363773077682</v>
      </c>
      <c r="GT37" s="266">
        <f>+'WICHE Public Grads-RE PROJ'!IJ39/'WICHE Public Grads-RE PROJ'!AM39</f>
        <v>0.28045911988534283</v>
      </c>
      <c r="GU37" s="266">
        <f>+'WICHE Public Grads-RE PROJ'!IK39/'WICHE Public Grads-RE PROJ'!AN39</f>
        <v>0.27641017664446343</v>
      </c>
      <c r="GV37" s="266">
        <f>+'WICHE Public Grads-RE PROJ'!IL39/'WICHE Public Grads-RE PROJ'!AO39</f>
        <v>0.27087127418005624</v>
      </c>
      <c r="GW37" s="266">
        <f>+'WICHE Public Grads-RE PROJ'!IM39/'WICHE Public Grads-RE PROJ'!AP39</f>
        <v>0.26948123927432183</v>
      </c>
      <c r="GX37" s="282">
        <f>+'WICHE Public Grads-RE PROJ'!IN39/'WICHE Public Grads-RE PROJ'!AQ39</f>
        <v>0.26681157603064815</v>
      </c>
      <c r="GY37" s="262">
        <f>+'WICHE Public Grads-RE PROJ'!IO39/'WICHE Public Grads-RE PROJ'!B39</f>
        <v>0.78793171784809979</v>
      </c>
      <c r="GZ37" s="262">
        <f>+'WICHE Public Grads-RE PROJ'!IP39/'WICHE Public Grads-RE PROJ'!C39</f>
        <v>0.7879317178480999</v>
      </c>
      <c r="HA37" s="262">
        <f>+'WICHE Public Grads-RE PROJ'!IQ39/'WICHE Public Grads-RE PROJ'!D39</f>
        <v>0.78793171784810001</v>
      </c>
      <c r="HB37" s="262">
        <f>+'WICHE Public Grads-RE PROJ'!IR39/'WICHE Public Grads-RE PROJ'!E39</f>
        <v>0.78793171784809979</v>
      </c>
      <c r="HC37" s="262">
        <f>+'WICHE Public Grads-RE PROJ'!IS39/'WICHE Public Grads-RE PROJ'!F39</f>
        <v>0.7879317178480999</v>
      </c>
      <c r="HD37" s="262">
        <f>+'WICHE Public Grads-RE PROJ'!IT39/'WICHE Public Grads-RE PROJ'!G39</f>
        <v>0.78792458679687649</v>
      </c>
      <c r="HE37" s="267">
        <f>+'WICHE Public Grads-RE PROJ'!IU39/'WICHE Public Grads-RE PROJ'!H39</f>
        <v>0.78793919296546067</v>
      </c>
      <c r="HF37" s="267">
        <f>+'WICHE Public Grads-RE PROJ'!IV39/'WICHE Public Grads-RE PROJ'!I39</f>
        <v>0.78793893680753546</v>
      </c>
      <c r="HG37" s="267">
        <f>+'WICHE Public Grads-RE PROJ'!IW39/'WICHE Public Grads-RE PROJ'!J39</f>
        <v>0.78792666412028201</v>
      </c>
      <c r="HH37" s="267">
        <f>+'WICHE Public Grads-RE PROJ'!IX39/'WICHE Public Grads-RE PROJ'!K39</f>
        <v>0.7931228554310924</v>
      </c>
      <c r="HI37" s="262">
        <f>+'WICHE Public Grads-RE PROJ'!IY39/'WICHE Public Grads-RE PROJ'!L39</f>
        <v>0.7874672017286618</v>
      </c>
      <c r="HJ37" s="267">
        <f>+'WICHE Public Grads-RE PROJ'!IZ39/'WICHE Public Grads-RE PROJ'!M39</f>
        <v>0.78320509638454539</v>
      </c>
      <c r="HK37" s="267">
        <f>+'WICHE Public Grads-RE PROJ'!JA39/'WICHE Public Grads-RE PROJ'!N39</f>
        <v>0.77654470085191107</v>
      </c>
      <c r="HL37" s="267">
        <f>+'WICHE Public Grads-RE PROJ'!JB39/'WICHE Public Grads-RE PROJ'!O39</f>
        <v>0.76837332634955968</v>
      </c>
      <c r="HM37" s="267">
        <f>+'WICHE Public Grads-RE PROJ'!JC39/'WICHE Public Grads-RE PROJ'!P39</f>
        <v>0.76086559380864593</v>
      </c>
      <c r="HN37" s="267">
        <f>+'WICHE Public Grads-RE PROJ'!JD39/'WICHE Public Grads-RE PROJ'!Q39</f>
        <v>0.74833203292941197</v>
      </c>
      <c r="HO37" s="267">
        <f>+'WICHE Public Grads-RE PROJ'!JE39/'WICHE Public Grads-RE PROJ'!R39</f>
        <v>0.74490872210953352</v>
      </c>
      <c r="HP37" s="267">
        <f>+'WICHE Public Grads-RE PROJ'!JF39/'WICHE Public Grads-RE PROJ'!S39</f>
        <v>0.7248741316678351</v>
      </c>
      <c r="HQ37" s="267">
        <f>+'WICHE Public Grads-RE PROJ'!JG39/'WICHE Public Grads-RE PROJ'!T39</f>
        <v>0.69836174787269478</v>
      </c>
      <c r="HR37" s="267">
        <f>+'WICHE Public Grads-RE PROJ'!JH39/'WICHE Public Grads-RE PROJ'!U39</f>
        <v>0.71621345558151606</v>
      </c>
      <c r="HS37" s="267">
        <f>+'WICHE Public Grads-RE PROJ'!JI39/'WICHE Public Grads-RE PROJ'!V39</f>
        <v>0.70017082003884357</v>
      </c>
      <c r="HT37" s="267">
        <f>+'WICHE Public Grads-RE PROJ'!JJ39/'WICHE Public Grads-RE PROJ'!W39</f>
        <v>0.69483388228513088</v>
      </c>
      <c r="HU37" s="268">
        <f>+'WICHE Public Grads-RE PROJ'!JK39/'WICHE Public Grads-RE PROJ'!Y39</f>
        <v>0.6783787897731216</v>
      </c>
      <c r="HV37" s="268">
        <f>+'WICHE Public Grads-RE PROJ'!JL39/'WICHE Public Grads-RE PROJ'!Z39</f>
        <v>0.67293259659071891</v>
      </c>
      <c r="HW37" s="268">
        <f>+'WICHE Public Grads-RE PROJ'!JM39/'WICHE Public Grads-RE PROJ'!AA39</f>
        <v>0.67529539404395555</v>
      </c>
      <c r="HX37" s="268">
        <f>+'WICHE Public Grads-RE PROJ'!JN39/'WICHE Public Grads-RE PROJ'!AB39</f>
        <v>0.67359222588620271</v>
      </c>
      <c r="HY37" s="266">
        <f>+'WICHE Public Grads-RE PROJ'!JO39/'WICHE Public Grads-RE PROJ'!AC39</f>
        <v>0.6662202272446216</v>
      </c>
      <c r="HZ37" s="266">
        <f>+'WICHE Public Grads-RE PROJ'!JP39/'WICHE Public Grads-RE PROJ'!AD39</f>
        <v>0.65343268769922636</v>
      </c>
      <c r="IA37" s="266">
        <f>+'WICHE Public Grads-RE PROJ'!JQ39/'WICHE Public Grads-RE PROJ'!AE39</f>
        <v>0.65127735671201192</v>
      </c>
      <c r="IB37" s="266">
        <f>+'WICHE Public Grads-RE PROJ'!JR39/'WICHE Public Grads-RE PROJ'!AF39</f>
        <v>0.64854558345982893</v>
      </c>
      <c r="IC37" s="266">
        <f>+'WICHE Public Grads-RE PROJ'!JS39/'WICHE Public Grads-RE PROJ'!AG39</f>
        <v>0.64367359422587456</v>
      </c>
      <c r="ID37" s="268">
        <f>+'WICHE Public Grads-RE PROJ'!JT39/'WICHE Public Grads-RE PROJ'!AH39</f>
        <v>0.63962337974577776</v>
      </c>
      <c r="IE37" s="266">
        <f>+'WICHE Public Grads-RE PROJ'!JU39/'WICHE Public Grads-RE PROJ'!AI39</f>
        <v>0.64116267381338554</v>
      </c>
      <c r="IF37" s="266">
        <f>+'WICHE Public Grads-RE PROJ'!JV39/'WICHE Public Grads-RE PROJ'!AJ39</f>
        <v>0.63936757010532408</v>
      </c>
      <c r="IG37" s="266">
        <f>+'WICHE Public Grads-RE PROJ'!JW39/'WICHE Public Grads-RE PROJ'!AK39</f>
        <v>0.62526673048944625</v>
      </c>
      <c r="IH37" s="266">
        <f>+'WICHE Public Grads-RE PROJ'!JX39/'WICHE Public Grads-RE PROJ'!AL39</f>
        <v>0.62385006122413511</v>
      </c>
      <c r="II37" s="266">
        <f>+'WICHE Public Grads-RE PROJ'!JY39/'WICHE Public Grads-RE PROJ'!AM39</f>
        <v>0.62749571915667113</v>
      </c>
      <c r="IJ37" s="266">
        <f>+'WICHE Public Grads-RE PROJ'!JZ39/'WICHE Public Grads-RE PROJ'!AN39</f>
        <v>0.61778617839502548</v>
      </c>
      <c r="IK37" s="266">
        <f>+'WICHE Public Grads-RE PROJ'!KA39/'WICHE Public Grads-RE PROJ'!AO39</f>
        <v>0.61791537958632081</v>
      </c>
      <c r="IL37" s="266">
        <f>+'WICHE Public Grads-RE PROJ'!KB39/'WICHE Public Grads-RE PROJ'!AP39</f>
        <v>0.6164405532402738</v>
      </c>
      <c r="IM37" s="282">
        <f>+'WICHE Public Grads-RE PROJ'!KC39/'WICHE Public Grads-RE PROJ'!AQ39</f>
        <v>0.61438293296794222</v>
      </c>
      <c r="IN37" s="278">
        <f t="shared" si="44"/>
        <v>0.99999999999999989</v>
      </c>
      <c r="IO37" s="278">
        <f t="shared" si="45"/>
        <v>1</v>
      </c>
      <c r="IP37" s="278">
        <f t="shared" si="46"/>
        <v>1</v>
      </c>
      <c r="IQ37" s="278">
        <f t="shared" si="47"/>
        <v>0.99999999999999989</v>
      </c>
      <c r="IR37" s="278">
        <f t="shared" si="48"/>
        <v>1</v>
      </c>
      <c r="IS37" s="278">
        <f t="shared" si="49"/>
        <v>1</v>
      </c>
      <c r="IT37" s="278">
        <f t="shared" si="50"/>
        <v>1</v>
      </c>
      <c r="IU37" s="278">
        <f t="shared" si="51"/>
        <v>1</v>
      </c>
      <c r="IV37" s="278">
        <f t="shared" si="52"/>
        <v>1</v>
      </c>
      <c r="IW37" s="278">
        <f t="shared" si="53"/>
        <v>1</v>
      </c>
      <c r="IX37" s="278">
        <f t="shared" si="54"/>
        <v>1</v>
      </c>
      <c r="IY37" s="278">
        <f t="shared" si="55"/>
        <v>1</v>
      </c>
      <c r="IZ37" s="278">
        <f t="shared" si="56"/>
        <v>0.99869438913731767</v>
      </c>
      <c r="JA37" s="278">
        <f t="shared" si="57"/>
        <v>0.99675909254591288</v>
      </c>
      <c r="JB37" s="278">
        <f t="shared" si="58"/>
        <v>1</v>
      </c>
      <c r="JC37" s="278">
        <f t="shared" si="59"/>
        <v>0.99264342924475724</v>
      </c>
      <c r="JD37" s="278">
        <f t="shared" si="60"/>
        <v>0.98980933062880327</v>
      </c>
      <c r="JE37" s="278">
        <f t="shared" si="61"/>
        <v>0.9867439933719967</v>
      </c>
      <c r="JF37" s="278">
        <f t="shared" si="62"/>
        <v>0.96228386276231714</v>
      </c>
      <c r="JG37" s="278">
        <f t="shared" si="63"/>
        <v>1</v>
      </c>
      <c r="JH37" s="278">
        <f t="shared" si="64"/>
        <v>1</v>
      </c>
      <c r="JI37" s="278">
        <f t="shared" si="65"/>
        <v>1</v>
      </c>
      <c r="JJ37" s="278">
        <f t="shared" si="66"/>
        <v>0.99419563682653034</v>
      </c>
      <c r="JK37" s="278">
        <f t="shared" si="67"/>
        <v>0.99651340560673052</v>
      </c>
      <c r="JL37" s="278">
        <f t="shared" si="68"/>
        <v>1.0046421582295539</v>
      </c>
      <c r="JM37" s="278">
        <f t="shared" si="69"/>
        <v>1.0080161867343169</v>
      </c>
      <c r="JN37" s="278">
        <f t="shared" si="70"/>
        <v>1.0118072275345575</v>
      </c>
      <c r="JO37" s="278">
        <f t="shared" si="71"/>
        <v>1.0161321135303283</v>
      </c>
      <c r="JP37" s="278">
        <f t="shared" si="72"/>
        <v>1.0218457979199838</v>
      </c>
      <c r="JQ37" s="278">
        <f t="shared" si="73"/>
        <v>1.0283246011459553</v>
      </c>
      <c r="JR37" s="278">
        <f t="shared" si="74"/>
        <v>1.0366455963710652</v>
      </c>
      <c r="JS37" s="278">
        <f t="shared" si="75"/>
        <v>1.0468402514425801</v>
      </c>
      <c r="JT37" s="278">
        <f t="shared" si="76"/>
        <v>1.0566600217550381</v>
      </c>
      <c r="JU37" s="278">
        <f t="shared" si="77"/>
        <v>1.0680202019741394</v>
      </c>
      <c r="JV37" s="278">
        <f t="shared" si="78"/>
        <v>1.0605808728575536</v>
      </c>
      <c r="JW37" s="278">
        <f t="shared" si="79"/>
        <v>1.059368040829769</v>
      </c>
      <c r="JX37" s="278">
        <f t="shared" si="80"/>
        <v>1.058467610197384</v>
      </c>
      <c r="JY37" s="278">
        <f t="shared" si="81"/>
        <v>1.043937317142098</v>
      </c>
      <c r="JZ37" s="278">
        <f t="shared" si="81"/>
        <v>1.0463259050562133</v>
      </c>
      <c r="KA37" s="278">
        <f t="shared" si="81"/>
        <v>1.0457426029275796</v>
      </c>
      <c r="KB37" s="278">
        <f>+AP37+FI37+GX37+IM37</f>
        <v>1.0450760870607463</v>
      </c>
    </row>
    <row r="38" spans="1:288" s="17" customFormat="1">
      <c r="A38" s="176" t="s">
        <v>63</v>
      </c>
      <c r="B38" s="263">
        <f>+'WICHE Public Grads-RE PROJ'!AR40/'WICHE Public Grads-RE PROJ'!B40</f>
        <v>2.9219663114472327E-2</v>
      </c>
      <c r="C38" s="263">
        <f>+'WICHE Public Grads-RE PROJ'!AS40/'WICHE Public Grads-RE PROJ'!C40</f>
        <v>2.2509658995464473E-2</v>
      </c>
      <c r="D38" s="263">
        <f>+'WICHE Public Grads-RE PROJ'!AT40/'WICHE Public Grads-RE PROJ'!D40</f>
        <v>3.0015007503751877E-2</v>
      </c>
      <c r="E38" s="263">
        <f>+'WICHE Public Grads-RE PROJ'!AU40/'WICHE Public Grads-RE PROJ'!E40</f>
        <v>2.5980641874681611E-2</v>
      </c>
      <c r="F38" s="263">
        <f>+'WICHE Public Grads-RE PROJ'!AV40/'WICHE Public Grads-RE PROJ'!F40</f>
        <v>2.0366598778004074E-2</v>
      </c>
      <c r="G38" s="263">
        <f>+'WICHE Public Grads-RE PROJ'!AW40/'WICHE Public Grads-RE PROJ'!G40</f>
        <v>2.523115499138066E-2</v>
      </c>
      <c r="H38" s="263">
        <f>+'WICHE Public Grads-RE PROJ'!AX40/'WICHE Public Grads-RE PROJ'!H40</f>
        <v>2.3846633416458853E-2</v>
      </c>
      <c r="I38" s="263">
        <f>+'WICHE Public Grads-RE PROJ'!AY40/'WICHE Public Grads-RE PROJ'!I40</f>
        <v>1.1814744801512287E-2</v>
      </c>
      <c r="J38" s="263">
        <f>+'WICHE Public Grads-RE PROJ'!AZ40/'WICHE Public Grads-RE PROJ'!J40</f>
        <v>2.0736614051377281E-2</v>
      </c>
      <c r="K38" s="263">
        <f>+'WICHE Public Grads-RE PROJ'!BA40/'WICHE Public Grads-RE PROJ'!K40</f>
        <v>2.6519519024872346E-2</v>
      </c>
      <c r="L38" s="263">
        <f>+'WICHE Public Grads-RE PROJ'!BB40/'WICHE Public Grads-RE PROJ'!L40</f>
        <v>2.5057320668195219E-2</v>
      </c>
      <c r="M38" s="263">
        <f>+'WICHE Public Grads-RE PROJ'!BC40/'WICHE Public Grads-RE PROJ'!M40</f>
        <v>2.3096663815226688E-2</v>
      </c>
      <c r="N38" s="263">
        <f>+'WICHE Public Grads-RE PROJ'!BD40/'WICHE Public Grads-RE PROJ'!N40</f>
        <v>2.6230070289730841E-2</v>
      </c>
      <c r="O38" s="263">
        <f>+'WICHE Public Grads-RE PROJ'!BE40/'WICHE Public Grads-RE PROJ'!O40</f>
        <v>2.4216524216524215E-2</v>
      </c>
      <c r="P38" s="263">
        <f>+'WICHE Public Grads-RE PROJ'!BF40/'WICHE Public Grads-RE PROJ'!P40</f>
        <v>4.070924552198299E-2</v>
      </c>
      <c r="Q38" s="263">
        <f>+'WICHE Public Grads-RE PROJ'!BG40/'WICHE Public Grads-RE PROJ'!Q40</f>
        <v>3.2714574526741411E-2</v>
      </c>
      <c r="R38" s="263">
        <f>+'WICHE Public Grads-RE PROJ'!BH40/'WICHE Public Grads-RE PROJ'!R40</f>
        <v>3.0396796505278486E-2</v>
      </c>
      <c r="S38" s="263">
        <f>+'WICHE Public Grads-RE PROJ'!BI40/'WICHE Public Grads-RE PROJ'!S40</f>
        <v>3.622792645184781E-2</v>
      </c>
      <c r="T38" s="263">
        <f>+'WICHE Public Grads-RE PROJ'!BJ40/'WICHE Public Grads-RE PROJ'!T40</f>
        <v>2.9616966092616999E-2</v>
      </c>
      <c r="U38" s="263">
        <f>+'WICHE Public Grads-RE PROJ'!BK40/'WICHE Public Grads-RE PROJ'!U40</f>
        <v>3.3124104470461255E-2</v>
      </c>
      <c r="V38" s="263">
        <f>+'WICHE Public Grads-RE PROJ'!BL40/'WICHE Public Grads-RE PROJ'!V40</f>
        <v>2.9047412057405089E-2</v>
      </c>
      <c r="W38" s="263">
        <f>+'WICHE Public Grads-RE PROJ'!BM40/'WICHE Public Grads-RE PROJ'!W40</f>
        <v>2.863056468487634E-2</v>
      </c>
      <c r="X38" s="269">
        <f>+'WICHE Public Grads-RE PROJ'!BN40/'WICHE Public Grads-RE PROJ'!Y40</f>
        <v>3.0862140538707922E-2</v>
      </c>
      <c r="Y38" s="269">
        <f>+'WICHE Public Grads-RE PROJ'!BO40/'WICHE Public Grads-RE PROJ'!Z40</f>
        <v>3.1391691034966876E-2</v>
      </c>
      <c r="Z38" s="269">
        <f>+'WICHE Public Grads-RE PROJ'!BP40/'WICHE Public Grads-RE PROJ'!AA40</f>
        <v>2.9458282707148491E-2</v>
      </c>
      <c r="AA38" s="269">
        <f>+'WICHE Public Grads-RE PROJ'!BQ40/'WICHE Public Grads-RE PROJ'!AB40</f>
        <v>2.9517045615807931E-2</v>
      </c>
      <c r="AB38" s="269">
        <f>+'WICHE Public Grads-RE PROJ'!BR40/'WICHE Public Grads-RE PROJ'!AC40</f>
        <v>2.8827600265469367E-2</v>
      </c>
      <c r="AC38" s="269">
        <f>+'WICHE Public Grads-RE PROJ'!BS40/'WICHE Public Grads-RE PROJ'!AD40</f>
        <v>3.0936917525927369E-2</v>
      </c>
      <c r="AD38" s="269">
        <f>+'WICHE Public Grads-RE PROJ'!BT40/'WICHE Public Grads-RE PROJ'!AE40</f>
        <v>3.22089881369889E-2</v>
      </c>
      <c r="AE38" s="269">
        <f>+'WICHE Public Grads-RE PROJ'!BU40/'WICHE Public Grads-RE PROJ'!AF40</f>
        <v>3.4229779591565555E-2</v>
      </c>
      <c r="AF38" s="269">
        <f>+'WICHE Public Grads-RE PROJ'!BV40/'WICHE Public Grads-RE PROJ'!AG40</f>
        <v>3.4908839127423194E-2</v>
      </c>
      <c r="AG38" s="269">
        <f>+'WICHE Public Grads-RE PROJ'!BW40/'WICHE Public Grads-RE PROJ'!AH40</f>
        <v>3.2895347652849308E-2</v>
      </c>
      <c r="AH38" s="269">
        <f>+'WICHE Public Grads-RE PROJ'!BX40/'WICHE Public Grads-RE PROJ'!AI40</f>
        <v>3.1006083111590213E-2</v>
      </c>
      <c r="AI38" s="269">
        <f>+'WICHE Public Grads-RE PROJ'!BY40/'WICHE Public Grads-RE PROJ'!AJ40</f>
        <v>3.2000129993003577E-2</v>
      </c>
      <c r="AJ38" s="269">
        <f>+'WICHE Public Grads-RE PROJ'!BZ40/'WICHE Public Grads-RE PROJ'!AK40</f>
        <v>3.1619714547342546E-2</v>
      </c>
      <c r="AK38" s="269">
        <f>+'WICHE Public Grads-RE PROJ'!CA40/'WICHE Public Grads-RE PROJ'!AL40</f>
        <v>2.9703360363390042E-2</v>
      </c>
      <c r="AL38" s="269">
        <f>+'WICHE Public Grads-RE PROJ'!CB40/'WICHE Public Grads-RE PROJ'!AM40</f>
        <v>3.0640729617350534E-2</v>
      </c>
      <c r="AM38" s="269">
        <f>+'WICHE Public Grads-RE PROJ'!CC40/'WICHE Public Grads-RE PROJ'!AN40</f>
        <v>3.0745590215644526E-2</v>
      </c>
      <c r="AN38" s="269">
        <f>+'WICHE Public Grads-RE PROJ'!CD40/'WICHE Public Grads-RE PROJ'!AO40</f>
        <v>3.7147122338704819E-2</v>
      </c>
      <c r="AO38" s="269">
        <f>+'WICHE Public Grads-RE PROJ'!CE40/'WICHE Public Grads-RE PROJ'!AP40</f>
        <v>3.6395705203495152E-2</v>
      </c>
      <c r="AP38" s="283">
        <f>+'WICHE Public Grads-RE PROJ'!CF40/'WICHE Public Grads-RE PROJ'!AQ40</f>
        <v>3.3808780439388633E-2</v>
      </c>
      <c r="AQ38" s="263">
        <f>+'WICHE Public Grads-RE PROJ'!CG40/'WICHE Public Grads-RE PROJ'!B40</f>
        <v>1.9938123066345823E-2</v>
      </c>
      <c r="AR38" s="263">
        <f>+'WICHE Public Grads-RE PROJ'!CH40/'WICHE Public Grads-RE PROJ'!C40</f>
        <v>1.4782462623887115E-2</v>
      </c>
      <c r="AS38" s="263">
        <f>+'WICHE Public Grads-RE PROJ'!CI40/'WICHE Public Grads-RE PROJ'!D40</f>
        <v>2.0843755210938803E-2</v>
      </c>
      <c r="AT38" s="263">
        <f>+'WICHE Public Grads-RE PROJ'!CJ40/'WICHE Public Grads-RE PROJ'!E40</f>
        <v>1.6131771098658515E-2</v>
      </c>
      <c r="AU38" s="263">
        <f>+'WICHE Public Grads-RE PROJ'!CK40/'WICHE Public Grads-RE PROJ'!F40</f>
        <v>1.4765784114052953E-2</v>
      </c>
      <c r="AV38" s="263">
        <f>+'WICHE Public Grads-RE PROJ'!CL40/'WICHE Public Grads-RE PROJ'!G40</f>
        <v>1.6611816329728881E-2</v>
      </c>
      <c r="AW38" s="263">
        <f>+'WICHE Public Grads-RE PROJ'!CM40/'WICHE Public Grads-RE PROJ'!H40</f>
        <v>1.6209476309226933E-2</v>
      </c>
      <c r="AX38" s="263">
        <f>+'WICHE Public Grads-RE PROJ'!CN40/'WICHE Public Grads-RE PROJ'!I40</f>
        <v>6.6162570888468808E-3</v>
      </c>
      <c r="AY38" s="263">
        <f>+'WICHE Public Grads-RE PROJ'!CO40/'WICHE Public Grads-RE PROJ'!J40</f>
        <v>1.3153822346022904E-2</v>
      </c>
      <c r="AZ38" s="263">
        <f>+'WICHE Public Grads-RE PROJ'!CP40/'WICHE Public Grads-RE PROJ'!K40</f>
        <v>1.6142315928183167E-2</v>
      </c>
      <c r="BA38" s="263">
        <f>+'WICHE Public Grads-RE PROJ'!CQ40/'WICHE Public Grads-RE PROJ'!L40</f>
        <v>1.6704880445463477E-2</v>
      </c>
      <c r="BB38" s="263">
        <f>+'WICHE Public Grads-RE PROJ'!CR40/'WICHE Public Grads-RE PROJ'!M40</f>
        <v>1.4029084687767323E-2</v>
      </c>
      <c r="BC38" s="263">
        <f>+'WICHE Public Grads-RE PROJ'!CS40/'WICHE Public Grads-RE PROJ'!N40</f>
        <v>1.7486713526487226E-2</v>
      </c>
      <c r="BD38" s="263">
        <f>+'WICHE Public Grads-RE PROJ'!CT40/'WICHE Public Grads-RE PROJ'!O40</f>
        <v>1.4245014245014245E-2</v>
      </c>
      <c r="BE38" s="263">
        <f>+'WICHE Public Grads-RE PROJ'!CU40/'WICHE Public Grads-RE PROJ'!P40</f>
        <v>2.8948796815632349E-2</v>
      </c>
      <c r="BF38" s="263">
        <f>+'WICHE Public Grads-RE PROJ'!CV40/'WICHE Public Grads-RE PROJ'!Q40</f>
        <v>2.1870979599338355E-2</v>
      </c>
      <c r="BG38" s="263">
        <f>+'WICHE Public Grads-RE PROJ'!CW40/'WICHE Public Grads-RE PROJ'!R40</f>
        <v>1.8201674554058973E-2</v>
      </c>
      <c r="BH38" s="263">
        <f>+'WICHE Public Grads-RE PROJ'!CX40/'WICHE Public Grads-RE PROJ'!S40</f>
        <v>2.3666484616785E-2</v>
      </c>
      <c r="BI38" s="263">
        <f>+'WICHE Public Grads-RE PROJ'!CY40/'WICHE Public Grads-RE PROJ'!T40</f>
        <v>1.9149813312930988E-2</v>
      </c>
      <c r="BJ38" s="263">
        <f>+'WICHE Public Grads-RE PROJ'!CZ40/'WICHE Public Grads-RE PROJ'!U40</f>
        <v>2.1719123052104754E-2</v>
      </c>
      <c r="BK38" s="263">
        <f>+'WICHE Public Grads-RE PROJ'!DA40/'WICHE Public Grads-RE PROJ'!V40</f>
        <v>1.936065390987847E-2</v>
      </c>
      <c r="BL38" s="263">
        <f>+'WICHE Public Grads-RE PROJ'!DB40/'WICHE Public Grads-RE PROJ'!W40</f>
        <v>1.6279750009094946E-2</v>
      </c>
      <c r="BM38" s="269">
        <f>+'WICHE Public Grads-RE PROJ'!DC40/'WICHE Public Grads-RE PROJ'!Y40</f>
        <v>1.7992466975174943E-2</v>
      </c>
      <c r="BN38" s="269">
        <f>+'WICHE Public Grads-RE PROJ'!DD40/'WICHE Public Grads-RE PROJ'!Z40</f>
        <v>1.8306606053326038E-2</v>
      </c>
      <c r="BO38" s="269">
        <f>+'WICHE Public Grads-RE PROJ'!DE40/'WICHE Public Grads-RE PROJ'!AA40</f>
        <v>1.8360482251477555E-2</v>
      </c>
      <c r="BP38" s="269">
        <f>+'WICHE Public Grads-RE PROJ'!DF40/'WICHE Public Grads-RE PROJ'!AB40</f>
        <v>1.7361463380011599E-2</v>
      </c>
      <c r="BQ38" s="269">
        <f>+'WICHE Public Grads-RE PROJ'!DG40/'WICHE Public Grads-RE PROJ'!AC40</f>
        <v>1.7521163442914042E-2</v>
      </c>
      <c r="BR38" s="269">
        <f>+'WICHE Public Grads-RE PROJ'!DH40/'WICHE Public Grads-RE PROJ'!AD40</f>
        <v>1.8825658154448911E-2</v>
      </c>
      <c r="BS38" s="269">
        <f>+'WICHE Public Grads-RE PROJ'!DI40/'WICHE Public Grads-RE PROJ'!AE40</f>
        <v>1.9675230116222801E-2</v>
      </c>
      <c r="BT38" s="269">
        <f>+'WICHE Public Grads-RE PROJ'!DJ40/'WICHE Public Grads-RE PROJ'!AF40</f>
        <v>2.0154659780005531E-2</v>
      </c>
      <c r="BU38" s="269">
        <f>+'WICHE Public Grads-RE PROJ'!DK40/'WICHE Public Grads-RE PROJ'!AG40</f>
        <v>2.0284977128168454E-2</v>
      </c>
      <c r="BV38" s="269">
        <f>+'WICHE Public Grads-RE PROJ'!DL40/'WICHE Public Grads-RE PROJ'!AH40</f>
        <v>2.1774038232553878E-2</v>
      </c>
      <c r="BW38" s="269">
        <f>+'WICHE Public Grads-RE PROJ'!DM40/'WICHE Public Grads-RE PROJ'!AI40</f>
        <v>2.0229637044755527E-2</v>
      </c>
      <c r="BX38" s="269">
        <f>+'WICHE Public Grads-RE PROJ'!DN40/'WICHE Public Grads-RE PROJ'!AJ40</f>
        <v>2.0631921278145296E-2</v>
      </c>
      <c r="BY38" s="269">
        <f>+'WICHE Public Grads-RE PROJ'!DO40/'WICHE Public Grads-RE PROJ'!AK40</f>
        <v>1.8227916449655778E-2</v>
      </c>
      <c r="BZ38" s="269">
        <f>+'WICHE Public Grads-RE PROJ'!DP40/'WICHE Public Grads-RE PROJ'!AL40</f>
        <v>1.7052273575986682E-2</v>
      </c>
      <c r="CA38" s="269">
        <f>+'WICHE Public Grads-RE PROJ'!DQ40/'WICHE Public Grads-RE PROJ'!AM40</f>
        <v>1.8970828677503587E-2</v>
      </c>
      <c r="CB38" s="269">
        <f>+'WICHE Public Grads-RE PROJ'!DR40/'WICHE Public Grads-RE PROJ'!AN40</f>
        <v>1.6899350234869923E-2</v>
      </c>
      <c r="CC38" s="269">
        <f>+'WICHE Public Grads-RE PROJ'!DS40/'WICHE Public Grads-RE PROJ'!AO40</f>
        <v>2.1094165573806264E-2</v>
      </c>
      <c r="CD38" s="269">
        <f>+'WICHE Public Grads-RE PROJ'!DT40/'WICHE Public Grads-RE PROJ'!AP40</f>
        <v>1.7841894568475593E-2</v>
      </c>
      <c r="CE38" s="283">
        <f>+'WICHE Public Grads-RE PROJ'!DU40/'WICHE Public Grads-RE PROJ'!AQ40</f>
        <v>1.7416870522619098E-2</v>
      </c>
      <c r="CF38" s="263">
        <f>+'WICHE Public Grads-RE PROJ'!DV40/'WICHE Public Grads-RE PROJ'!B40</f>
        <v>9.2815400481265041E-3</v>
      </c>
      <c r="CG38" s="263">
        <f>+'WICHE Public Grads-RE PROJ'!DW40/'WICHE Public Grads-RE PROJ'!C40</f>
        <v>7.7271963715773561E-3</v>
      </c>
      <c r="CH38" s="263">
        <f>+'WICHE Public Grads-RE PROJ'!DX40/'WICHE Public Grads-RE PROJ'!D40</f>
        <v>9.1712522928130737E-3</v>
      </c>
      <c r="CI38" s="263">
        <f>+'WICHE Public Grads-RE PROJ'!DY40/'WICHE Public Grads-RE PROJ'!E40</f>
        <v>9.8488707760230939E-3</v>
      </c>
      <c r="CJ38" s="263">
        <f>+'WICHE Public Grads-RE PROJ'!DZ40/'WICHE Public Grads-RE PROJ'!F40</f>
        <v>5.6008146639511197E-3</v>
      </c>
      <c r="CK38" s="263">
        <f>+'WICHE Public Grads-RE PROJ'!EA40/'WICHE Public Grads-RE PROJ'!G40</f>
        <v>8.6193386616517792E-3</v>
      </c>
      <c r="CL38" s="263">
        <f>+'WICHE Public Grads-RE PROJ'!EB40/'WICHE Public Grads-RE PROJ'!H40</f>
        <v>7.6371571072319198E-3</v>
      </c>
      <c r="CM38" s="263">
        <f>+'WICHE Public Grads-RE PROJ'!EC40/'WICHE Public Grads-RE PROJ'!I40</f>
        <v>5.1984877126654066E-3</v>
      </c>
      <c r="CN38" s="263">
        <f>+'WICHE Public Grads-RE PROJ'!ED40/'WICHE Public Grads-RE PROJ'!J40</f>
        <v>7.5827917053543793E-3</v>
      </c>
      <c r="CO38" s="263">
        <f>+'WICHE Public Grads-RE PROJ'!EE40/'WICHE Public Grads-RE PROJ'!K40</f>
        <v>1.0377203096689177E-2</v>
      </c>
      <c r="CP38" s="263">
        <f>+'WICHE Public Grads-RE PROJ'!EF40/'WICHE Public Grads-RE PROJ'!L40</f>
        <v>8.3524402227317385E-3</v>
      </c>
      <c r="CQ38" s="263">
        <f>+'WICHE Public Grads-RE PROJ'!EG40/'WICHE Public Grads-RE PROJ'!M40</f>
        <v>9.0675791274593669E-3</v>
      </c>
      <c r="CR38" s="263">
        <f>+'WICHE Public Grads-RE PROJ'!EH40/'WICHE Public Grads-RE PROJ'!N40</f>
        <v>8.7433567632436131E-3</v>
      </c>
      <c r="CS38" s="263">
        <f>+'WICHE Public Grads-RE PROJ'!EI40/'WICHE Public Grads-RE PROJ'!O40</f>
        <v>9.9715099715099714E-3</v>
      </c>
      <c r="CT38" s="263">
        <f>+'WICHE Public Grads-RE PROJ'!EJ40/'WICHE Public Grads-RE PROJ'!P40</f>
        <v>1.1760448706350643E-2</v>
      </c>
      <c r="CU38" s="263">
        <f>+'WICHE Public Grads-RE PROJ'!EK40/'WICHE Public Grads-RE PROJ'!Q40</f>
        <v>1.0843594927403052E-2</v>
      </c>
      <c r="CV38" s="263">
        <f>+'WICHE Public Grads-RE PROJ'!EL40/'WICHE Public Grads-RE PROJ'!R40</f>
        <v>1.2195121951219513E-2</v>
      </c>
      <c r="CW38" s="263">
        <f>+'WICHE Public Grads-RE PROJ'!EM40/'WICHE Public Grads-RE PROJ'!S40</f>
        <v>1.2561441835062807E-2</v>
      </c>
      <c r="CX38" s="263">
        <f>+'WICHE Public Grads-RE PROJ'!EN40/'WICHE Public Grads-RE PROJ'!T40</f>
        <v>1.0467152779686014E-2</v>
      </c>
      <c r="CY38" s="263">
        <f>+'WICHE Public Grads-RE PROJ'!EO40/'WICHE Public Grads-RE PROJ'!U40</f>
        <v>1.1404981418356502E-2</v>
      </c>
      <c r="CZ38" s="263">
        <f>+'WICHE Public Grads-RE PROJ'!EP40/'WICHE Public Grads-RE PROJ'!V40</f>
        <v>9.6867581475266178E-3</v>
      </c>
      <c r="DA38" s="263">
        <f>+'WICHE Public Grads-RE PROJ'!EQ40/'WICHE Public Grads-RE PROJ'!W40</f>
        <v>1.2350814675781399E-2</v>
      </c>
      <c r="DB38" s="269">
        <f>+'WICHE Public Grads-RE PROJ'!ER40/'WICHE Public Grads-RE PROJ'!Y40</f>
        <v>1.2869673563532977E-2</v>
      </c>
      <c r="DC38" s="269">
        <f>+'WICHE Public Grads-RE PROJ'!ES40/'WICHE Public Grads-RE PROJ'!Z40</f>
        <v>1.3085084981640837E-2</v>
      </c>
      <c r="DD38" s="269">
        <f>+'WICHE Public Grads-RE PROJ'!ET40/'WICHE Public Grads-RE PROJ'!AA40</f>
        <v>1.1097800455670933E-2</v>
      </c>
      <c r="DE38" s="269">
        <f>+'WICHE Public Grads-RE PROJ'!EU40/'WICHE Public Grads-RE PROJ'!AB40</f>
        <v>1.2155582235796332E-2</v>
      </c>
      <c r="DF38" s="269">
        <f>+'WICHE Public Grads-RE PROJ'!EV40/'WICHE Public Grads-RE PROJ'!AC40</f>
        <v>1.1306436822555327E-2</v>
      </c>
      <c r="DG38" s="269">
        <f>+'WICHE Public Grads-RE PROJ'!EW40/'WICHE Public Grads-RE PROJ'!AD40</f>
        <v>1.2111259371478462E-2</v>
      </c>
      <c r="DH38" s="269">
        <f>+'WICHE Public Grads-RE PROJ'!EX40/'WICHE Public Grads-RE PROJ'!AE40</f>
        <v>1.25337580207661E-2</v>
      </c>
      <c r="DI38" s="269">
        <f>+'WICHE Public Grads-RE PROJ'!EY40/'WICHE Public Grads-RE PROJ'!AF40</f>
        <v>1.4075119811560026E-2</v>
      </c>
      <c r="DJ38" s="269">
        <f>+'WICHE Public Grads-RE PROJ'!EZ40/'WICHE Public Grads-RE PROJ'!AG40</f>
        <v>1.462386199925474E-2</v>
      </c>
      <c r="DK38" s="269">
        <f>+'WICHE Public Grads-RE PROJ'!FA40/'WICHE Public Grads-RE PROJ'!AH40</f>
        <v>1.112130942029543E-2</v>
      </c>
      <c r="DL38" s="269">
        <f>+'WICHE Public Grads-RE PROJ'!FB40/'WICHE Public Grads-RE PROJ'!AI40</f>
        <v>1.0776446066834687E-2</v>
      </c>
      <c r="DM38" s="269">
        <f>+'WICHE Public Grads-RE PROJ'!FC40/'WICHE Public Grads-RE PROJ'!AJ40</f>
        <v>1.1368208714858281E-2</v>
      </c>
      <c r="DN38" s="269">
        <f>+'WICHE Public Grads-RE PROJ'!FD40/'WICHE Public Grads-RE PROJ'!AK40</f>
        <v>1.3391798097686767E-2</v>
      </c>
      <c r="DO38" s="269">
        <f>+'WICHE Public Grads-RE PROJ'!FE40/'WICHE Public Grads-RE PROJ'!AL40</f>
        <v>1.2651086787403358E-2</v>
      </c>
      <c r="DP38" s="269">
        <f>+'WICHE Public Grads-RE PROJ'!FF40/'WICHE Public Grads-RE PROJ'!AM40</f>
        <v>1.1669900939846945E-2</v>
      </c>
      <c r="DQ38" s="269">
        <f>+'WICHE Public Grads-RE PROJ'!FG40/'WICHE Public Grads-RE PROJ'!AN40</f>
        <v>1.3846239980774605E-2</v>
      </c>
      <c r="DR38" s="269">
        <f>+'WICHE Public Grads-RE PROJ'!FH40/'WICHE Public Grads-RE PROJ'!AO40</f>
        <v>1.6052956764898558E-2</v>
      </c>
      <c r="DS38" s="269">
        <f>+'WICHE Public Grads-RE PROJ'!FI40/'WICHE Public Grads-RE PROJ'!AP40</f>
        <v>1.8553810635019558E-2</v>
      </c>
      <c r="DT38" s="283">
        <f>+'WICHE Public Grads-RE PROJ'!FJ40/'WICHE Public Grads-RE PROJ'!AQ40</f>
        <v>1.6391909916769531E-2</v>
      </c>
      <c r="DU38" s="263">
        <f>+'WICHE Public Grads-RE PROJ'!FK40/'WICHE Public Grads-RE PROJ'!B40</f>
        <v>7.0470952217256792E-3</v>
      </c>
      <c r="DV38" s="263">
        <f>+'WICHE Public Grads-RE PROJ'!FL40/'WICHE Public Grads-RE PROJ'!C40</f>
        <v>6.383336133042164E-3</v>
      </c>
      <c r="DW38" s="263">
        <f>+'WICHE Public Grads-RE PROJ'!FM40/'WICHE Public Grads-RE PROJ'!D40</f>
        <v>6.0030015007503752E-3</v>
      </c>
      <c r="DX38" s="263">
        <f>+'WICHE Public Grads-RE PROJ'!FN40/'WICHE Public Grads-RE PROJ'!E40</f>
        <v>7.1319409067753439E-3</v>
      </c>
      <c r="DY38" s="263">
        <f>+'WICHE Public Grads-RE PROJ'!FO40/'WICHE Public Grads-RE PROJ'!F40</f>
        <v>8.3163611676849974E-3</v>
      </c>
      <c r="DZ38" s="263">
        <f>+'WICHE Public Grads-RE PROJ'!FP40/'WICHE Public Grads-RE PROJ'!G40</f>
        <v>6.5820404325340857E-3</v>
      </c>
      <c r="EA38" s="263">
        <f>+'WICHE Public Grads-RE PROJ'!FQ40/'WICHE Public Grads-RE PROJ'!H40</f>
        <v>7.6371571072319198E-3</v>
      </c>
      <c r="EB38" s="263">
        <f>+'WICHE Public Grads-RE PROJ'!FR40/'WICHE Public Grads-RE PROJ'!I40</f>
        <v>1.7643352236925015E-2</v>
      </c>
      <c r="EC38" s="263">
        <f>+'WICHE Public Grads-RE PROJ'!FS40/'WICHE Public Grads-RE PROJ'!J40</f>
        <v>4.487774682760755E-3</v>
      </c>
      <c r="ED38" s="263">
        <f>+'WICHE Public Grads-RE PROJ'!FT40/'WICHE Public Grads-RE PROJ'!K40</f>
        <v>8.7300280019766106E-3</v>
      </c>
      <c r="EE38" s="263">
        <f>+'WICHE Public Grads-RE PROJ'!FU40/'WICHE Public Grads-RE PROJ'!L40</f>
        <v>9.8264002620373405E-3</v>
      </c>
      <c r="EF38" s="263">
        <f>+'WICHE Public Grads-RE PROJ'!FV40/'WICHE Public Grads-RE PROJ'!M40</f>
        <v>1.0607356715141146E-2</v>
      </c>
      <c r="EG38" s="263">
        <f>+'WICHE Public Grads-RE PROJ'!FW40/'WICHE Public Grads-RE PROJ'!N40</f>
        <v>5.6574661409223388E-3</v>
      </c>
      <c r="EH38" s="263">
        <f>+'WICHE Public Grads-RE PROJ'!FX40/'WICHE Public Grads-RE PROJ'!O40</f>
        <v>8.5470085470085479E-3</v>
      </c>
      <c r="EI38" s="263">
        <f>+'WICHE Public Grads-RE PROJ'!FY40/'WICHE Public Grads-RE PROJ'!P40</f>
        <v>1.157951872625294E-2</v>
      </c>
      <c r="EJ38" s="263">
        <f>+'WICHE Public Grads-RE PROJ'!FZ40/'WICHE Public Grads-RE PROJ'!Q40</f>
        <v>9.7408564602095207E-3</v>
      </c>
      <c r="EK38" s="263">
        <f>+'WICHE Public Grads-RE PROJ'!GA40/'WICHE Public Grads-RE PROJ'!R40</f>
        <v>1.0010921004732436E-2</v>
      </c>
      <c r="EL38" s="263">
        <f>+'WICHE Public Grads-RE PROJ'!GB40/'WICHE Public Grads-RE PROJ'!S40</f>
        <v>1.18332423083925E-2</v>
      </c>
      <c r="EM38" s="263">
        <f>+'WICHE Public Grads-RE PROJ'!GC40/'WICHE Public Grads-RE PROJ'!T40</f>
        <v>1.09867618359554E-2</v>
      </c>
      <c r="EN38" s="263">
        <f>+'WICHE Public Grads-RE PROJ'!GD40/'WICHE Public Grads-RE PROJ'!U40</f>
        <v>9.2513589425784002E-3</v>
      </c>
      <c r="EO38" s="263">
        <f>+'WICHE Public Grads-RE PROJ'!GE40/'WICHE Public Grads-RE PROJ'!V40</f>
        <v>1.0402910264063807E-2</v>
      </c>
      <c r="EP38" s="263">
        <f>+'WICHE Public Grads-RE PROJ'!GF40/'WICHE Public Grads-RE PROJ'!W40</f>
        <v>1.1429658825283894E-2</v>
      </c>
      <c r="EQ38" s="269">
        <f>+'WICHE Public Grads-RE PROJ'!GG40/'WICHE Public Grads-RE PROJ'!Y40</f>
        <v>1.3080149567850351E-2</v>
      </c>
      <c r="ER38" s="269">
        <f>+'WICHE Public Grads-RE PROJ'!GH40/'WICHE Public Grads-RE PROJ'!Z40</f>
        <v>1.2000239526770493E-2</v>
      </c>
      <c r="ES38" s="269">
        <f>+'WICHE Public Grads-RE PROJ'!GI40/'WICHE Public Grads-RE PROJ'!AA40</f>
        <v>1.1639665457528495E-2</v>
      </c>
      <c r="ET38" s="269">
        <f>+'WICHE Public Grads-RE PROJ'!GJ40/'WICHE Public Grads-RE PROJ'!AB40</f>
        <v>1.1230002458826207E-2</v>
      </c>
      <c r="EU38" s="269">
        <f>+'WICHE Public Grads-RE PROJ'!GK40/'WICHE Public Grads-RE PROJ'!AC40</f>
        <v>1.498684806263059E-2</v>
      </c>
      <c r="EV38" s="269">
        <f>+'WICHE Public Grads-RE PROJ'!GL40/'WICHE Public Grads-RE PROJ'!AD40</f>
        <v>1.2113225836822918E-2</v>
      </c>
      <c r="EW38" s="269">
        <f>+'WICHE Public Grads-RE PROJ'!GM40/'WICHE Public Grads-RE PROJ'!AE40</f>
        <v>1.0702422819458419E-2</v>
      </c>
      <c r="EX38" s="269">
        <f>+'WICHE Public Grads-RE PROJ'!GN40/'WICHE Public Grads-RE PROJ'!AF40</f>
        <v>1.042595936977328E-2</v>
      </c>
      <c r="EY38" s="269">
        <f>+'WICHE Public Grads-RE PROJ'!GO40/'WICHE Public Grads-RE PROJ'!AG40</f>
        <v>1.2273349719415577E-2</v>
      </c>
      <c r="EZ38" s="269">
        <f>+'WICHE Public Grads-RE PROJ'!GP40/'WICHE Public Grads-RE PROJ'!AH40</f>
        <v>1.3392584036955086E-2</v>
      </c>
      <c r="FA38" s="269">
        <f>+'WICHE Public Grads-RE PROJ'!GQ40/'WICHE Public Grads-RE PROJ'!AI40</f>
        <v>1.1744035235261813E-2</v>
      </c>
      <c r="FB38" s="269">
        <f>+'WICHE Public Grads-RE PROJ'!GR40/'WICHE Public Grads-RE PROJ'!AJ40</f>
        <v>1.1956954286964128E-2</v>
      </c>
      <c r="FC38" s="269">
        <f>+'WICHE Public Grads-RE PROJ'!GS40/'WICHE Public Grads-RE PROJ'!AK40</f>
        <v>1.0721473317490352E-2</v>
      </c>
      <c r="FD38" s="269">
        <f>+'WICHE Public Grads-RE PROJ'!GT40/'WICHE Public Grads-RE PROJ'!AL40</f>
        <v>1.0936506347820738E-2</v>
      </c>
      <c r="FE38" s="269">
        <f>+'WICHE Public Grads-RE PROJ'!GU40/'WICHE Public Grads-RE PROJ'!AM40</f>
        <v>1.7361661773517559E-2</v>
      </c>
      <c r="FF38" s="269">
        <f>+'WICHE Public Grads-RE PROJ'!GV40/'WICHE Public Grads-RE PROJ'!AN40</f>
        <v>1.2642147328254038E-2</v>
      </c>
      <c r="FG38" s="269">
        <f>+'WICHE Public Grads-RE PROJ'!GW40/'WICHE Public Grads-RE PROJ'!AO40</f>
        <v>1.5172990988672946E-2</v>
      </c>
      <c r="FH38" s="269">
        <f>+'WICHE Public Grads-RE PROJ'!GX40/'WICHE Public Grads-RE PROJ'!AP40</f>
        <v>1.9620932052490159E-2</v>
      </c>
      <c r="FI38" s="283">
        <f>+'WICHE Public Grads-RE PROJ'!GY40/'WICHE Public Grads-RE PROJ'!AQ40</f>
        <v>1.619722056469652E-2</v>
      </c>
      <c r="FJ38" s="263">
        <f>+'WICHE Public Grads-RE PROJ'!GZ40/'WICHE Public Grads-RE PROJ'!B40</f>
        <v>5.6720522516328635E-2</v>
      </c>
      <c r="FK38" s="263">
        <f>+'WICHE Public Grads-RE PROJ'!HA40/'WICHE Public Grads-RE PROJ'!C40</f>
        <v>5.6274147488661178E-2</v>
      </c>
      <c r="FL38" s="263">
        <f>+'WICHE Public Grads-RE PROJ'!HB40/'WICHE Public Grads-RE PROJ'!D40</f>
        <v>5.1859262964815744E-2</v>
      </c>
      <c r="FM38" s="263">
        <f>+'WICHE Public Grads-RE PROJ'!HC40/'WICHE Public Grads-RE PROJ'!E40</f>
        <v>5.5866870436406861E-2</v>
      </c>
      <c r="FN38" s="263">
        <f>+'WICHE Public Grads-RE PROJ'!HD40/'WICHE Public Grads-RE PROJ'!F40</f>
        <v>4.684317718940937E-2</v>
      </c>
      <c r="FO38" s="263">
        <f>+'WICHE Public Grads-RE PROJ'!HE40/'WICHE Public Grads-RE PROJ'!G40</f>
        <v>4.9365303244005641E-2</v>
      </c>
      <c r="FP38" s="263">
        <f>+'WICHE Public Grads-RE PROJ'!HF40/'WICHE Public Grads-RE PROJ'!H40</f>
        <v>5.2992518703241898E-2</v>
      </c>
      <c r="FQ38" s="263">
        <f>+'WICHE Public Grads-RE PROJ'!HG40/'WICHE Public Grads-RE PROJ'!I40</f>
        <v>5.7025834908632639E-2</v>
      </c>
      <c r="FR38" s="263">
        <f>+'WICHE Public Grads-RE PROJ'!HH40/'WICHE Public Grads-RE PROJ'!J40</f>
        <v>5.462705044877747E-2</v>
      </c>
      <c r="FS38" s="263">
        <f>+'WICHE Public Grads-RE PROJ'!HI40/'WICHE Public Grads-RE PROJ'!K40</f>
        <v>4.5956185142480649E-2</v>
      </c>
      <c r="FT38" s="263">
        <f>+'WICHE Public Grads-RE PROJ'!HJ40/'WICHE Public Grads-RE PROJ'!L40</f>
        <v>5.3062561415001638E-2</v>
      </c>
      <c r="FU38" s="263">
        <f>+'WICHE Public Grads-RE PROJ'!HK40/'WICHE Public Grads-RE PROJ'!M40</f>
        <v>5.0812660393498715E-2</v>
      </c>
      <c r="FV38" s="263">
        <f>+'WICHE Public Grads-RE PROJ'!HL40/'WICHE Public Grads-RE PROJ'!N40</f>
        <v>5.4517400994342533E-2</v>
      </c>
      <c r="FW38" s="263">
        <f>+'WICHE Public Grads-RE PROJ'!HM40/'WICHE Public Grads-RE PROJ'!O40</f>
        <v>5.8404558404558403E-2</v>
      </c>
      <c r="FX38" s="263">
        <f>+'WICHE Public Grads-RE PROJ'!HN40/'WICHE Public Grads-RE PROJ'!P40</f>
        <v>6.1697123213316447E-2</v>
      </c>
      <c r="FY38" s="263">
        <f>+'WICHE Public Grads-RE PROJ'!HO40/'WICHE Public Grads-RE PROJ'!Q40</f>
        <v>6.0283036206579675E-2</v>
      </c>
      <c r="FZ38" s="263">
        <f>+'WICHE Public Grads-RE PROJ'!HP40/'WICHE Public Grads-RE PROJ'!R40</f>
        <v>6.9348380050964692E-2</v>
      </c>
      <c r="GA38" s="263">
        <f>+'WICHE Public Grads-RE PROJ'!HQ40/'WICHE Public Grads-RE PROJ'!S40</f>
        <v>7.5368651010376847E-2</v>
      </c>
      <c r="GB38" s="263">
        <f>+'WICHE Public Grads-RE PROJ'!HR40/'WICHE Public Grads-RE PROJ'!T40</f>
        <v>8.7796312554872691E-2</v>
      </c>
      <c r="GC38" s="263">
        <f>+'WICHE Public Grads-RE PROJ'!HS40/'WICHE Public Grads-RE PROJ'!U40</f>
        <v>0.10089285714285715</v>
      </c>
      <c r="GD38" s="263">
        <f>+'WICHE Public Grads-RE PROJ'!HT40/'WICHE Public Grads-RE PROJ'!V40</f>
        <v>9.8145146767513056E-2</v>
      </c>
      <c r="GE38" s="263">
        <f>+'WICHE Public Grads-RE PROJ'!HU40/'WICHE Public Grads-RE PROJ'!W40</f>
        <v>0.10293313900528329</v>
      </c>
      <c r="GF38" s="269">
        <f>+'WICHE Public Grads-RE PROJ'!HV40/'WICHE Public Grads-RE PROJ'!Y40</f>
        <v>0.10820204821092623</v>
      </c>
      <c r="GG38" s="269">
        <f>+'WICHE Public Grads-RE PROJ'!HW40/'WICHE Public Grads-RE PROJ'!Z40</f>
        <v>0.10682542211094144</v>
      </c>
      <c r="GH38" s="269">
        <f>+'WICHE Public Grads-RE PROJ'!HX40/'WICHE Public Grads-RE PROJ'!AA40</f>
        <v>0.11578479200332956</v>
      </c>
      <c r="GI38" s="269">
        <f>+'WICHE Public Grads-RE PROJ'!HY40/'WICHE Public Grads-RE PROJ'!AB40</f>
        <v>0.11708614914674366</v>
      </c>
      <c r="GJ38" s="269">
        <f>+'WICHE Public Grads-RE PROJ'!HZ40/'WICHE Public Grads-RE PROJ'!AC40</f>
        <v>0.12558315752744242</v>
      </c>
      <c r="GK38" s="269">
        <f>+'WICHE Public Grads-RE PROJ'!IA40/'WICHE Public Grads-RE PROJ'!AD40</f>
        <v>0.13134726800992863</v>
      </c>
      <c r="GL38" s="269">
        <f>+'WICHE Public Grads-RE PROJ'!IB40/'WICHE Public Grads-RE PROJ'!AE40</f>
        <v>0.13097869618360419</v>
      </c>
      <c r="GM38" s="269">
        <f>+'WICHE Public Grads-RE PROJ'!IC40/'WICHE Public Grads-RE PROJ'!AF40</f>
        <v>0.13428790616255512</v>
      </c>
      <c r="GN38" s="269">
        <f>+'WICHE Public Grads-RE PROJ'!ID40/'WICHE Public Grads-RE PROJ'!AG40</f>
        <v>0.13976650799935952</v>
      </c>
      <c r="GO38" s="269">
        <f>+'WICHE Public Grads-RE PROJ'!IE40/'WICHE Public Grads-RE PROJ'!AH40</f>
        <v>0.15116346499654287</v>
      </c>
      <c r="GP38" s="269">
        <f>+'WICHE Public Grads-RE PROJ'!IF40/'WICHE Public Grads-RE PROJ'!AI40</f>
        <v>0.13672265723253321</v>
      </c>
      <c r="GQ38" s="269">
        <f>+'WICHE Public Grads-RE PROJ'!IG40/'WICHE Public Grads-RE PROJ'!AJ40</f>
        <v>0.12901045067588757</v>
      </c>
      <c r="GR38" s="269">
        <f>+'WICHE Public Grads-RE PROJ'!IH40/'WICHE Public Grads-RE PROJ'!AK40</f>
        <v>0.16126312638006449</v>
      </c>
      <c r="GS38" s="269">
        <f>+'WICHE Public Grads-RE PROJ'!II40/'WICHE Public Grads-RE PROJ'!AL40</f>
        <v>0.15165528295660044</v>
      </c>
      <c r="GT38" s="269">
        <f>+'WICHE Public Grads-RE PROJ'!IJ40/'WICHE Public Grads-RE PROJ'!AM40</f>
        <v>0.14920618015926365</v>
      </c>
      <c r="GU38" s="269">
        <f>+'WICHE Public Grads-RE PROJ'!IK40/'WICHE Public Grads-RE PROJ'!AN40</f>
        <v>0.13753020779901423</v>
      </c>
      <c r="GV38" s="269">
        <f>+'WICHE Public Grads-RE PROJ'!IL40/'WICHE Public Grads-RE PROJ'!AO40</f>
        <v>0.13494534995723081</v>
      </c>
      <c r="GW38" s="269">
        <f>+'WICHE Public Grads-RE PROJ'!IM40/'WICHE Public Grads-RE PROJ'!AP40</f>
        <v>0.14613084125999559</v>
      </c>
      <c r="GX38" s="283">
        <f>+'WICHE Public Grads-RE PROJ'!IN40/'WICHE Public Grads-RE PROJ'!AQ40</f>
        <v>0.14038795322139358</v>
      </c>
      <c r="GY38" s="263">
        <f>+'WICHE Public Grads-RE PROJ'!IO40/'WICHE Public Grads-RE PROJ'!B40</f>
        <v>0.90701271914747339</v>
      </c>
      <c r="GZ38" s="263">
        <f>+'WICHE Public Grads-RE PROJ'!IP40/'WICHE Public Grads-RE PROJ'!C40</f>
        <v>0.91483285738283215</v>
      </c>
      <c r="HA38" s="263">
        <f>+'WICHE Public Grads-RE PROJ'!IQ40/'WICHE Public Grads-RE PROJ'!D40</f>
        <v>0.91212272803068206</v>
      </c>
      <c r="HB38" s="263">
        <f>+'WICHE Public Grads-RE PROJ'!IR40/'WICHE Public Grads-RE PROJ'!E40</f>
        <v>0.91102054678213618</v>
      </c>
      <c r="HC38" s="263">
        <f>+'WICHE Public Grads-RE PROJ'!IS40/'WICHE Public Grads-RE PROJ'!F40</f>
        <v>0.92447386286490152</v>
      </c>
      <c r="HD38" s="263">
        <f>+'WICHE Public Grads-RE PROJ'!IT40/'WICHE Public Grads-RE PROJ'!G40</f>
        <v>0.91882150133207963</v>
      </c>
      <c r="HE38" s="263">
        <f>+'WICHE Public Grads-RE PROJ'!IU40/'WICHE Public Grads-RE PROJ'!H40</f>
        <v>0.91552369077306728</v>
      </c>
      <c r="HF38" s="263">
        <f>+'WICHE Public Grads-RE PROJ'!IV40/'WICHE Public Grads-RE PROJ'!I40</f>
        <v>0.91351606805293006</v>
      </c>
      <c r="HG38" s="263">
        <f>+'WICHE Public Grads-RE PROJ'!IW40/'WICHE Public Grads-RE PROJ'!J40</f>
        <v>0.92014856081708452</v>
      </c>
      <c r="HH38" s="263">
        <f>+'WICHE Public Grads-RE PROJ'!IX40/'WICHE Public Grads-RE PROJ'!K40</f>
        <v>0.91879426783067042</v>
      </c>
      <c r="HI38" s="263">
        <f>+'WICHE Public Grads-RE PROJ'!IY40/'WICHE Public Grads-RE PROJ'!L40</f>
        <v>0.91205371765476584</v>
      </c>
      <c r="HJ38" s="263">
        <f>+'WICHE Public Grads-RE PROJ'!IZ40/'WICHE Public Grads-RE PROJ'!M40</f>
        <v>0.91548331907613345</v>
      </c>
      <c r="HK38" s="263">
        <f>+'WICHE Public Grads-RE PROJ'!JA40/'WICHE Public Grads-RE PROJ'!N40</f>
        <v>0.91359506257500434</v>
      </c>
      <c r="HL38" s="263">
        <f>+'WICHE Public Grads-RE PROJ'!JB40/'WICHE Public Grads-RE PROJ'!O40</f>
        <v>0.90883190883190879</v>
      </c>
      <c r="HM38" s="263">
        <f>+'WICHE Public Grads-RE PROJ'!JC40/'WICHE Public Grads-RE PROJ'!P40</f>
        <v>0.88601411253844764</v>
      </c>
      <c r="HN38" s="263">
        <f>+'WICHE Public Grads-RE PROJ'!JD40/'WICHE Public Grads-RE PROJ'!Q40</f>
        <v>0.89726153280646936</v>
      </c>
      <c r="HO38" s="263">
        <f>+'WICHE Public Grads-RE PROJ'!JE40/'WICHE Public Grads-RE PROJ'!R40</f>
        <v>0.8902439024390244</v>
      </c>
      <c r="HP38" s="263">
        <f>+'WICHE Public Grads-RE PROJ'!JF40/'WICHE Public Grads-RE PROJ'!S40</f>
        <v>0.87657018022938282</v>
      </c>
      <c r="HQ38" s="263">
        <f>+'WICHE Public Grads-RE PROJ'!JG40/'WICHE Public Grads-RE PROJ'!T40</f>
        <v>0.87159995951655489</v>
      </c>
      <c r="HR38" s="263">
        <f>+'WICHE Public Grads-RE PROJ'!JH40/'WICHE Public Grads-RE PROJ'!U40</f>
        <v>0.85673167944410322</v>
      </c>
      <c r="HS38" s="263">
        <f>+'WICHE Public Grads-RE PROJ'!JI40/'WICHE Public Grads-RE PROJ'!V40</f>
        <v>0.86240453091101799</v>
      </c>
      <c r="HT38" s="263">
        <f>+'WICHE Public Grads-RE PROJ'!JJ40/'WICHE Public Grads-RE PROJ'!W40</f>
        <v>0.85700663748455641</v>
      </c>
      <c r="HU38" s="269">
        <f>+'WICHE Public Grads-RE PROJ'!JK40/'WICHE Public Grads-RE PROJ'!Y40</f>
        <v>0.84703707690546959</v>
      </c>
      <c r="HV38" s="269">
        <f>+'WICHE Public Grads-RE PROJ'!JL40/'WICHE Public Grads-RE PROJ'!Z40</f>
        <v>0.84919047476675902</v>
      </c>
      <c r="HW38" s="269">
        <f>+'WICHE Public Grads-RE PROJ'!JM40/'WICHE Public Grads-RE PROJ'!AA40</f>
        <v>0.84191572590319463</v>
      </c>
      <c r="HX38" s="269">
        <f>+'WICHE Public Grads-RE PROJ'!JN40/'WICHE Public Grads-RE PROJ'!AB40</f>
        <v>0.8420513335317964</v>
      </c>
      <c r="HY38" s="269">
        <f>+'WICHE Public Grads-RE PROJ'!JO40/'WICHE Public Grads-RE PROJ'!AC40</f>
        <v>0.82915234118296</v>
      </c>
      <c r="HZ38" s="269">
        <f>+'WICHE Public Grads-RE PROJ'!JP40/'WICHE Public Grads-RE PROJ'!AD40</f>
        <v>0.82330462500500268</v>
      </c>
      <c r="IA38" s="269">
        <f>+'WICHE Public Grads-RE PROJ'!JQ40/'WICHE Public Grads-RE PROJ'!AE40</f>
        <v>0.82339400116383865</v>
      </c>
      <c r="IB38" s="269">
        <f>+'WICHE Public Grads-RE PROJ'!JR40/'WICHE Public Grads-RE PROJ'!AF40</f>
        <v>0.81852952724246819</v>
      </c>
      <c r="IC38" s="269">
        <f>+'WICHE Public Grads-RE PROJ'!JS40/'WICHE Public Grads-RE PROJ'!AG40</f>
        <v>0.8107047004692115</v>
      </c>
      <c r="ID38" s="269">
        <f>+'WICHE Public Grads-RE PROJ'!JT40/'WICHE Public Grads-RE PROJ'!AH40</f>
        <v>0.79886102654479618</v>
      </c>
      <c r="IE38" s="269">
        <f>+'WICHE Public Grads-RE PROJ'!JU40/'WICHE Public Grads-RE PROJ'!AI40</f>
        <v>0.81778370411472567</v>
      </c>
      <c r="IF38" s="269">
        <f>+'WICHE Public Grads-RE PROJ'!JV40/'WICHE Public Grads-RE PROJ'!AJ40</f>
        <v>0.82420059730180351</v>
      </c>
      <c r="IG38" s="269">
        <f>+'WICHE Public Grads-RE PROJ'!JW40/'WICHE Public Grads-RE PROJ'!AK40</f>
        <v>0.8019127018328156</v>
      </c>
      <c r="IH38" s="269">
        <f>+'WICHE Public Grads-RE PROJ'!JX40/'WICHE Public Grads-RE PROJ'!AL40</f>
        <v>0.81189782591965032</v>
      </c>
      <c r="II38" s="269">
        <f>+'WICHE Public Grads-RE PROJ'!JY40/'WICHE Public Grads-RE PROJ'!AM40</f>
        <v>0.80634160424532764</v>
      </c>
      <c r="IJ38" s="269">
        <f>+'WICHE Public Grads-RE PROJ'!JZ40/'WICHE Public Grads-RE PROJ'!AN40</f>
        <v>0.81223025585037578</v>
      </c>
      <c r="IK38" s="269">
        <f>+'WICHE Public Grads-RE PROJ'!KA40/'WICHE Public Grads-RE PROJ'!AO40</f>
        <v>0.81245413546857048</v>
      </c>
      <c r="IL38" s="269">
        <f>+'WICHE Public Grads-RE PROJ'!KB40/'WICHE Public Grads-RE PROJ'!AP40</f>
        <v>0.80418146329076012</v>
      </c>
      <c r="IM38" s="283">
        <f>+'WICHE Public Grads-RE PROJ'!KC40/'WICHE Public Grads-RE PROJ'!AQ40</f>
        <v>0.81378375119785507</v>
      </c>
      <c r="IN38" s="448">
        <f t="shared" si="44"/>
        <v>1</v>
      </c>
      <c r="IO38" s="449">
        <f t="shared" si="45"/>
        <v>1</v>
      </c>
      <c r="IP38" s="449">
        <f t="shared" si="46"/>
        <v>1</v>
      </c>
      <c r="IQ38" s="449">
        <f t="shared" si="47"/>
        <v>1</v>
      </c>
      <c r="IR38" s="449">
        <f t="shared" si="48"/>
        <v>1</v>
      </c>
      <c r="IS38" s="449">
        <f t="shared" si="49"/>
        <v>1</v>
      </c>
      <c r="IT38" s="449">
        <f t="shared" si="50"/>
        <v>1</v>
      </c>
      <c r="IU38" s="449">
        <f t="shared" si="51"/>
        <v>1</v>
      </c>
      <c r="IV38" s="449">
        <f t="shared" si="52"/>
        <v>1</v>
      </c>
      <c r="IW38" s="449">
        <f t="shared" si="53"/>
        <v>1</v>
      </c>
      <c r="IX38" s="449">
        <f t="shared" si="54"/>
        <v>1</v>
      </c>
      <c r="IY38" s="449">
        <f t="shared" si="55"/>
        <v>1</v>
      </c>
      <c r="IZ38" s="449">
        <f t="shared" si="56"/>
        <v>1</v>
      </c>
      <c r="JA38" s="449">
        <f t="shared" si="57"/>
        <v>1</v>
      </c>
      <c r="JB38" s="449">
        <f t="shared" si="58"/>
        <v>1</v>
      </c>
      <c r="JC38" s="449">
        <f t="shared" si="59"/>
        <v>1</v>
      </c>
      <c r="JD38" s="449">
        <f t="shared" si="60"/>
        <v>1</v>
      </c>
      <c r="JE38" s="449">
        <f t="shared" si="61"/>
        <v>1</v>
      </c>
      <c r="JF38" s="449">
        <f t="shared" si="62"/>
        <v>1</v>
      </c>
      <c r="JG38" s="449">
        <f t="shared" si="63"/>
        <v>1</v>
      </c>
      <c r="JH38" s="449">
        <f t="shared" si="64"/>
        <v>1</v>
      </c>
      <c r="JI38" s="449">
        <f t="shared" si="65"/>
        <v>1</v>
      </c>
      <c r="JJ38" s="449">
        <f t="shared" si="66"/>
        <v>0.99918141522295412</v>
      </c>
      <c r="JK38" s="449">
        <f t="shared" si="67"/>
        <v>0.99940782743943779</v>
      </c>
      <c r="JL38" s="449">
        <f t="shared" si="68"/>
        <v>0.99879846607120115</v>
      </c>
      <c r="JM38" s="449">
        <f t="shared" si="69"/>
        <v>0.99988453075317418</v>
      </c>
      <c r="JN38" s="449">
        <f t="shared" si="70"/>
        <v>0.99854994703850242</v>
      </c>
      <c r="JO38" s="449">
        <f t="shared" si="71"/>
        <v>0.99770203637768162</v>
      </c>
      <c r="JP38" s="449">
        <f t="shared" si="72"/>
        <v>0.99728410830389014</v>
      </c>
      <c r="JQ38" s="449">
        <f t="shared" si="73"/>
        <v>0.99747317236636213</v>
      </c>
      <c r="JR38" s="449">
        <f t="shared" si="74"/>
        <v>0.99765339731540981</v>
      </c>
      <c r="JS38" s="449">
        <f t="shared" si="75"/>
        <v>0.99631242323114344</v>
      </c>
      <c r="JT38" s="449">
        <f t="shared" si="76"/>
        <v>0.99725647969411091</v>
      </c>
      <c r="JU38" s="449">
        <f t="shared" si="77"/>
        <v>0.99716813225765877</v>
      </c>
      <c r="JV38" s="449">
        <f t="shared" si="78"/>
        <v>1.0055170160777129</v>
      </c>
      <c r="JW38" s="449">
        <f t="shared" si="79"/>
        <v>1.0041929755874615</v>
      </c>
      <c r="JX38" s="449">
        <f t="shared" si="80"/>
        <v>1.0035501757954595</v>
      </c>
      <c r="JY38" s="449">
        <f t="shared" si="81"/>
        <v>0.99314820119328862</v>
      </c>
      <c r="JZ38" s="449">
        <f t="shared" si="81"/>
        <v>0.99971959875317906</v>
      </c>
      <c r="KA38" s="449">
        <f t="shared" si="81"/>
        <v>1.0063289418067409</v>
      </c>
      <c r="KB38" s="449">
        <f t="shared" si="81"/>
        <v>1.0041777054233338</v>
      </c>
    </row>
    <row r="39" spans="1:288" s="17" customFormat="1">
      <c r="A39" s="113" t="s">
        <v>64</v>
      </c>
      <c r="B39" s="262">
        <f>+'WICHE Public Grads-RE PROJ'!AR42/'WICHE Public Grads-RE PROJ'!B42</f>
        <v>2.4554350440087351E-2</v>
      </c>
      <c r="C39" s="262">
        <f>+'WICHE Public Grads-RE PROJ'!AS42/'WICHE Public Grads-RE PROJ'!C42</f>
        <v>2.5916956606427899E-2</v>
      </c>
      <c r="D39" s="262">
        <f>+'WICHE Public Grads-RE PROJ'!AT42/'WICHE Public Grads-RE PROJ'!D42</f>
        <v>2.7555972711786971E-2</v>
      </c>
      <c r="E39" s="262">
        <f>+'WICHE Public Grads-RE PROJ'!AU42/'WICHE Public Grads-RE PROJ'!E42</f>
        <v>2.6664849379984507E-2</v>
      </c>
      <c r="F39" s="262">
        <f>+'WICHE Public Grads-RE PROJ'!AV42/'WICHE Public Grads-RE PROJ'!F42</f>
        <v>2.7254447734495611E-2</v>
      </c>
      <c r="G39" s="262">
        <f>+'WICHE Public Grads-RE PROJ'!AW42/'WICHE Public Grads-RE PROJ'!G42</f>
        <v>2.5839546655321188E-2</v>
      </c>
      <c r="H39" s="267">
        <f>+'WICHE Public Grads-RE PROJ'!AX42/'WICHE Public Grads-RE PROJ'!H42</f>
        <v>2.6716074423684517E-2</v>
      </c>
      <c r="I39" s="267">
        <f>+'WICHE Public Grads-RE PROJ'!AY42/'WICHE Public Grads-RE PROJ'!I42</f>
        <v>2.7528047283797191E-2</v>
      </c>
      <c r="J39" s="267">
        <f>+'WICHE Public Grads-RE PROJ'!AZ42/'WICHE Public Grads-RE PROJ'!J42</f>
        <v>2.9115529669604779E-2</v>
      </c>
      <c r="K39" s="267">
        <f>+'WICHE Public Grads-RE PROJ'!BA42/'WICHE Public Grads-RE PROJ'!K42</f>
        <v>3.0308482094390247E-2</v>
      </c>
      <c r="L39" s="262">
        <f>+'WICHE Public Grads-RE PROJ'!BB42/'WICHE Public Grads-RE PROJ'!L42</f>
        <v>3.220182923086367E-2</v>
      </c>
      <c r="M39" s="267">
        <f>+'WICHE Public Grads-RE PROJ'!BC42/'WICHE Public Grads-RE PROJ'!M42</f>
        <v>3.1489139217643423E-2</v>
      </c>
      <c r="N39" s="267">
        <f>+'WICHE Public Grads-RE PROJ'!BD42/'WICHE Public Grads-RE PROJ'!N42</f>
        <v>3.2567661973320873E-2</v>
      </c>
      <c r="O39" s="267">
        <f>+'WICHE Public Grads-RE PROJ'!BE42/'WICHE Public Grads-RE PROJ'!O42</f>
        <v>3.3509853927238445E-2</v>
      </c>
      <c r="P39" s="267">
        <f>+'WICHE Public Grads-RE PROJ'!BF42/'WICHE Public Grads-RE PROJ'!P42</f>
        <v>3.4984335917456207E-2</v>
      </c>
      <c r="Q39" s="267">
        <f>+'WICHE Public Grads-RE PROJ'!BG42/'WICHE Public Grads-RE PROJ'!Q42</f>
        <v>3.4650711890831555E-2</v>
      </c>
      <c r="R39" s="267">
        <f>+'WICHE Public Grads-RE PROJ'!BH42/'WICHE Public Grads-RE PROJ'!R42</f>
        <v>3.4933862067053047E-2</v>
      </c>
      <c r="S39" s="267">
        <f>+'WICHE Public Grads-RE PROJ'!BI42/'WICHE Public Grads-RE PROJ'!S42</f>
        <v>3.5142487624314322E-2</v>
      </c>
      <c r="T39" s="267">
        <f>+'WICHE Public Grads-RE PROJ'!BJ42/'WICHE Public Grads-RE PROJ'!T42</f>
        <v>3.4810059837084954E-2</v>
      </c>
      <c r="U39" s="267">
        <f>+'WICHE Public Grads-RE PROJ'!BK42/'WICHE Public Grads-RE PROJ'!U42</f>
        <v>3.6372535881819754E-2</v>
      </c>
      <c r="V39" s="267">
        <f>+'WICHE Public Grads-RE PROJ'!BL42/'WICHE Public Grads-RE PROJ'!V42</f>
        <v>3.7719662308463339E-2</v>
      </c>
      <c r="W39" s="267">
        <f>+'WICHE Public Grads-RE PROJ'!BM42/'WICHE Public Grads-RE PROJ'!W42</f>
        <v>3.8957022229857891E-2</v>
      </c>
      <c r="X39" s="268">
        <f>+'WICHE Public Grads-RE PROJ'!BN42/'WICHE Public Grads-RE PROJ'!Y42</f>
        <v>4.015185434835869E-2</v>
      </c>
      <c r="Y39" s="268">
        <f>+'WICHE Public Grads-RE PROJ'!BO42/'WICHE Public Grads-RE PROJ'!Z42</f>
        <v>4.1097082135113948E-2</v>
      </c>
      <c r="Z39" s="268">
        <f>+'WICHE Public Grads-RE PROJ'!BP42/'WICHE Public Grads-RE PROJ'!AA42</f>
        <v>4.1703544278768989E-2</v>
      </c>
      <c r="AA39" s="268">
        <f>+'WICHE Public Grads-RE PROJ'!BQ42/'WICHE Public Grads-RE PROJ'!AB42</f>
        <v>4.2536433311886272E-2</v>
      </c>
      <c r="AB39" s="268">
        <f>+'WICHE Public Grads-RE PROJ'!BR42/'WICHE Public Grads-RE PROJ'!AC42</f>
        <v>4.4997130740718441E-2</v>
      </c>
      <c r="AC39" s="268">
        <f>+'WICHE Public Grads-RE PROJ'!BS42/'WICHE Public Grads-RE PROJ'!AD42</f>
        <v>4.5215941293014504E-2</v>
      </c>
      <c r="AD39" s="268">
        <f>+'WICHE Public Grads-RE PROJ'!BT42/'WICHE Public Grads-RE PROJ'!AE42</f>
        <v>4.7084852794340312E-2</v>
      </c>
      <c r="AE39" s="268">
        <f>+'WICHE Public Grads-RE PROJ'!BU42/'WICHE Public Grads-RE PROJ'!AF42</f>
        <v>4.8888140909584724E-2</v>
      </c>
      <c r="AF39" s="268">
        <f>+'WICHE Public Grads-RE PROJ'!BV42/'WICHE Public Grads-RE PROJ'!AG42</f>
        <v>4.9664611862807982E-2</v>
      </c>
      <c r="AG39" s="268">
        <f>+'WICHE Public Grads-RE PROJ'!BW42/'WICHE Public Grads-RE PROJ'!AH42</f>
        <v>5.0099077671551355E-2</v>
      </c>
      <c r="AH39" s="268">
        <f>+'WICHE Public Grads-RE PROJ'!BX42/'WICHE Public Grads-RE PROJ'!AI42</f>
        <v>4.964770216977496E-2</v>
      </c>
      <c r="AI39" s="268">
        <f>+'WICHE Public Grads-RE PROJ'!BY42/'WICHE Public Grads-RE PROJ'!AJ42</f>
        <v>5.0368935884939646E-2</v>
      </c>
      <c r="AJ39" s="268">
        <f>+'WICHE Public Grads-RE PROJ'!BZ42/'WICHE Public Grads-RE PROJ'!AK42</f>
        <v>5.3193383497354772E-2</v>
      </c>
      <c r="AK39" s="266">
        <f>+'WICHE Public Grads-RE PROJ'!CA42/'WICHE Public Grads-RE PROJ'!AL42</f>
        <v>5.3911747892700486E-2</v>
      </c>
      <c r="AL39" s="266">
        <f>+'WICHE Public Grads-RE PROJ'!CB42/'WICHE Public Grads-RE PROJ'!AM42</f>
        <v>5.4595177539360565E-2</v>
      </c>
      <c r="AM39" s="266">
        <f>+'WICHE Public Grads-RE PROJ'!CC42/'WICHE Public Grads-RE PROJ'!AN42</f>
        <v>5.5588453800641771E-2</v>
      </c>
      <c r="AN39" s="266">
        <f>+'WICHE Public Grads-RE PROJ'!CD42/'WICHE Public Grads-RE PROJ'!AO42</f>
        <v>5.8804159412079678E-2</v>
      </c>
      <c r="AO39" s="266">
        <f>+'WICHE Public Grads-RE PROJ'!CE42/'WICHE Public Grads-RE PROJ'!AP42</f>
        <v>5.8927354985878491E-2</v>
      </c>
      <c r="AP39" s="282">
        <f>+'WICHE Public Grads-RE PROJ'!CF42/'WICHE Public Grads-RE PROJ'!AQ42</f>
        <v>6.0828905154279918E-2</v>
      </c>
      <c r="AQ39" s="262">
        <f>+'WICHE Public Grads-RE PROJ'!CG42/'WICHE Public Grads-RE PROJ'!B42</f>
        <v>6.1076894997204789E-3</v>
      </c>
      <c r="AR39" s="262">
        <f>+'WICHE Public Grads-RE PROJ'!CH42/'WICHE Public Grads-RE PROJ'!C42</f>
        <v>6.84576924135449E-3</v>
      </c>
      <c r="AS39" s="262">
        <f>+'WICHE Public Grads-RE PROJ'!CI42/'WICHE Public Grads-RE PROJ'!D42</f>
        <v>7.4614461170551772E-3</v>
      </c>
      <c r="AT39" s="262">
        <f>+'WICHE Public Grads-RE PROJ'!CJ42/'WICHE Public Grads-RE PROJ'!E42</f>
        <v>7.0167163230635604E-3</v>
      </c>
      <c r="AU39" s="262">
        <f>+'WICHE Public Grads-RE PROJ'!CK42/'WICHE Public Grads-RE PROJ'!F42</f>
        <v>7.7141743844032938E-3</v>
      </c>
      <c r="AV39" s="262">
        <f>+'WICHE Public Grads-RE PROJ'!CL42/'WICHE Public Grads-RE PROJ'!G42</f>
        <v>5.8851981927038428E-3</v>
      </c>
      <c r="AW39" s="267">
        <f>+'WICHE Public Grads-RE PROJ'!CM42/'WICHE Public Grads-RE PROJ'!H42</f>
        <v>5.8509185942192928E-3</v>
      </c>
      <c r="AX39" s="267">
        <f>+'WICHE Public Grads-RE PROJ'!CN42/'WICHE Public Grads-RE PROJ'!I42</f>
        <v>5.7077325227775358E-3</v>
      </c>
      <c r="AY39" s="267">
        <f>+'WICHE Public Grads-RE PROJ'!CO42/'WICHE Public Grads-RE PROJ'!J42</f>
        <v>5.7364883505515319E-3</v>
      </c>
      <c r="AZ39" s="267">
        <f>+'WICHE Public Grads-RE PROJ'!CP42/'WICHE Public Grads-RE PROJ'!K42</f>
        <v>6.0765854490748639E-3</v>
      </c>
      <c r="BA39" s="262">
        <f>+'WICHE Public Grads-RE PROJ'!CQ42/'WICHE Public Grads-RE PROJ'!L42</f>
        <v>6.5434902707016147E-3</v>
      </c>
      <c r="BB39" s="267">
        <f>+'WICHE Public Grads-RE PROJ'!CR42/'WICHE Public Grads-RE PROJ'!M42</f>
        <v>6.4924069585056325E-3</v>
      </c>
      <c r="BC39" s="267">
        <f>+'WICHE Public Grads-RE PROJ'!CS42/'WICHE Public Grads-RE PROJ'!N42</f>
        <v>6.7729923623859444E-3</v>
      </c>
      <c r="BD39" s="267">
        <f>+'WICHE Public Grads-RE PROJ'!CT42/'WICHE Public Grads-RE PROJ'!O42</f>
        <v>7.0672265679254595E-3</v>
      </c>
      <c r="BE39" s="267">
        <f>+'WICHE Public Grads-RE PROJ'!CU42/'WICHE Public Grads-RE PROJ'!P42</f>
        <v>6.9337138128993687E-3</v>
      </c>
      <c r="BF39" s="267">
        <f>+'WICHE Public Grads-RE PROJ'!CV42/'WICHE Public Grads-RE PROJ'!Q42</f>
        <v>7.2888972342305047E-3</v>
      </c>
      <c r="BG39" s="267">
        <f>+'WICHE Public Grads-RE PROJ'!CW42/'WICHE Public Grads-RE PROJ'!R42</f>
        <v>7.1129475056154849E-3</v>
      </c>
      <c r="BH39" s="267">
        <f>+'WICHE Public Grads-RE PROJ'!CX42/'WICHE Public Grads-RE PROJ'!S42</f>
        <v>7.3013758194710784E-3</v>
      </c>
      <c r="BI39" s="267">
        <f>+'WICHE Public Grads-RE PROJ'!CY42/'WICHE Public Grads-RE PROJ'!T42</f>
        <v>7.3502147528101509E-3</v>
      </c>
      <c r="BJ39" s="267">
        <f>+'WICHE Public Grads-RE PROJ'!CZ42/'WICHE Public Grads-RE PROJ'!U42</f>
        <v>7.1955907715941375E-3</v>
      </c>
      <c r="BK39" s="267">
        <f>+'WICHE Public Grads-RE PROJ'!DA42/'WICHE Public Grads-RE PROJ'!V42</f>
        <v>7.2430888984084717E-3</v>
      </c>
      <c r="BL39" s="267">
        <f>+'WICHE Public Grads-RE PROJ'!DB42/'WICHE Public Grads-RE PROJ'!W42</f>
        <v>7.0471105501844393E-3</v>
      </c>
      <c r="BM39" s="268">
        <f>+'WICHE Public Grads-RE PROJ'!DC42/'WICHE Public Grads-RE PROJ'!Y42</f>
        <v>6.9676499083834303E-3</v>
      </c>
      <c r="BN39" s="268">
        <f>+'WICHE Public Grads-RE PROJ'!DD42/'WICHE Public Grads-RE PROJ'!Z42</f>
        <v>6.7263026236941614E-3</v>
      </c>
      <c r="BO39" s="268">
        <f>+'WICHE Public Grads-RE PROJ'!DE42/'WICHE Public Grads-RE PROJ'!AA42</f>
        <v>6.7274185464429627E-3</v>
      </c>
      <c r="BP39" s="268">
        <f>+'WICHE Public Grads-RE PROJ'!DF42/'WICHE Public Grads-RE PROJ'!AB42</f>
        <v>6.600339026304026E-3</v>
      </c>
      <c r="BQ39" s="268">
        <f>+'WICHE Public Grads-RE PROJ'!DG42/'WICHE Public Grads-RE PROJ'!AC42</f>
        <v>6.4328903234739561E-3</v>
      </c>
      <c r="BR39" s="268">
        <f>+'WICHE Public Grads-RE PROJ'!DH42/'WICHE Public Grads-RE PROJ'!AD42</f>
        <v>6.4027437468524148E-3</v>
      </c>
      <c r="BS39" s="268">
        <f>+'WICHE Public Grads-RE PROJ'!DI42/'WICHE Public Grads-RE PROJ'!AE42</f>
        <v>6.2628855619175942E-3</v>
      </c>
      <c r="BT39" s="268">
        <f>+'WICHE Public Grads-RE PROJ'!DJ42/'WICHE Public Grads-RE PROJ'!AF42</f>
        <v>6.1768651258968131E-3</v>
      </c>
      <c r="BU39" s="268">
        <f>+'WICHE Public Grads-RE PROJ'!DK42/'WICHE Public Grads-RE PROJ'!AG42</f>
        <v>6.110346243609099E-3</v>
      </c>
      <c r="BV39" s="268">
        <f>+'WICHE Public Grads-RE PROJ'!DL42/'WICHE Public Grads-RE PROJ'!AH42</f>
        <v>6.0502393402498151E-3</v>
      </c>
      <c r="BW39" s="268">
        <f>+'WICHE Public Grads-RE PROJ'!DM42/'WICHE Public Grads-RE PROJ'!AI42</f>
        <v>5.8044914765201681E-3</v>
      </c>
      <c r="BX39" s="268">
        <f>+'WICHE Public Grads-RE PROJ'!DN42/'WICHE Public Grads-RE PROJ'!AJ42</f>
        <v>5.7960803552117527E-3</v>
      </c>
      <c r="BY39" s="268">
        <f>+'WICHE Public Grads-RE PROJ'!DO42/'WICHE Public Grads-RE PROJ'!AK42</f>
        <v>6.0527421205371227E-3</v>
      </c>
      <c r="BZ39" s="266">
        <f>+'WICHE Public Grads-RE PROJ'!DP42/'WICHE Public Grads-RE PROJ'!AL42</f>
        <v>6.0887202194796078E-3</v>
      </c>
      <c r="CA39" s="266">
        <f>+'WICHE Public Grads-RE PROJ'!DQ42/'WICHE Public Grads-RE PROJ'!AM42</f>
        <v>5.9556595333390694E-3</v>
      </c>
      <c r="CB39" s="266">
        <f>+'WICHE Public Grads-RE PROJ'!DR42/'WICHE Public Grads-RE PROJ'!AN42</f>
        <v>5.7792598939367798E-3</v>
      </c>
      <c r="CC39" s="266">
        <f>+'WICHE Public Grads-RE PROJ'!DS42/'WICHE Public Grads-RE PROJ'!AO42</f>
        <v>5.677041063619704E-3</v>
      </c>
      <c r="CD39" s="266">
        <f>+'WICHE Public Grads-RE PROJ'!DT42/'WICHE Public Grads-RE PROJ'!AP42</f>
        <v>5.6966061241158399E-3</v>
      </c>
      <c r="CE39" s="282">
        <f>+'WICHE Public Grads-RE PROJ'!DU42/'WICHE Public Grads-RE PROJ'!AQ42</f>
        <v>5.7143782452769932E-3</v>
      </c>
      <c r="CF39" s="262">
        <f>+'WICHE Public Grads-RE PROJ'!DV42/'WICHE Public Grads-RE PROJ'!B42</f>
        <v>1.8446660940366871E-2</v>
      </c>
      <c r="CG39" s="262">
        <f>+'WICHE Public Grads-RE PROJ'!DW42/'WICHE Public Grads-RE PROJ'!C42</f>
        <v>1.9071187365073409E-2</v>
      </c>
      <c r="CH39" s="262">
        <f>+'WICHE Public Grads-RE PROJ'!DX42/'WICHE Public Grads-RE PROJ'!D42</f>
        <v>2.0094526594731793E-2</v>
      </c>
      <c r="CI39" s="262">
        <f>+'WICHE Public Grads-RE PROJ'!DY42/'WICHE Public Grads-RE PROJ'!E42</f>
        <v>1.9648133056920949E-2</v>
      </c>
      <c r="CJ39" s="262">
        <f>+'WICHE Public Grads-RE PROJ'!DZ42/'WICHE Public Grads-RE PROJ'!F42</f>
        <v>1.9540273350092317E-2</v>
      </c>
      <c r="CK39" s="262">
        <f>+'WICHE Public Grads-RE PROJ'!EA42/'WICHE Public Grads-RE PROJ'!G42</f>
        <v>1.9954348462617344E-2</v>
      </c>
      <c r="CL39" s="267">
        <f>+'WICHE Public Grads-RE PROJ'!EB42/'WICHE Public Grads-RE PROJ'!H42</f>
        <v>2.0865155829465225E-2</v>
      </c>
      <c r="CM39" s="267">
        <f>+'WICHE Public Grads-RE PROJ'!EC42/'WICHE Public Grads-RE PROJ'!I42</f>
        <v>2.1820314761019654E-2</v>
      </c>
      <c r="CN39" s="267">
        <f>+'WICHE Public Grads-RE PROJ'!ED42/'WICHE Public Grads-RE PROJ'!J42</f>
        <v>2.3379041319053249E-2</v>
      </c>
      <c r="CO39" s="267">
        <f>+'WICHE Public Grads-RE PROJ'!EE42/'WICHE Public Grads-RE PROJ'!K42</f>
        <v>2.4231896645315384E-2</v>
      </c>
      <c r="CP39" s="262">
        <f>+'WICHE Public Grads-RE PROJ'!EF42/'WICHE Public Grads-RE PROJ'!L42</f>
        <v>2.5658338960162053E-2</v>
      </c>
      <c r="CQ39" s="267">
        <f>+'WICHE Public Grads-RE PROJ'!EG42/'WICHE Public Grads-RE PROJ'!M42</f>
        <v>2.4996732259137792E-2</v>
      </c>
      <c r="CR39" s="267">
        <f>+'WICHE Public Grads-RE PROJ'!EH42/'WICHE Public Grads-RE PROJ'!N42</f>
        <v>2.579466961093493E-2</v>
      </c>
      <c r="CS39" s="267">
        <f>+'WICHE Public Grads-RE PROJ'!EI42/'WICHE Public Grads-RE PROJ'!O42</f>
        <v>2.6442627359312989E-2</v>
      </c>
      <c r="CT39" s="267">
        <f>+'WICHE Public Grads-RE PROJ'!EJ42/'WICHE Public Grads-RE PROJ'!P42</f>
        <v>2.8050622104556836E-2</v>
      </c>
      <c r="CU39" s="267">
        <f>+'WICHE Public Grads-RE PROJ'!EK42/'WICHE Public Grads-RE PROJ'!Q42</f>
        <v>2.7361814656601046E-2</v>
      </c>
      <c r="CV39" s="267">
        <f>+'WICHE Public Grads-RE PROJ'!EL42/'WICHE Public Grads-RE PROJ'!R42</f>
        <v>2.7820914561437565E-2</v>
      </c>
      <c r="CW39" s="267">
        <f>+'WICHE Public Grads-RE PROJ'!EM42/'WICHE Public Grads-RE PROJ'!S42</f>
        <v>2.7841111804843242E-2</v>
      </c>
      <c r="CX39" s="267">
        <f>+'WICHE Public Grads-RE PROJ'!EN42/'WICHE Public Grads-RE PROJ'!T42</f>
        <v>2.7459845084274806E-2</v>
      </c>
      <c r="CY39" s="267">
        <f>+'WICHE Public Grads-RE PROJ'!EO42/'WICHE Public Grads-RE PROJ'!U42</f>
        <v>2.9176945110225616E-2</v>
      </c>
      <c r="CZ39" s="267">
        <f>+'WICHE Public Grads-RE PROJ'!EP42/'WICHE Public Grads-RE PROJ'!V42</f>
        <v>3.0476573410054865E-2</v>
      </c>
      <c r="DA39" s="267">
        <f>+'WICHE Public Grads-RE PROJ'!EQ42/'WICHE Public Grads-RE PROJ'!W42</f>
        <v>3.1909911679673449E-2</v>
      </c>
      <c r="DB39" s="268">
        <f>+'WICHE Public Grads-RE PROJ'!ER42/'WICHE Public Grads-RE PROJ'!Y42</f>
        <v>3.3184204439975253E-2</v>
      </c>
      <c r="DC39" s="268">
        <f>+'WICHE Public Grads-RE PROJ'!ES42/'WICHE Public Grads-RE PROJ'!Z42</f>
        <v>3.4370779511419786E-2</v>
      </c>
      <c r="DD39" s="268">
        <f>+'WICHE Public Grads-RE PROJ'!ET42/'WICHE Public Grads-RE PROJ'!AA42</f>
        <v>3.4976125732326023E-2</v>
      </c>
      <c r="DE39" s="268">
        <f>+'WICHE Public Grads-RE PROJ'!EU42/'WICHE Public Grads-RE PROJ'!AB42</f>
        <v>3.5936094285582247E-2</v>
      </c>
      <c r="DF39" s="268">
        <f>+'WICHE Public Grads-RE PROJ'!EV42/'WICHE Public Grads-RE PROJ'!AC42</f>
        <v>3.8564240417244489E-2</v>
      </c>
      <c r="DG39" s="268">
        <f>+'WICHE Public Grads-RE PROJ'!EW42/'WICHE Public Grads-RE PROJ'!AD42</f>
        <v>3.8813197546162088E-2</v>
      </c>
      <c r="DH39" s="268">
        <f>+'WICHE Public Grads-RE PROJ'!EX42/'WICHE Public Grads-RE PROJ'!AE42</f>
        <v>4.0821967232422707E-2</v>
      </c>
      <c r="DI39" s="268">
        <f>+'WICHE Public Grads-RE PROJ'!EY42/'WICHE Public Grads-RE PROJ'!AF42</f>
        <v>4.2711275783687913E-2</v>
      </c>
      <c r="DJ39" s="268">
        <f>+'WICHE Public Grads-RE PROJ'!EZ42/'WICHE Public Grads-RE PROJ'!AG42</f>
        <v>4.3554265619198895E-2</v>
      </c>
      <c r="DK39" s="268">
        <f>+'WICHE Public Grads-RE PROJ'!FA42/'WICHE Public Grads-RE PROJ'!AH42</f>
        <v>4.4048838331301542E-2</v>
      </c>
      <c r="DL39" s="268">
        <f>+'WICHE Public Grads-RE PROJ'!FB42/'WICHE Public Grads-RE PROJ'!AI42</f>
        <v>4.3843210693254794E-2</v>
      </c>
      <c r="DM39" s="268">
        <f>+'WICHE Public Grads-RE PROJ'!FC42/'WICHE Public Grads-RE PROJ'!AJ42</f>
        <v>4.4572855529727888E-2</v>
      </c>
      <c r="DN39" s="268">
        <f>+'WICHE Public Grads-RE PROJ'!FD42/'WICHE Public Grads-RE PROJ'!AK42</f>
        <v>4.714064137681765E-2</v>
      </c>
      <c r="DO39" s="266">
        <f>+'WICHE Public Grads-RE PROJ'!FE42/'WICHE Public Grads-RE PROJ'!AL42</f>
        <v>4.7823027673220893E-2</v>
      </c>
      <c r="DP39" s="266">
        <f>+'WICHE Public Grads-RE PROJ'!FF42/'WICHE Public Grads-RE PROJ'!AM42</f>
        <v>4.8639518006021495E-2</v>
      </c>
      <c r="DQ39" s="266">
        <f>+'WICHE Public Grads-RE PROJ'!FG42/'WICHE Public Grads-RE PROJ'!AN42</f>
        <v>4.9809193906704984E-2</v>
      </c>
      <c r="DR39" s="266">
        <f>+'WICHE Public Grads-RE PROJ'!FH42/'WICHE Public Grads-RE PROJ'!AO42</f>
        <v>5.312711834845997E-2</v>
      </c>
      <c r="DS39" s="266">
        <f>+'WICHE Public Grads-RE PROJ'!FI42/'WICHE Public Grads-RE PROJ'!AP42</f>
        <v>5.3230748861762656E-2</v>
      </c>
      <c r="DT39" s="282">
        <f>+'WICHE Public Grads-RE PROJ'!FJ42/'WICHE Public Grads-RE PROJ'!AQ42</f>
        <v>5.5114526909002932E-2</v>
      </c>
      <c r="DU39" s="262">
        <f>+'WICHE Public Grads-RE PROJ'!FK42/'WICHE Public Grads-RE PROJ'!B42</f>
        <v>8.6762072811472413E-2</v>
      </c>
      <c r="DV39" s="262">
        <f>+'WICHE Public Grads-RE PROJ'!FL42/'WICHE Public Grads-RE PROJ'!C42</f>
        <v>8.8225892170274947E-2</v>
      </c>
      <c r="DW39" s="262">
        <f>+'WICHE Public Grads-RE PROJ'!FM42/'WICHE Public Grads-RE PROJ'!D42</f>
        <v>8.6996221486815531E-2</v>
      </c>
      <c r="DX39" s="262">
        <f>+'WICHE Public Grads-RE PROJ'!FN42/'WICHE Public Grads-RE PROJ'!E42</f>
        <v>8.5815939202126559E-2</v>
      </c>
      <c r="DY39" s="262">
        <f>+'WICHE Public Grads-RE PROJ'!FO42/'WICHE Public Grads-RE PROJ'!F42</f>
        <v>8.4653692429356608E-2</v>
      </c>
      <c r="DZ39" s="262">
        <f>+'WICHE Public Grads-RE PROJ'!FP42/'WICHE Public Grads-RE PROJ'!G42</f>
        <v>9.0492606295123762E-2</v>
      </c>
      <c r="EA39" s="267">
        <f>+'WICHE Public Grads-RE PROJ'!FQ42/'WICHE Public Grads-RE PROJ'!H42</f>
        <v>9.1258727620236374E-2</v>
      </c>
      <c r="EB39" s="267">
        <f>+'WICHE Public Grads-RE PROJ'!FR42/'WICHE Public Grads-RE PROJ'!I42</f>
        <v>9.0735613434219473E-2</v>
      </c>
      <c r="EC39" s="267">
        <f>+'WICHE Public Grads-RE PROJ'!FS42/'WICHE Public Grads-RE PROJ'!J42</f>
        <v>9.0114652705104117E-2</v>
      </c>
      <c r="ED39" s="267">
        <f>+'WICHE Public Grads-RE PROJ'!FT42/'WICHE Public Grads-RE PROJ'!K42</f>
        <v>9.0725374939901043E-2</v>
      </c>
      <c r="EE39" s="262">
        <f>+'WICHE Public Grads-RE PROJ'!FU42/'WICHE Public Grads-RE PROJ'!L42</f>
        <v>9.2824258793198694E-2</v>
      </c>
      <c r="EF39" s="267">
        <f>+'WICHE Public Grads-RE PROJ'!FV42/'WICHE Public Grads-RE PROJ'!M42</f>
        <v>9.3155865297780319E-2</v>
      </c>
      <c r="EG39" s="267">
        <f>+'WICHE Public Grads-RE PROJ'!FW42/'WICHE Public Grads-RE PROJ'!N42</f>
        <v>9.7802156632427056E-2</v>
      </c>
      <c r="EH39" s="267">
        <f>+'WICHE Public Grads-RE PROJ'!FX42/'WICHE Public Grads-RE PROJ'!O42</f>
        <v>0.10305916493544488</v>
      </c>
      <c r="EI39" s="267">
        <f>+'WICHE Public Grads-RE PROJ'!FY42/'WICHE Public Grads-RE PROJ'!P42</f>
        <v>0.10765895425620095</v>
      </c>
      <c r="EJ39" s="267">
        <f>+'WICHE Public Grads-RE PROJ'!FZ42/'WICHE Public Grads-RE PROJ'!Q42</f>
        <v>0.11357535772354255</v>
      </c>
      <c r="EK39" s="267">
        <f>+'WICHE Public Grads-RE PROJ'!GA42/'WICHE Public Grads-RE PROJ'!R42</f>
        <v>0.11625301572335764</v>
      </c>
      <c r="EL39" s="267">
        <f>+'WICHE Public Grads-RE PROJ'!GB42/'WICHE Public Grads-RE PROJ'!S42</f>
        <v>0.12097511483744369</v>
      </c>
      <c r="EM39" s="267">
        <f>+'WICHE Public Grads-RE PROJ'!GC42/'WICHE Public Grads-RE PROJ'!T42</f>
        <v>0.12645179366276113</v>
      </c>
      <c r="EN39" s="267">
        <f>+'WICHE Public Grads-RE PROJ'!GD42/'WICHE Public Grads-RE PROJ'!U42</f>
        <v>0.12720071417353215</v>
      </c>
      <c r="EO39" s="267">
        <f>+'WICHE Public Grads-RE PROJ'!GE42/'WICHE Public Grads-RE PROJ'!V42</f>
        <v>0.12707483909897338</v>
      </c>
      <c r="EP39" s="267">
        <f>+'WICHE Public Grads-RE PROJ'!GF42/'WICHE Public Grads-RE PROJ'!W42</f>
        <v>0.12361533658065003</v>
      </c>
      <c r="EQ39" s="268">
        <f>+'WICHE Public Grads-RE PROJ'!GG42/'WICHE Public Grads-RE PROJ'!Y42</f>
        <v>0.12304061508721878</v>
      </c>
      <c r="ER39" s="268">
        <f>+'WICHE Public Grads-RE PROJ'!GH42/'WICHE Public Grads-RE PROJ'!Z42</f>
        <v>0.12374484933364546</v>
      </c>
      <c r="ES39" s="268">
        <f>+'WICHE Public Grads-RE PROJ'!GI42/'WICHE Public Grads-RE PROJ'!AA42</f>
        <v>0.1207179996919482</v>
      </c>
      <c r="ET39" s="268">
        <f>+'WICHE Public Grads-RE PROJ'!GJ42/'WICHE Public Grads-RE PROJ'!AB42</f>
        <v>0.11826155696128836</v>
      </c>
      <c r="EU39" s="268">
        <f>+'WICHE Public Grads-RE PROJ'!GK42/'WICHE Public Grads-RE PROJ'!AC42</f>
        <v>0.12009891659034932</v>
      </c>
      <c r="EV39" s="268">
        <f>+'WICHE Public Grads-RE PROJ'!GL42/'WICHE Public Grads-RE PROJ'!AD42</f>
        <v>0.11835385519134163</v>
      </c>
      <c r="EW39" s="268">
        <f>+'WICHE Public Grads-RE PROJ'!GM42/'WICHE Public Grads-RE PROJ'!AE42</f>
        <v>0.11681969068835131</v>
      </c>
      <c r="EX39" s="268">
        <f>+'WICHE Public Grads-RE PROJ'!GN42/'WICHE Public Grads-RE PROJ'!AF42</f>
        <v>0.11422200504678168</v>
      </c>
      <c r="EY39" s="268">
        <f>+'WICHE Public Grads-RE PROJ'!GO42/'WICHE Public Grads-RE PROJ'!AG42</f>
        <v>0.11429523811709447</v>
      </c>
      <c r="EZ39" s="268">
        <f>+'WICHE Public Grads-RE PROJ'!GP42/'WICHE Public Grads-RE PROJ'!AH42</f>
        <v>0.11541167027804976</v>
      </c>
      <c r="FA39" s="268">
        <f>+'WICHE Public Grads-RE PROJ'!GQ42/'WICHE Public Grads-RE PROJ'!AI42</f>
        <v>0.11776452351220991</v>
      </c>
      <c r="FB39" s="268">
        <f>+'WICHE Public Grads-RE PROJ'!GR42/'WICHE Public Grads-RE PROJ'!AJ42</f>
        <v>0.1187862951156036</v>
      </c>
      <c r="FC39" s="268">
        <f>+'WICHE Public Grads-RE PROJ'!GS42/'WICHE Public Grads-RE PROJ'!AK42</f>
        <v>0.12114958928319609</v>
      </c>
      <c r="FD39" s="266">
        <f>+'WICHE Public Grads-RE PROJ'!GT42/'WICHE Public Grads-RE PROJ'!AL42</f>
        <v>0.12154144077823133</v>
      </c>
      <c r="FE39" s="266">
        <f>+'WICHE Public Grads-RE PROJ'!GU42/'WICHE Public Grads-RE PROJ'!AM42</f>
        <v>0.12192271898510179</v>
      </c>
      <c r="FF39" s="266">
        <f>+'WICHE Public Grads-RE PROJ'!GV42/'WICHE Public Grads-RE PROJ'!AN42</f>
        <v>0.11995893748092457</v>
      </c>
      <c r="FG39" s="266">
        <f>+'WICHE Public Grads-RE PROJ'!GW42/'WICHE Public Grads-RE PROJ'!AO42</f>
        <v>0.12193829434779267</v>
      </c>
      <c r="FH39" s="266">
        <f>+'WICHE Public Grads-RE PROJ'!GX42/'WICHE Public Grads-RE PROJ'!AP42</f>
        <v>0.12376565278783282</v>
      </c>
      <c r="FI39" s="282">
        <f>+'WICHE Public Grads-RE PROJ'!GY42/'WICHE Public Grads-RE PROJ'!AQ42</f>
        <v>0.12501701384008668</v>
      </c>
      <c r="FJ39" s="262">
        <f>+'WICHE Public Grads-RE PROJ'!GZ42/'WICHE Public Grads-RE PROJ'!B42</f>
        <v>2.4751694206444873E-2</v>
      </c>
      <c r="FK39" s="262">
        <f>+'WICHE Public Grads-RE PROJ'!HA42/'WICHE Public Grads-RE PROJ'!C42</f>
        <v>2.5872126199074863E-2</v>
      </c>
      <c r="FL39" s="262">
        <f>+'WICHE Public Grads-RE PROJ'!HB42/'WICHE Public Grads-RE PROJ'!D42</f>
        <v>2.6671817185465487E-2</v>
      </c>
      <c r="FM39" s="262">
        <f>+'WICHE Public Grads-RE PROJ'!HC42/'WICHE Public Grads-RE PROJ'!E42</f>
        <v>2.6717943473703598E-2</v>
      </c>
      <c r="FN39" s="262">
        <f>+'WICHE Public Grads-RE PROJ'!HD42/'WICHE Public Grads-RE PROJ'!F42</f>
        <v>2.7573405498897623E-2</v>
      </c>
      <c r="FO39" s="262">
        <f>+'WICHE Public Grads-RE PROJ'!HE42/'WICHE Public Grads-RE PROJ'!G42</f>
        <v>2.9799680018635921E-2</v>
      </c>
      <c r="FP39" s="267">
        <f>+'WICHE Public Grads-RE PROJ'!HF42/'WICHE Public Grads-RE PROJ'!H42</f>
        <v>3.0995826344736122E-2</v>
      </c>
      <c r="FQ39" s="267">
        <f>+'WICHE Public Grads-RE PROJ'!HG42/'WICHE Public Grads-RE PROJ'!I42</f>
        <v>3.1926468061924562E-2</v>
      </c>
      <c r="FR39" s="267">
        <f>+'WICHE Public Grads-RE PROJ'!HH42/'WICHE Public Grads-RE PROJ'!J42</f>
        <v>3.2738980532621073E-2</v>
      </c>
      <c r="FS39" s="267">
        <f>+'WICHE Public Grads-RE PROJ'!HI42/'WICHE Public Grads-RE PROJ'!K42</f>
        <v>3.3571661212525396E-2</v>
      </c>
      <c r="FT39" s="262">
        <f>+'WICHE Public Grads-RE PROJ'!HJ42/'WICHE Public Grads-RE PROJ'!L42</f>
        <v>3.6767233441777666E-2</v>
      </c>
      <c r="FU39" s="267">
        <f>+'WICHE Public Grads-RE PROJ'!HK42/'WICHE Public Grads-RE PROJ'!M42</f>
        <v>3.8245936118636817E-2</v>
      </c>
      <c r="FV39" s="267">
        <f>+'WICHE Public Grads-RE PROJ'!HL42/'WICHE Public Grads-RE PROJ'!N42</f>
        <v>4.1659779811634413E-2</v>
      </c>
      <c r="FW39" s="267">
        <f>+'WICHE Public Grads-RE PROJ'!HM42/'WICHE Public Grads-RE PROJ'!O42</f>
        <v>4.4086313842189404E-2</v>
      </c>
      <c r="FX39" s="267">
        <f>+'WICHE Public Grads-RE PROJ'!HN42/'WICHE Public Grads-RE PROJ'!P42</f>
        <v>4.6955700541920241E-2</v>
      </c>
      <c r="FY39" s="267">
        <f>+'WICHE Public Grads-RE PROJ'!HO42/'WICHE Public Grads-RE PROJ'!Q42</f>
        <v>4.8301035438777673E-2</v>
      </c>
      <c r="FZ39" s="267">
        <f>+'WICHE Public Grads-RE PROJ'!HP42/'WICHE Public Grads-RE PROJ'!R42</f>
        <v>5.2548459554643517E-2</v>
      </c>
      <c r="GA39" s="267">
        <f>+'WICHE Public Grads-RE PROJ'!HQ42/'WICHE Public Grads-RE PROJ'!S42</f>
        <v>5.6482183472327523E-2</v>
      </c>
      <c r="GB39" s="267">
        <f>+'WICHE Public Grads-RE PROJ'!HR42/'WICHE Public Grads-RE PROJ'!T42</f>
        <v>6.3495055335120051E-2</v>
      </c>
      <c r="GC39" s="267">
        <f>+'WICHE Public Grads-RE PROJ'!HS42/'WICHE Public Grads-RE PROJ'!U42</f>
        <v>6.8193422456693922E-2</v>
      </c>
      <c r="GD39" s="267">
        <f>+'WICHE Public Grads-RE PROJ'!HT42/'WICHE Public Grads-RE PROJ'!V42</f>
        <v>7.4560938006234007E-2</v>
      </c>
      <c r="GE39" s="267">
        <f>+'WICHE Public Grads-RE PROJ'!HU42/'WICHE Public Grads-RE PROJ'!W42</f>
        <v>7.9656756279583338E-2</v>
      </c>
      <c r="GF39" s="268">
        <f>+'WICHE Public Grads-RE PROJ'!HV42/'WICHE Public Grads-RE PROJ'!Y42</f>
        <v>8.4037442563729872E-2</v>
      </c>
      <c r="GG39" s="268">
        <f>+'WICHE Public Grads-RE PROJ'!HW42/'WICHE Public Grads-RE PROJ'!Z42</f>
        <v>9.1057426972326258E-2</v>
      </c>
      <c r="GH39" s="268">
        <f>+'WICHE Public Grads-RE PROJ'!HX42/'WICHE Public Grads-RE PROJ'!AA42</f>
        <v>9.3639775250134463E-2</v>
      </c>
      <c r="GI39" s="268">
        <f>+'WICHE Public Grads-RE PROJ'!HY42/'WICHE Public Grads-RE PROJ'!AB42</f>
        <v>9.787836773066147E-2</v>
      </c>
      <c r="GJ39" s="268">
        <f>+'WICHE Public Grads-RE PROJ'!HZ42/'WICHE Public Grads-RE PROJ'!AC42</f>
        <v>0.10310052246109488</v>
      </c>
      <c r="GK39" s="268">
        <f>+'WICHE Public Grads-RE PROJ'!IA42/'WICHE Public Grads-RE PROJ'!AD42</f>
        <v>0.10956687113762269</v>
      </c>
      <c r="GL39" s="268">
        <f>+'WICHE Public Grads-RE PROJ'!IB42/'WICHE Public Grads-RE PROJ'!AE42</f>
        <v>0.11499563020423353</v>
      </c>
      <c r="GM39" s="268">
        <f>+'WICHE Public Grads-RE PROJ'!IC42/'WICHE Public Grads-RE PROJ'!AF42</f>
        <v>0.11944826694171114</v>
      </c>
      <c r="GN39" s="268">
        <f>+'WICHE Public Grads-RE PROJ'!ID42/'WICHE Public Grads-RE PROJ'!AG42</f>
        <v>0.12430417929938528</v>
      </c>
      <c r="GO39" s="268">
        <f>+'WICHE Public Grads-RE PROJ'!IE42/'WICHE Public Grads-RE PROJ'!AH42</f>
        <v>0.13018960202880778</v>
      </c>
      <c r="GP39" s="268">
        <f>+'WICHE Public Grads-RE PROJ'!IF42/'WICHE Public Grads-RE PROJ'!AI42</f>
        <v>0.13473658307765113</v>
      </c>
      <c r="GQ39" s="268">
        <f>+'WICHE Public Grads-RE PROJ'!IG42/'WICHE Public Grads-RE PROJ'!AJ42</f>
        <v>0.13887722619327653</v>
      </c>
      <c r="GR39" s="268">
        <f>+'WICHE Public Grads-RE PROJ'!IH42/'WICHE Public Grads-RE PROJ'!AK42</f>
        <v>0.13717280246024049</v>
      </c>
      <c r="GS39" s="266">
        <f>+'WICHE Public Grads-RE PROJ'!II42/'WICHE Public Grads-RE PROJ'!AL42</f>
        <v>0.1342815732345895</v>
      </c>
      <c r="GT39" s="266">
        <f>+'WICHE Public Grads-RE PROJ'!IJ42/'WICHE Public Grads-RE PROJ'!AM42</f>
        <v>0.13010708494801596</v>
      </c>
      <c r="GU39" s="266">
        <f>+'WICHE Public Grads-RE PROJ'!IK42/'WICHE Public Grads-RE PROJ'!AN42</f>
        <v>0.1268674637201315</v>
      </c>
      <c r="GV39" s="266">
        <f>+'WICHE Public Grads-RE PROJ'!IL42/'WICHE Public Grads-RE PROJ'!AO42</f>
        <v>0.12655546643450358</v>
      </c>
      <c r="GW39" s="266">
        <f>+'WICHE Public Grads-RE PROJ'!IM42/'WICHE Public Grads-RE PROJ'!AP42</f>
        <v>0.12366628888132565</v>
      </c>
      <c r="GX39" s="282">
        <f>+'WICHE Public Grads-RE PROJ'!IN42/'WICHE Public Grads-RE PROJ'!AQ42</f>
        <v>0.12507342813138214</v>
      </c>
      <c r="GY39" s="262">
        <f>+'WICHE Public Grads-RE PROJ'!IO42/'WICHE Public Grads-RE PROJ'!B42</f>
        <v>0.86393188254199538</v>
      </c>
      <c r="GZ39" s="262">
        <f>+'WICHE Public Grads-RE PROJ'!IP42/'WICHE Public Grads-RE PROJ'!C42</f>
        <v>0.85998502502422225</v>
      </c>
      <c r="HA39" s="262">
        <f>+'WICHE Public Grads-RE PROJ'!IQ42/'WICHE Public Grads-RE PROJ'!D42</f>
        <v>0.85877598861593196</v>
      </c>
      <c r="HB39" s="262">
        <f>+'WICHE Public Grads-RE PROJ'!IR42/'WICHE Public Grads-RE PROJ'!E42</f>
        <v>0.86080126794418532</v>
      </c>
      <c r="HC39" s="262">
        <f>+'WICHE Public Grads-RE PROJ'!IS42/'WICHE Public Grads-RE PROJ'!F42</f>
        <v>0.86051845433725016</v>
      </c>
      <c r="HD39" s="262">
        <f>+'WICHE Public Grads-RE PROJ'!IT42/'WICHE Public Grads-RE PROJ'!G42</f>
        <v>0.85386816703091917</v>
      </c>
      <c r="HE39" s="267">
        <f>+'WICHE Public Grads-RE PROJ'!IU42/'WICHE Public Grads-RE PROJ'!H42</f>
        <v>0.85102937161134296</v>
      </c>
      <c r="HF39" s="267">
        <f>+'WICHE Public Grads-RE PROJ'!IV42/'WICHE Public Grads-RE PROJ'!I42</f>
        <v>0.8498098712200588</v>
      </c>
      <c r="HG39" s="267">
        <f>+'WICHE Public Grads-RE PROJ'!IW42/'WICHE Public Grads-RE PROJ'!J42</f>
        <v>0.84803083709267002</v>
      </c>
      <c r="HH39" s="267">
        <f>+'WICHE Public Grads-RE PROJ'!IX42/'WICHE Public Grads-RE PROJ'!K42</f>
        <v>0.84474308668207265</v>
      </c>
      <c r="HI39" s="262">
        <f>+'WICHE Public Grads-RE PROJ'!IY42/'WICHE Public Grads-RE PROJ'!L42</f>
        <v>0.8374117610950832</v>
      </c>
      <c r="HJ39" s="267">
        <f>+'WICHE Public Grads-RE PROJ'!IZ42/'WICHE Public Grads-RE PROJ'!M42</f>
        <v>0.83606486762678833</v>
      </c>
      <c r="HK39" s="267">
        <f>+'WICHE Public Grads-RE PROJ'!JA42/'WICHE Public Grads-RE PROJ'!N42</f>
        <v>0.82643068444687351</v>
      </c>
      <c r="HL39" s="267">
        <f>+'WICHE Public Grads-RE PROJ'!JB42/'WICHE Public Grads-RE PROJ'!O42</f>
        <v>0.81601422015230807</v>
      </c>
      <c r="HM39" s="267">
        <f>+'WICHE Public Grads-RE PROJ'!JC42/'WICHE Public Grads-RE PROJ'!P42</f>
        <v>0.80998291058096716</v>
      </c>
      <c r="HN39" s="267">
        <f>+'WICHE Public Grads-RE PROJ'!JD42/'WICHE Public Grads-RE PROJ'!Q42</f>
        <v>0.79668329570817098</v>
      </c>
      <c r="HO39" s="267">
        <f>+'WICHE Public Grads-RE PROJ'!JE42/'WICHE Public Grads-RE PROJ'!R42</f>
        <v>0.78831285876708912</v>
      </c>
      <c r="HP39" s="267">
        <f>+'WICHE Public Grads-RE PROJ'!JF42/'WICHE Public Grads-RE PROJ'!S42</f>
        <v>0.77824248539446106</v>
      </c>
      <c r="HQ39" s="267">
        <f>+'WICHE Public Grads-RE PROJ'!JG42/'WICHE Public Grads-RE PROJ'!T42</f>
        <v>0.76517765759194256</v>
      </c>
      <c r="HR39" s="267">
        <f>+'WICHE Public Grads-RE PROJ'!JH42/'WICHE Public Grads-RE PROJ'!U42</f>
        <v>0.76823332748795414</v>
      </c>
      <c r="HS39" s="267">
        <f>+'WICHE Public Grads-RE PROJ'!JI42/'WICHE Public Grads-RE PROJ'!V42</f>
        <v>0.76064456058632934</v>
      </c>
      <c r="HT39" s="267">
        <f>+'WICHE Public Grads-RE PROJ'!JJ42/'WICHE Public Grads-RE PROJ'!W42</f>
        <v>0.75776948368636055</v>
      </c>
      <c r="HU39" s="268">
        <f>+'WICHE Public Grads-RE PROJ'!JK42/'WICHE Public Grads-RE PROJ'!Y42</f>
        <v>0.75166787785199674</v>
      </c>
      <c r="HV39" s="268">
        <f>+'WICHE Public Grads-RE PROJ'!JL42/'WICHE Public Grads-RE PROJ'!Z42</f>
        <v>0.74483157954871793</v>
      </c>
      <c r="HW39" s="268">
        <f>+'WICHE Public Grads-RE PROJ'!JM42/'WICHE Public Grads-RE PROJ'!AA42</f>
        <v>0.74790120794037018</v>
      </c>
      <c r="HX39" s="268">
        <f>+'WICHE Public Grads-RE PROJ'!JN42/'WICHE Public Grads-RE PROJ'!AB42</f>
        <v>0.74842362562180453</v>
      </c>
      <c r="HY39" s="268">
        <f>+'WICHE Public Grads-RE PROJ'!JO42/'WICHE Public Grads-RE PROJ'!AC42</f>
        <v>0.74001336892070602</v>
      </c>
      <c r="HZ39" s="268">
        <f>+'WICHE Public Grads-RE PROJ'!JP42/'WICHE Public Grads-RE PROJ'!AD42</f>
        <v>0.73738465231606798</v>
      </c>
      <c r="IA39" s="268">
        <f>+'WICHE Public Grads-RE PROJ'!JQ42/'WICHE Public Grads-RE PROJ'!AE42</f>
        <v>0.73503406614695543</v>
      </c>
      <c r="IB39" s="268">
        <f>+'WICHE Public Grads-RE PROJ'!JR42/'WICHE Public Grads-RE PROJ'!AF42</f>
        <v>0.73523764384535606</v>
      </c>
      <c r="IC39" s="268">
        <f>+'WICHE Public Grads-RE PROJ'!JS42/'WICHE Public Grads-RE PROJ'!AG42</f>
        <v>0.73273804901420814</v>
      </c>
      <c r="ID39" s="268">
        <f>+'WICHE Public Grads-RE PROJ'!JT42/'WICHE Public Grads-RE PROJ'!AH42</f>
        <v>0.72818195928038332</v>
      </c>
      <c r="IE39" s="268">
        <f>+'WICHE Public Grads-RE PROJ'!JU42/'WICHE Public Grads-RE PROJ'!AI42</f>
        <v>0.72462739348551619</v>
      </c>
      <c r="IF39" s="268">
        <f>+'WICHE Public Grads-RE PROJ'!JV42/'WICHE Public Grads-RE PROJ'!AJ42</f>
        <v>0.722420267805576</v>
      </c>
      <c r="IG39" s="268">
        <f>+'WICHE Public Grads-RE PROJ'!JW42/'WICHE Public Grads-RE PROJ'!AK42</f>
        <v>0.71547222535878552</v>
      </c>
      <c r="IH39" s="266">
        <f>+'WICHE Public Grads-RE PROJ'!JX42/'WICHE Public Grads-RE PROJ'!AL42</f>
        <v>0.71698845322999671</v>
      </c>
      <c r="II39" s="266">
        <f>+'WICHE Public Grads-RE PROJ'!JY42/'WICHE Public Grads-RE PROJ'!AM42</f>
        <v>0.72030025289093591</v>
      </c>
      <c r="IJ39" s="266">
        <f>+'WICHE Public Grads-RE PROJ'!JZ42/'WICHE Public Grads-RE PROJ'!AN42</f>
        <v>0.72075597240879552</v>
      </c>
      <c r="IK39" s="266">
        <f>+'WICHE Public Grads-RE PROJ'!KA42/'WICHE Public Grads-RE PROJ'!AO42</f>
        <v>0.71759627800833803</v>
      </c>
      <c r="IL39" s="266">
        <f>+'WICHE Public Grads-RE PROJ'!KB42/'WICHE Public Grads-RE PROJ'!AP42</f>
        <v>0.71804125928474749</v>
      </c>
      <c r="IM39" s="282">
        <f>+'WICHE Public Grads-RE PROJ'!KC42/'WICHE Public Grads-RE PROJ'!AQ42</f>
        <v>0.71504525222138737</v>
      </c>
      <c r="IN39" s="278">
        <f t="shared" si="44"/>
        <v>1</v>
      </c>
      <c r="IO39" s="278">
        <f t="shared" si="45"/>
        <v>1</v>
      </c>
      <c r="IP39" s="278">
        <f t="shared" si="46"/>
        <v>1</v>
      </c>
      <c r="IQ39" s="278">
        <f t="shared" si="47"/>
        <v>1</v>
      </c>
      <c r="IR39" s="278">
        <f t="shared" si="48"/>
        <v>1</v>
      </c>
      <c r="IS39" s="278">
        <f t="shared" si="49"/>
        <v>1</v>
      </c>
      <c r="IT39" s="278">
        <f t="shared" si="50"/>
        <v>1</v>
      </c>
      <c r="IU39" s="278">
        <f t="shared" si="51"/>
        <v>1</v>
      </c>
      <c r="IV39" s="278">
        <f t="shared" si="52"/>
        <v>1</v>
      </c>
      <c r="IW39" s="278">
        <f t="shared" si="53"/>
        <v>0.99934860492888933</v>
      </c>
      <c r="IX39" s="278">
        <f t="shared" si="54"/>
        <v>0.99920508256092322</v>
      </c>
      <c r="IY39" s="278">
        <f t="shared" si="55"/>
        <v>0.99895580826084895</v>
      </c>
      <c r="IZ39" s="278">
        <f t="shared" si="56"/>
        <v>0.99846028286425581</v>
      </c>
      <c r="JA39" s="278">
        <f t="shared" si="57"/>
        <v>0.99666955285718073</v>
      </c>
      <c r="JB39" s="278">
        <f t="shared" si="58"/>
        <v>0.99958190129654456</v>
      </c>
      <c r="JC39" s="278">
        <f t="shared" si="59"/>
        <v>0.99321040076132272</v>
      </c>
      <c r="JD39" s="278">
        <f t="shared" si="60"/>
        <v>0.99204819611214334</v>
      </c>
      <c r="JE39" s="278">
        <f t="shared" si="61"/>
        <v>0.99084227132854663</v>
      </c>
      <c r="JF39" s="278">
        <f t="shared" si="62"/>
        <v>0.98993456642690869</v>
      </c>
      <c r="JG39" s="278">
        <f t="shared" si="63"/>
        <v>1</v>
      </c>
      <c r="JH39" s="278">
        <f t="shared" si="64"/>
        <v>1</v>
      </c>
      <c r="JI39" s="278">
        <f t="shared" si="65"/>
        <v>0.99999859877645181</v>
      </c>
      <c r="JJ39" s="278">
        <f t="shared" si="66"/>
        <v>0.99889778985130406</v>
      </c>
      <c r="JK39" s="278">
        <f t="shared" si="67"/>
        <v>1.0007309379898035</v>
      </c>
      <c r="JL39" s="278">
        <f t="shared" si="68"/>
        <v>1.0039625271612218</v>
      </c>
      <c r="JM39" s="278">
        <f t="shared" si="69"/>
        <v>1.0070999836256407</v>
      </c>
      <c r="JN39" s="278">
        <f t="shared" si="70"/>
        <v>1.0082099387128687</v>
      </c>
      <c r="JO39" s="278">
        <f t="shared" si="71"/>
        <v>1.0105213199380467</v>
      </c>
      <c r="JP39" s="278">
        <f t="shared" si="72"/>
        <v>1.0139342398338806</v>
      </c>
      <c r="JQ39" s="278">
        <f t="shared" si="73"/>
        <v>1.0177960567434337</v>
      </c>
      <c r="JR39" s="278">
        <f t="shared" si="74"/>
        <v>1.0210020782934959</v>
      </c>
      <c r="JS39" s="278">
        <f t="shared" si="75"/>
        <v>1.0238823092587923</v>
      </c>
      <c r="JT39" s="278">
        <f t="shared" si="76"/>
        <v>1.0267762022451521</v>
      </c>
      <c r="JU39" s="278">
        <f t="shared" si="77"/>
        <v>1.0304527249993958</v>
      </c>
      <c r="JV39" s="278">
        <f t="shared" si="78"/>
        <v>1.0269880005995768</v>
      </c>
      <c r="JW39" s="278">
        <f t="shared" si="79"/>
        <v>1.0267232151355179</v>
      </c>
      <c r="JX39" s="278">
        <f t="shared" si="80"/>
        <v>1.0269252343634143</v>
      </c>
      <c r="JY39" s="278">
        <f t="shared" si="81"/>
        <v>1.0231708274104934</v>
      </c>
      <c r="JZ39" s="278">
        <f t="shared" si="81"/>
        <v>1.024894198202714</v>
      </c>
      <c r="KA39" s="278">
        <f t="shared" si="81"/>
        <v>1.0244005559397844</v>
      </c>
      <c r="KB39" s="278">
        <f t="shared" si="81"/>
        <v>1.025964599347136</v>
      </c>
    </row>
    <row r="40" spans="1:288" s="17" customFormat="1">
      <c r="A40" s="113"/>
      <c r="B40" s="262"/>
      <c r="C40" s="262"/>
      <c r="D40" s="262"/>
      <c r="E40" s="262"/>
      <c r="F40" s="262"/>
      <c r="G40" s="262"/>
      <c r="H40" s="267"/>
      <c r="I40" s="267"/>
      <c r="J40" s="267"/>
      <c r="K40" s="267"/>
      <c r="L40" s="262"/>
      <c r="M40" s="267"/>
      <c r="N40" s="267"/>
      <c r="O40" s="267"/>
      <c r="P40" s="267"/>
      <c r="Q40" s="267"/>
      <c r="R40" s="267"/>
      <c r="S40" s="267"/>
      <c r="T40" s="267"/>
      <c r="U40" s="267"/>
      <c r="V40" s="267"/>
      <c r="W40" s="267"/>
      <c r="X40" s="268"/>
      <c r="Y40" s="268"/>
      <c r="Z40" s="268"/>
      <c r="AA40" s="268"/>
      <c r="AB40" s="266"/>
      <c r="AC40" s="266"/>
      <c r="AD40" s="266"/>
      <c r="AE40" s="266"/>
      <c r="AF40" s="266"/>
      <c r="AG40" s="268"/>
      <c r="AH40" s="266"/>
      <c r="AI40" s="266"/>
      <c r="AJ40" s="266"/>
      <c r="AK40" s="266"/>
      <c r="AL40" s="266"/>
      <c r="AM40" s="266"/>
      <c r="AN40" s="266"/>
      <c r="AO40" s="266"/>
      <c r="AP40" s="282"/>
      <c r="AQ40" s="262"/>
      <c r="AR40" s="262"/>
      <c r="AS40" s="262"/>
      <c r="AT40" s="262"/>
      <c r="AU40" s="262"/>
      <c r="AV40" s="262"/>
      <c r="AW40" s="267"/>
      <c r="AX40" s="267"/>
      <c r="AY40" s="267"/>
      <c r="AZ40" s="267"/>
      <c r="BA40" s="262"/>
      <c r="BB40" s="267"/>
      <c r="BC40" s="267"/>
      <c r="BD40" s="267"/>
      <c r="BE40" s="267"/>
      <c r="BF40" s="267"/>
      <c r="BG40" s="267"/>
      <c r="BH40" s="267"/>
      <c r="BI40" s="267"/>
      <c r="BJ40" s="267"/>
      <c r="BK40" s="267"/>
      <c r="BL40" s="267"/>
      <c r="BM40" s="268"/>
      <c r="BN40" s="268"/>
      <c r="BO40" s="268"/>
      <c r="BP40" s="268"/>
      <c r="BQ40" s="266"/>
      <c r="BR40" s="266"/>
      <c r="BS40" s="266"/>
      <c r="BT40" s="266"/>
      <c r="BU40" s="266"/>
      <c r="BV40" s="268"/>
      <c r="BW40" s="266"/>
      <c r="BX40" s="266"/>
      <c r="BY40" s="266"/>
      <c r="BZ40" s="266"/>
      <c r="CA40" s="266"/>
      <c r="CB40" s="266"/>
      <c r="CC40" s="266"/>
      <c r="CD40" s="266"/>
      <c r="CE40" s="282"/>
      <c r="CF40" s="262"/>
      <c r="CG40" s="262"/>
      <c r="CH40" s="262"/>
      <c r="CI40" s="262"/>
      <c r="CJ40" s="262"/>
      <c r="CK40" s="262"/>
      <c r="CL40" s="267"/>
      <c r="CM40" s="267"/>
      <c r="CN40" s="267"/>
      <c r="CO40" s="267"/>
      <c r="CP40" s="262"/>
      <c r="CQ40" s="267"/>
      <c r="CR40" s="267"/>
      <c r="CS40" s="267"/>
      <c r="CT40" s="267"/>
      <c r="CU40" s="267"/>
      <c r="CV40" s="267"/>
      <c r="CW40" s="267"/>
      <c r="CX40" s="267"/>
      <c r="CY40" s="267"/>
      <c r="CZ40" s="267"/>
      <c r="DA40" s="267"/>
      <c r="DB40" s="268"/>
      <c r="DC40" s="268"/>
      <c r="DD40" s="268"/>
      <c r="DE40" s="268"/>
      <c r="DF40" s="266"/>
      <c r="DG40" s="266"/>
      <c r="DH40" s="266"/>
      <c r="DI40" s="266"/>
      <c r="DJ40" s="266"/>
      <c r="DK40" s="268"/>
      <c r="DL40" s="266"/>
      <c r="DM40" s="266"/>
      <c r="DN40" s="266"/>
      <c r="DO40" s="266"/>
      <c r="DP40" s="266"/>
      <c r="DQ40" s="266"/>
      <c r="DR40" s="266"/>
      <c r="DS40" s="266"/>
      <c r="DT40" s="282"/>
      <c r="DU40" s="262"/>
      <c r="DV40" s="262"/>
      <c r="DW40" s="262"/>
      <c r="DX40" s="262"/>
      <c r="DY40" s="262"/>
      <c r="DZ40" s="262"/>
      <c r="EA40" s="267"/>
      <c r="EB40" s="267"/>
      <c r="EC40" s="267"/>
      <c r="ED40" s="267"/>
      <c r="EE40" s="262"/>
      <c r="EF40" s="267"/>
      <c r="EG40" s="267"/>
      <c r="EH40" s="267"/>
      <c r="EI40" s="267"/>
      <c r="EJ40" s="267"/>
      <c r="EK40" s="267"/>
      <c r="EL40" s="267"/>
      <c r="EM40" s="267"/>
      <c r="EN40" s="267"/>
      <c r="EO40" s="267"/>
      <c r="EP40" s="267"/>
      <c r="EQ40" s="268"/>
      <c r="ER40" s="268"/>
      <c r="ES40" s="268"/>
      <c r="ET40" s="268"/>
      <c r="EU40" s="266"/>
      <c r="EV40" s="266"/>
      <c r="EW40" s="266"/>
      <c r="EX40" s="266"/>
      <c r="EY40" s="266"/>
      <c r="EZ40" s="268"/>
      <c r="FA40" s="266"/>
      <c r="FB40" s="266"/>
      <c r="FC40" s="266"/>
      <c r="FD40" s="266"/>
      <c r="FE40" s="266"/>
      <c r="FF40" s="266"/>
      <c r="FG40" s="266"/>
      <c r="FH40" s="266"/>
      <c r="FI40" s="282"/>
      <c r="FJ40" s="262"/>
      <c r="FK40" s="262"/>
      <c r="FL40" s="262"/>
      <c r="FM40" s="262"/>
      <c r="FN40" s="262"/>
      <c r="FO40" s="262"/>
      <c r="FP40" s="267"/>
      <c r="FQ40" s="267"/>
      <c r="FR40" s="267"/>
      <c r="FS40" s="267"/>
      <c r="FT40" s="262"/>
      <c r="FU40" s="267"/>
      <c r="FV40" s="267"/>
      <c r="FW40" s="267"/>
      <c r="FX40" s="267"/>
      <c r="FY40" s="267"/>
      <c r="FZ40" s="267"/>
      <c r="GA40" s="267"/>
      <c r="GB40" s="267"/>
      <c r="GC40" s="267"/>
      <c r="GD40" s="267"/>
      <c r="GE40" s="267"/>
      <c r="GF40" s="268"/>
      <c r="GG40" s="268"/>
      <c r="GH40" s="268"/>
      <c r="GI40" s="268"/>
      <c r="GJ40" s="266"/>
      <c r="GK40" s="266"/>
      <c r="GL40" s="266"/>
      <c r="GM40" s="266"/>
      <c r="GN40" s="266"/>
      <c r="GO40" s="268"/>
      <c r="GP40" s="266"/>
      <c r="GQ40" s="266"/>
      <c r="GR40" s="266"/>
      <c r="GS40" s="266"/>
      <c r="GT40" s="266"/>
      <c r="GU40" s="266"/>
      <c r="GV40" s="266"/>
      <c r="GW40" s="266"/>
      <c r="GX40" s="282"/>
      <c r="GY40" s="262"/>
      <c r="GZ40" s="262"/>
      <c r="HA40" s="262"/>
      <c r="HB40" s="262"/>
      <c r="HC40" s="262"/>
      <c r="HD40" s="262"/>
      <c r="HE40" s="267"/>
      <c r="HF40" s="267"/>
      <c r="HG40" s="267"/>
      <c r="HH40" s="267"/>
      <c r="HI40" s="262"/>
      <c r="HJ40" s="267"/>
      <c r="HK40" s="267"/>
      <c r="HL40" s="267"/>
      <c r="HM40" s="267"/>
      <c r="HN40" s="267"/>
      <c r="HO40" s="267"/>
      <c r="HP40" s="267"/>
      <c r="HQ40" s="267"/>
      <c r="HR40" s="267"/>
      <c r="HS40" s="267"/>
      <c r="HT40" s="267"/>
      <c r="HU40" s="268"/>
      <c r="HV40" s="268"/>
      <c r="HW40" s="268"/>
      <c r="HX40" s="268"/>
      <c r="HY40" s="266"/>
      <c r="HZ40" s="266"/>
      <c r="IA40" s="266"/>
      <c r="IB40" s="266"/>
      <c r="IC40" s="266"/>
      <c r="ID40" s="268"/>
      <c r="IE40" s="266"/>
      <c r="IF40" s="266"/>
      <c r="IG40" s="266"/>
      <c r="IH40" s="266"/>
      <c r="II40" s="266"/>
      <c r="IJ40" s="266"/>
      <c r="IK40" s="266"/>
      <c r="IL40" s="266"/>
      <c r="IM40" s="282"/>
      <c r="IN40" s="278"/>
      <c r="IO40" s="278"/>
      <c r="IP40" s="278"/>
      <c r="IQ40" s="278"/>
      <c r="IR40" s="278"/>
      <c r="IS40" s="278"/>
      <c r="IT40" s="278"/>
      <c r="IU40" s="278"/>
      <c r="IV40" s="278"/>
      <c r="IW40" s="278"/>
      <c r="IX40" s="278"/>
      <c r="IY40" s="278"/>
      <c r="IZ40" s="278"/>
      <c r="JA40" s="278"/>
      <c r="JB40" s="278"/>
      <c r="JC40" s="278"/>
      <c r="JD40" s="278"/>
      <c r="JE40" s="278"/>
      <c r="JF40" s="278"/>
      <c r="JG40" s="278"/>
      <c r="JH40" s="278"/>
      <c r="JI40" s="278"/>
      <c r="JJ40" s="278"/>
      <c r="JK40" s="278"/>
      <c r="JL40" s="278"/>
      <c r="JM40" s="278"/>
      <c r="JN40" s="278"/>
      <c r="JO40" s="278"/>
      <c r="JP40" s="278"/>
      <c r="JQ40" s="278"/>
      <c r="JR40" s="278"/>
      <c r="JS40" s="278"/>
      <c r="JT40" s="278"/>
      <c r="JU40" s="278"/>
      <c r="JV40" s="278"/>
      <c r="JW40" s="278"/>
      <c r="JX40" s="278"/>
      <c r="JY40" s="278"/>
      <c r="JZ40" s="278"/>
      <c r="KA40" s="278"/>
      <c r="KB40" s="278"/>
    </row>
    <row r="41" spans="1:288" s="17" customFormat="1">
      <c r="A41" s="175" t="s">
        <v>65</v>
      </c>
      <c r="B41" s="262">
        <f>+'WICHE Public Grads-RE PROJ'!AR44/'WICHE Public Grads-RE PROJ'!B44</f>
        <v>3.7881294894006344E-2</v>
      </c>
      <c r="C41" s="262">
        <f>+'WICHE Public Grads-RE PROJ'!AS44/'WICHE Public Grads-RE PROJ'!C44</f>
        <v>3.7489867603350449E-2</v>
      </c>
      <c r="D41" s="262">
        <f>+'WICHE Public Grads-RE PROJ'!AT44/'WICHE Public Grads-RE PROJ'!D44</f>
        <v>3.9872314591778785E-2</v>
      </c>
      <c r="E41" s="262">
        <f>+'WICHE Public Grads-RE PROJ'!AU44/'WICHE Public Grads-RE PROJ'!E44</f>
        <v>4.0974097599939141E-2</v>
      </c>
      <c r="F41" s="262">
        <f>+'WICHE Public Grads-RE PROJ'!AV44/'WICHE Public Grads-RE PROJ'!F44</f>
        <v>4.0343700418633992E-2</v>
      </c>
      <c r="G41" s="262">
        <f>+'WICHE Public Grads-RE PROJ'!AW44/'WICHE Public Grads-RE PROJ'!G44</f>
        <v>4.2198420622674052E-2</v>
      </c>
      <c r="H41" s="267">
        <f>+'WICHE Public Grads-RE PROJ'!AX44/'WICHE Public Grads-RE PROJ'!H44</f>
        <v>4.3983561787263002E-2</v>
      </c>
      <c r="I41" s="267">
        <f>+'WICHE Public Grads-RE PROJ'!AY44/'WICHE Public Grads-RE PROJ'!I44</f>
        <v>4.3498347489249793E-2</v>
      </c>
      <c r="J41" s="267">
        <f>+'WICHE Public Grads-RE PROJ'!AZ44/'WICHE Public Grads-RE PROJ'!J44</f>
        <v>4.4315285912281489E-2</v>
      </c>
      <c r="K41" s="267">
        <f>+'WICHE Public Grads-RE PROJ'!BA44/'WICHE Public Grads-RE PROJ'!K44</f>
        <v>4.5749566097772636E-2</v>
      </c>
      <c r="L41" s="262">
        <f>+'WICHE Public Grads-RE PROJ'!BB44/'WICHE Public Grads-RE PROJ'!L44</f>
        <v>4.8578310774321301E-2</v>
      </c>
      <c r="M41" s="267">
        <f>+'WICHE Public Grads-RE PROJ'!BC44/'WICHE Public Grads-RE PROJ'!M44</f>
        <v>4.6048320525585711E-2</v>
      </c>
      <c r="N41" s="267">
        <f>+'WICHE Public Grads-RE PROJ'!BD44/'WICHE Public Grads-RE PROJ'!N44</f>
        <v>4.5542348292362318E-2</v>
      </c>
      <c r="O41" s="267">
        <f>+'WICHE Public Grads-RE PROJ'!BE44/'WICHE Public Grads-RE PROJ'!O44</f>
        <v>4.7542773935202037E-2</v>
      </c>
      <c r="P41" s="267">
        <f>+'WICHE Public Grads-RE PROJ'!BF44/'WICHE Public Grads-RE PROJ'!P44</f>
        <v>4.7848474573598178E-2</v>
      </c>
      <c r="Q41" s="267">
        <f>+'WICHE Public Grads-RE PROJ'!BG44/'WICHE Public Grads-RE PROJ'!Q44</f>
        <v>4.9032406696360005E-2</v>
      </c>
      <c r="R41" s="267">
        <f>+'WICHE Public Grads-RE PROJ'!BH44/'WICHE Public Grads-RE PROJ'!R44</f>
        <v>4.6750479122115093E-2</v>
      </c>
      <c r="S41" s="267">
        <f>+'WICHE Public Grads-RE PROJ'!BI44/'WICHE Public Grads-RE PROJ'!S44</f>
        <v>4.4368497000075946E-2</v>
      </c>
      <c r="T41" s="267">
        <f>+'WICHE Public Grads-RE PROJ'!BJ44/'WICHE Public Grads-RE PROJ'!T44</f>
        <v>4.3952961484518285E-2</v>
      </c>
      <c r="U41" s="267">
        <f>+'WICHE Public Grads-RE PROJ'!BK44/'WICHE Public Grads-RE PROJ'!U44</f>
        <v>4.7832310466436982E-2</v>
      </c>
      <c r="V41" s="267">
        <f>+'WICHE Public Grads-RE PROJ'!BL44/'WICHE Public Grads-RE PROJ'!V44</f>
        <v>4.8528789973247638E-2</v>
      </c>
      <c r="W41" s="267">
        <f>+'WICHE Public Grads-RE PROJ'!BM44/'WICHE Public Grads-RE PROJ'!W44</f>
        <v>4.9907198009195741E-2</v>
      </c>
      <c r="X41" s="268">
        <f>+'WICHE Public Grads-RE PROJ'!BN44/'WICHE Public Grads-RE PROJ'!Y44</f>
        <v>5.2075925782417355E-2</v>
      </c>
      <c r="Y41" s="268">
        <f>+'WICHE Public Grads-RE PROJ'!BO44/'WICHE Public Grads-RE PROJ'!Z44</f>
        <v>5.2907437600248491E-2</v>
      </c>
      <c r="Z41" s="268">
        <f>+'WICHE Public Grads-RE PROJ'!BP44/'WICHE Public Grads-RE PROJ'!AA44</f>
        <v>5.4730083160157129E-2</v>
      </c>
      <c r="AA41" s="268">
        <f>+'WICHE Public Grads-RE PROJ'!BQ44/'WICHE Public Grads-RE PROJ'!AB44</f>
        <v>5.5540379096316241E-2</v>
      </c>
      <c r="AB41" s="266">
        <f>+'WICHE Public Grads-RE PROJ'!BR44/'WICHE Public Grads-RE PROJ'!AC44</f>
        <v>6.0328037037127413E-2</v>
      </c>
      <c r="AC41" s="266">
        <f>+'WICHE Public Grads-RE PROJ'!BS44/'WICHE Public Grads-RE PROJ'!AD44</f>
        <v>6.02778325759478E-2</v>
      </c>
      <c r="AD41" s="266">
        <f>+'WICHE Public Grads-RE PROJ'!BT44/'WICHE Public Grads-RE PROJ'!AE44</f>
        <v>6.2278719644296494E-2</v>
      </c>
      <c r="AE41" s="266">
        <f>+'WICHE Public Grads-RE PROJ'!BU44/'WICHE Public Grads-RE PROJ'!AF44</f>
        <v>6.5815496908686294E-2</v>
      </c>
      <c r="AF41" s="266">
        <f>+'WICHE Public Grads-RE PROJ'!BV44/'WICHE Public Grads-RE PROJ'!AG44</f>
        <v>6.8249723045932048E-2</v>
      </c>
      <c r="AG41" s="268">
        <f>+'WICHE Public Grads-RE PROJ'!BW44/'WICHE Public Grads-RE PROJ'!AH44</f>
        <v>7.0981120904080028E-2</v>
      </c>
      <c r="AH41" s="266">
        <f>+'WICHE Public Grads-RE PROJ'!BX44/'WICHE Public Grads-RE PROJ'!AI44</f>
        <v>7.0002852416054043E-2</v>
      </c>
      <c r="AI41" s="266">
        <f>+'WICHE Public Grads-RE PROJ'!BY44/'WICHE Public Grads-RE PROJ'!AJ44</f>
        <v>7.2072758760103828E-2</v>
      </c>
      <c r="AJ41" s="266">
        <f>+'WICHE Public Grads-RE PROJ'!BZ44/'WICHE Public Grads-RE PROJ'!AK44</f>
        <v>7.519669191685048E-2</v>
      </c>
      <c r="AK41" s="266">
        <f>+'WICHE Public Grads-RE PROJ'!CA44/'WICHE Public Grads-RE PROJ'!AL44</f>
        <v>7.5653564455489763E-2</v>
      </c>
      <c r="AL41" s="266">
        <f>+'WICHE Public Grads-RE PROJ'!CB44/'WICHE Public Grads-RE PROJ'!AM44</f>
        <v>7.7671313210850135E-2</v>
      </c>
      <c r="AM41" s="266">
        <f>+'WICHE Public Grads-RE PROJ'!CC44/'WICHE Public Grads-RE PROJ'!AN44</f>
        <v>7.8752856292924445E-2</v>
      </c>
      <c r="AN41" s="266">
        <f>+'WICHE Public Grads-RE PROJ'!CD44/'WICHE Public Grads-RE PROJ'!AO44</f>
        <v>8.2534392417839747E-2</v>
      </c>
      <c r="AO41" s="266">
        <f>+'WICHE Public Grads-RE PROJ'!CE44/'WICHE Public Grads-RE PROJ'!AP44</f>
        <v>8.20875608101201E-2</v>
      </c>
      <c r="AP41" s="282">
        <f>+'WICHE Public Grads-RE PROJ'!CF44/'WICHE Public Grads-RE PROJ'!AQ44</f>
        <v>8.319093768809814E-2</v>
      </c>
      <c r="AQ41" s="262">
        <f>+'WICHE Public Grads-RE PROJ'!CG44/'WICHE Public Grads-RE PROJ'!B44</f>
        <v>1.8200930486071908E-3</v>
      </c>
      <c r="AR41" s="262">
        <f>+'WICHE Public Grads-RE PROJ'!CH44/'WICHE Public Grads-RE PROJ'!C44</f>
        <v>1.3413363183695526E-3</v>
      </c>
      <c r="AS41" s="262">
        <f>+'WICHE Public Grads-RE PROJ'!CI44/'WICHE Public Grads-RE PROJ'!D44</f>
        <v>1.4002310870884986E-3</v>
      </c>
      <c r="AT41" s="262">
        <f>+'WICHE Public Grads-RE PROJ'!CJ44/'WICHE Public Grads-RE PROJ'!E44</f>
        <v>2.091970636339432E-3</v>
      </c>
      <c r="AU41" s="262">
        <f>+'WICHE Public Grads-RE PROJ'!CK44/'WICHE Public Grads-RE PROJ'!F44</f>
        <v>1.5101408827633666E-3</v>
      </c>
      <c r="AV41" s="262">
        <f>+'WICHE Public Grads-RE PROJ'!CL44/'WICHE Public Grads-RE PROJ'!G44</f>
        <v>2.4416810383952074E-3</v>
      </c>
      <c r="AW41" s="267">
        <f>+'WICHE Public Grads-RE PROJ'!CM44/'WICHE Public Grads-RE PROJ'!H44</f>
        <v>1.9631623491636928E-3</v>
      </c>
      <c r="AX41" s="267">
        <f>+'WICHE Public Grads-RE PROJ'!CN44/'WICHE Public Grads-RE PROJ'!I44</f>
        <v>1.4659369558264331E-3</v>
      </c>
      <c r="AY41" s="267">
        <f>+'WICHE Public Grads-RE PROJ'!CO44/'WICHE Public Grads-RE PROJ'!J44</f>
        <v>1.8419993740778826E-3</v>
      </c>
      <c r="AZ41" s="267">
        <f>+'WICHE Public Grads-RE PROJ'!CP44/'WICHE Public Grads-RE PROJ'!K44</f>
        <v>1.5548163147237489E-3</v>
      </c>
      <c r="BA41" s="262">
        <f>+'WICHE Public Grads-RE PROJ'!CQ44/'WICHE Public Grads-RE PROJ'!L44</f>
        <v>3.7117361152781232E-3</v>
      </c>
      <c r="BB41" s="267">
        <f>+'WICHE Public Grads-RE PROJ'!CR44/'WICHE Public Grads-RE PROJ'!M44</f>
        <v>1.9913707268503153E-3</v>
      </c>
      <c r="BC41" s="267">
        <f>+'WICHE Public Grads-RE PROJ'!CS44/'WICHE Public Grads-RE PROJ'!N44</f>
        <v>2.0438751873552256E-3</v>
      </c>
      <c r="BD41" s="267">
        <f>+'WICHE Public Grads-RE PROJ'!CT44/'WICHE Public Grads-RE PROJ'!O44</f>
        <v>2.9365368280548478E-3</v>
      </c>
      <c r="BE41" s="267">
        <f>+'WICHE Public Grads-RE PROJ'!CU44/'WICHE Public Grads-RE PROJ'!P44</f>
        <v>1.9871152921138334E-3</v>
      </c>
      <c r="BF41" s="267">
        <f>+'WICHE Public Grads-RE PROJ'!CV44/'WICHE Public Grads-RE PROJ'!Q44</f>
        <v>3.2406696360006144E-3</v>
      </c>
      <c r="BG41" s="267">
        <f>+'WICHE Public Grads-RE PROJ'!CW44/'WICHE Public Grads-RE PROJ'!R44</f>
        <v>2.3530630517303894E-3</v>
      </c>
      <c r="BH41" s="267">
        <f>+'WICHE Public Grads-RE PROJ'!CX44/'WICHE Public Grads-RE PROJ'!S44</f>
        <v>1.8379281537176273E-3</v>
      </c>
      <c r="BI41" s="267">
        <f>+'WICHE Public Grads-RE PROJ'!CY44/'WICHE Public Grads-RE PROJ'!T44</f>
        <v>2.0426511310101775E-3</v>
      </c>
      <c r="BJ41" s="267">
        <f>+'WICHE Public Grads-RE PROJ'!CZ44/'WICHE Public Grads-RE PROJ'!U44</f>
        <v>3.1911843856593171E-3</v>
      </c>
      <c r="BK41" s="267">
        <f>+'WICHE Public Grads-RE PROJ'!DA44/'WICHE Public Grads-RE PROJ'!V44</f>
        <v>2.9124548740011272E-3</v>
      </c>
      <c r="BL41" s="267">
        <f>+'WICHE Public Grads-RE PROJ'!DB44/'WICHE Public Grads-RE PROJ'!W44</f>
        <v>2.6916656416492496E-3</v>
      </c>
      <c r="BM41" s="268">
        <f>+'WICHE Public Grads-RE PROJ'!DC44/'WICHE Public Grads-RE PROJ'!Y44</f>
        <v>2.59143509223294E-3</v>
      </c>
      <c r="BN41" s="268">
        <f>+'WICHE Public Grads-RE PROJ'!DD44/'WICHE Public Grads-RE PROJ'!Z44</f>
        <v>2.8769016422117689E-3</v>
      </c>
      <c r="BO41" s="268">
        <f>+'WICHE Public Grads-RE PROJ'!DE44/'WICHE Public Grads-RE PROJ'!AA44</f>
        <v>3.1781369974953786E-3</v>
      </c>
      <c r="BP41" s="268">
        <f>+'WICHE Public Grads-RE PROJ'!DF44/'WICHE Public Grads-RE PROJ'!AB44</f>
        <v>3.2045316281446995E-3</v>
      </c>
      <c r="BQ41" s="266">
        <f>+'WICHE Public Grads-RE PROJ'!DG44/'WICHE Public Grads-RE PROJ'!AC44</f>
        <v>3.6480294090339392E-3</v>
      </c>
      <c r="BR41" s="266">
        <f>+'WICHE Public Grads-RE PROJ'!DH44/'WICHE Public Grads-RE PROJ'!AD44</f>
        <v>3.4201347447457672E-3</v>
      </c>
      <c r="BS41" s="266">
        <f>+'WICHE Public Grads-RE PROJ'!DI44/'WICHE Public Grads-RE PROJ'!AE44</f>
        <v>3.9849841622769267E-3</v>
      </c>
      <c r="BT41" s="266">
        <f>+'WICHE Public Grads-RE PROJ'!DJ44/'WICHE Public Grads-RE PROJ'!AF44</f>
        <v>4.0401017203112299E-3</v>
      </c>
      <c r="BU41" s="266">
        <f>+'WICHE Public Grads-RE PROJ'!DK44/'WICHE Public Grads-RE PROJ'!AG44</f>
        <v>4.317808223255273E-3</v>
      </c>
      <c r="BV41" s="268">
        <f>+'WICHE Public Grads-RE PROJ'!DL44/'WICHE Public Grads-RE PROJ'!AH44</f>
        <v>4.8132379807820239E-3</v>
      </c>
      <c r="BW41" s="266">
        <f>+'WICHE Public Grads-RE PROJ'!DM44/'WICHE Public Grads-RE PROJ'!AI44</f>
        <v>5.1438199378866113E-3</v>
      </c>
      <c r="BX41" s="266">
        <f>+'WICHE Public Grads-RE PROJ'!DN44/'WICHE Public Grads-RE PROJ'!AJ44</f>
        <v>5.7339709813598047E-3</v>
      </c>
      <c r="BY41" s="266">
        <f>+'WICHE Public Grads-RE PROJ'!DO44/'WICHE Public Grads-RE PROJ'!AK44</f>
        <v>4.933349593543775E-3</v>
      </c>
      <c r="BZ41" s="266">
        <f>+'WICHE Public Grads-RE PROJ'!DP44/'WICHE Public Grads-RE PROJ'!AL44</f>
        <v>4.8239657217102007E-3</v>
      </c>
      <c r="CA41" s="266">
        <f>+'WICHE Public Grads-RE PROJ'!DQ44/'WICHE Public Grads-RE PROJ'!AM44</f>
        <v>4.6710297233303055E-3</v>
      </c>
      <c r="CB41" s="266">
        <f>+'WICHE Public Grads-RE PROJ'!DR44/'WICHE Public Grads-RE PROJ'!AN44</f>
        <v>3.8743536353839903E-3</v>
      </c>
      <c r="CC41" s="266">
        <f>+'WICHE Public Grads-RE PROJ'!DS44/'WICHE Public Grads-RE PROJ'!AO44</f>
        <v>4.2117567518731641E-3</v>
      </c>
      <c r="CD41" s="266">
        <f>+'WICHE Public Grads-RE PROJ'!DT44/'WICHE Public Grads-RE PROJ'!AP44</f>
        <v>4.415949236536469E-3</v>
      </c>
      <c r="CE41" s="282">
        <f>+'WICHE Public Grads-RE PROJ'!DU44/'WICHE Public Grads-RE PROJ'!AQ44</f>
        <v>4.0226524572820558E-3</v>
      </c>
      <c r="CF41" s="262">
        <f>+'WICHE Public Grads-RE PROJ'!DV44/'WICHE Public Grads-RE PROJ'!B44</f>
        <v>3.6061201845399155E-2</v>
      </c>
      <c r="CG41" s="262">
        <f>+'WICHE Public Grads-RE PROJ'!DW44/'WICHE Public Grads-RE PROJ'!C44</f>
        <v>3.6148531284980891E-2</v>
      </c>
      <c r="CH41" s="262">
        <f>+'WICHE Public Grads-RE PROJ'!DX44/'WICHE Public Grads-RE PROJ'!D44</f>
        <v>3.8472083504690287E-2</v>
      </c>
      <c r="CI41" s="262">
        <f>+'WICHE Public Grads-RE PROJ'!DY44/'WICHE Public Grads-RE PROJ'!E44</f>
        <v>3.888212696359971E-2</v>
      </c>
      <c r="CJ41" s="262">
        <f>+'WICHE Public Grads-RE PROJ'!DZ44/'WICHE Public Grads-RE PROJ'!F44</f>
        <v>3.8833559535870622E-2</v>
      </c>
      <c r="CK41" s="262">
        <f>+'WICHE Public Grads-RE PROJ'!EA44/'WICHE Public Grads-RE PROJ'!G44</f>
        <v>3.975673958427884E-2</v>
      </c>
      <c r="CL41" s="267">
        <f>+'WICHE Public Grads-RE PROJ'!EB44/'WICHE Public Grads-RE PROJ'!H44</f>
        <v>4.2020399438099307E-2</v>
      </c>
      <c r="CM41" s="267">
        <f>+'WICHE Public Grads-RE PROJ'!EC44/'WICHE Public Grads-RE PROJ'!I44</f>
        <v>4.203241053342336E-2</v>
      </c>
      <c r="CN41" s="267">
        <f>+'WICHE Public Grads-RE PROJ'!ED44/'WICHE Public Grads-RE PROJ'!J44</f>
        <v>4.2473286538203606E-2</v>
      </c>
      <c r="CO41" s="267">
        <f>+'WICHE Public Grads-RE PROJ'!EE44/'WICHE Public Grads-RE PROJ'!K44</f>
        <v>4.4194749783048888E-2</v>
      </c>
      <c r="CP41" s="262">
        <f>+'WICHE Public Grads-RE PROJ'!EF44/'WICHE Public Grads-RE PROJ'!L44</f>
        <v>4.486657465904318E-2</v>
      </c>
      <c r="CQ41" s="267">
        <f>+'WICHE Public Grads-RE PROJ'!EG44/'WICHE Public Grads-RE PROJ'!M44</f>
        <v>4.4056949798735395E-2</v>
      </c>
      <c r="CR41" s="267">
        <f>+'WICHE Public Grads-RE PROJ'!EH44/'WICHE Public Grads-RE PROJ'!N44</f>
        <v>4.3498473105007096E-2</v>
      </c>
      <c r="CS41" s="267">
        <f>+'WICHE Public Grads-RE PROJ'!EI44/'WICHE Public Grads-RE PROJ'!O44</f>
        <v>4.4606237107147194E-2</v>
      </c>
      <c r="CT41" s="267">
        <f>+'WICHE Public Grads-RE PROJ'!EJ44/'WICHE Public Grads-RE PROJ'!P44</f>
        <v>4.586135928148434E-2</v>
      </c>
      <c r="CU41" s="267">
        <f>+'WICHE Public Grads-RE PROJ'!EK44/'WICHE Public Grads-RE PROJ'!Q44</f>
        <v>4.579173706035939E-2</v>
      </c>
      <c r="CV41" s="267">
        <f>+'WICHE Public Grads-RE PROJ'!EL44/'WICHE Public Grads-RE PROJ'!R44</f>
        <v>4.4397416070384707E-2</v>
      </c>
      <c r="CW41" s="267">
        <f>+'WICHE Public Grads-RE PROJ'!EM44/'WICHE Public Grads-RE PROJ'!S44</f>
        <v>4.2530568846358321E-2</v>
      </c>
      <c r="CX41" s="267">
        <f>+'WICHE Public Grads-RE PROJ'!EN44/'WICHE Public Grads-RE PROJ'!T44</f>
        <v>4.1910310353508111E-2</v>
      </c>
      <c r="CY41" s="267">
        <f>+'WICHE Public Grads-RE PROJ'!EO44/'WICHE Public Grads-RE PROJ'!U44</f>
        <v>4.4641126080777666E-2</v>
      </c>
      <c r="CZ41" s="267">
        <f>+'WICHE Public Grads-RE PROJ'!EP44/'WICHE Public Grads-RE PROJ'!V44</f>
        <v>4.5616335099246508E-2</v>
      </c>
      <c r="DA41" s="267">
        <f>+'WICHE Public Grads-RE PROJ'!EQ44/'WICHE Public Grads-RE PROJ'!W44</f>
        <v>4.7215532367546491E-2</v>
      </c>
      <c r="DB41" s="268">
        <f>+'WICHE Public Grads-RE PROJ'!ER44/'WICHE Public Grads-RE PROJ'!Y44</f>
        <v>4.9484490690184416E-2</v>
      </c>
      <c r="DC41" s="268">
        <f>+'WICHE Public Grads-RE PROJ'!ES44/'WICHE Public Grads-RE PROJ'!Z44</f>
        <v>5.0030535958036727E-2</v>
      </c>
      <c r="DD41" s="268">
        <f>+'WICHE Public Grads-RE PROJ'!ET44/'WICHE Public Grads-RE PROJ'!AA44</f>
        <v>5.1551946162661753E-2</v>
      </c>
      <c r="DE41" s="268">
        <f>+'WICHE Public Grads-RE PROJ'!EU44/'WICHE Public Grads-RE PROJ'!AB44</f>
        <v>5.2335847468171534E-2</v>
      </c>
      <c r="DF41" s="266">
        <f>+'WICHE Public Grads-RE PROJ'!EV44/'WICHE Public Grads-RE PROJ'!AC44</f>
        <v>5.6680007628093471E-2</v>
      </c>
      <c r="DG41" s="266">
        <f>+'WICHE Public Grads-RE PROJ'!EW44/'WICHE Public Grads-RE PROJ'!AD44</f>
        <v>5.6857697831202036E-2</v>
      </c>
      <c r="DH41" s="266">
        <f>+'WICHE Public Grads-RE PROJ'!EX44/'WICHE Public Grads-RE PROJ'!AE44</f>
        <v>5.8293735482019569E-2</v>
      </c>
      <c r="DI41" s="266">
        <f>+'WICHE Public Grads-RE PROJ'!EY44/'WICHE Public Grads-RE PROJ'!AF44</f>
        <v>6.1775395188375055E-2</v>
      </c>
      <c r="DJ41" s="266">
        <f>+'WICHE Public Grads-RE PROJ'!EZ44/'WICHE Public Grads-RE PROJ'!AG44</f>
        <v>6.393191482267678E-2</v>
      </c>
      <c r="DK41" s="268">
        <f>+'WICHE Public Grads-RE PROJ'!FA44/'WICHE Public Grads-RE PROJ'!AH44</f>
        <v>6.6167882923298005E-2</v>
      </c>
      <c r="DL41" s="266">
        <f>+'WICHE Public Grads-RE PROJ'!FB44/'WICHE Public Grads-RE PROJ'!AI44</f>
        <v>6.4859032478167433E-2</v>
      </c>
      <c r="DM41" s="266">
        <f>+'WICHE Public Grads-RE PROJ'!FC44/'WICHE Public Grads-RE PROJ'!AJ44</f>
        <v>6.633878777874401E-2</v>
      </c>
      <c r="DN41" s="266">
        <f>+'WICHE Public Grads-RE PROJ'!FD44/'WICHE Public Grads-RE PROJ'!AK44</f>
        <v>7.0263342323306707E-2</v>
      </c>
      <c r="DO41" s="266">
        <f>+'WICHE Public Grads-RE PROJ'!FE44/'WICHE Public Grads-RE PROJ'!AL44</f>
        <v>7.0829598733779559E-2</v>
      </c>
      <c r="DP41" s="266">
        <f>+'WICHE Public Grads-RE PROJ'!FF44/'WICHE Public Grads-RE PROJ'!AM44</f>
        <v>7.3000283487519843E-2</v>
      </c>
      <c r="DQ41" s="266">
        <f>+'WICHE Public Grads-RE PROJ'!FG44/'WICHE Public Grads-RE PROJ'!AN44</f>
        <v>7.4878502657540452E-2</v>
      </c>
      <c r="DR41" s="266">
        <f>+'WICHE Public Grads-RE PROJ'!FH44/'WICHE Public Grads-RE PROJ'!AO44</f>
        <v>7.8322635665966575E-2</v>
      </c>
      <c r="DS41" s="266">
        <f>+'WICHE Public Grads-RE PROJ'!FI44/'WICHE Public Grads-RE PROJ'!AP44</f>
        <v>7.7671611573583627E-2</v>
      </c>
      <c r="DT41" s="282">
        <f>+'WICHE Public Grads-RE PROJ'!FJ44/'WICHE Public Grads-RE PROJ'!AQ44</f>
        <v>7.9168285230816079E-2</v>
      </c>
      <c r="DU41" s="262">
        <f>+'WICHE Public Grads-RE PROJ'!FK44/'WICHE Public Grads-RE PROJ'!B44</f>
        <v>0.15589534951626405</v>
      </c>
      <c r="DV41" s="262">
        <f>+'WICHE Public Grads-RE PROJ'!FL44/'WICHE Public Grads-RE PROJ'!C44</f>
        <v>0.1548326707067588</v>
      </c>
      <c r="DW41" s="262">
        <f>+'WICHE Public Grads-RE PROJ'!FM44/'WICHE Public Grads-RE PROJ'!D44</f>
        <v>0.15273289857626854</v>
      </c>
      <c r="DX41" s="262">
        <f>+'WICHE Public Grads-RE PROJ'!FN44/'WICHE Public Grads-RE PROJ'!E44</f>
        <v>0.14654254307557718</v>
      </c>
      <c r="DY41" s="262">
        <f>+'WICHE Public Grads-RE PROJ'!FO44/'WICHE Public Grads-RE PROJ'!F44</f>
        <v>0.1490738439775964</v>
      </c>
      <c r="DZ41" s="262">
        <f>+'WICHE Public Grads-RE PROJ'!FP44/'WICHE Public Grads-RE PROJ'!G44</f>
        <v>0.14951438685667603</v>
      </c>
      <c r="EA41" s="267">
        <f>+'WICHE Public Grads-RE PROJ'!FQ44/'WICHE Public Grads-RE PROJ'!H44</f>
        <v>0.15173063667536274</v>
      </c>
      <c r="EB41" s="267">
        <f>+'WICHE Public Grads-RE PROJ'!FR44/'WICHE Public Grads-RE PROJ'!I44</f>
        <v>0.1507160879917552</v>
      </c>
      <c r="EC41" s="267">
        <f>+'WICHE Public Grads-RE PROJ'!FS44/'WICHE Public Grads-RE PROJ'!J44</f>
        <v>0.14678767827603165</v>
      </c>
      <c r="ED41" s="267">
        <f>+'WICHE Public Grads-RE PROJ'!FT44/'WICHE Public Grads-RE PROJ'!K44</f>
        <v>0.14009618166039919</v>
      </c>
      <c r="EE41" s="262">
        <f>+'WICHE Public Grads-RE PROJ'!FU44/'WICHE Public Grads-RE PROJ'!L44</f>
        <v>0.13967443016707098</v>
      </c>
      <c r="EF41" s="267">
        <f>+'WICHE Public Grads-RE PROJ'!FV44/'WICHE Public Grads-RE PROJ'!M44</f>
        <v>0.13519194601172696</v>
      </c>
      <c r="EG41" s="267">
        <f>+'WICHE Public Grads-RE PROJ'!FW44/'WICHE Public Grads-RE PROJ'!N44</f>
        <v>0.14700672475012624</v>
      </c>
      <c r="EH41" s="267">
        <f>+'WICHE Public Grads-RE PROJ'!FX44/'WICHE Public Grads-RE PROJ'!O44</f>
        <v>0.15185050357966265</v>
      </c>
      <c r="EI41" s="267">
        <f>+'WICHE Public Grads-RE PROJ'!FY44/'WICHE Public Grads-RE PROJ'!P44</f>
        <v>0.15362293698794327</v>
      </c>
      <c r="EJ41" s="267">
        <f>+'WICHE Public Grads-RE PROJ'!FZ44/'WICHE Public Grads-RE PROJ'!Q44</f>
        <v>0.16215635079096913</v>
      </c>
      <c r="EK41" s="267">
        <f>+'WICHE Public Grads-RE PROJ'!GA44/'WICHE Public Grads-RE PROJ'!R44</f>
        <v>0.16077784272955314</v>
      </c>
      <c r="EL41" s="267">
        <f>+'WICHE Public Grads-RE PROJ'!GB44/'WICHE Public Grads-RE PROJ'!S44</f>
        <v>0.16622617148932939</v>
      </c>
      <c r="EM41" s="267">
        <f>+'WICHE Public Grads-RE PROJ'!GC44/'WICHE Public Grads-RE PROJ'!T44</f>
        <v>0.17879670586542956</v>
      </c>
      <c r="EN41" s="267">
        <f>+'WICHE Public Grads-RE PROJ'!GD44/'WICHE Public Grads-RE PROJ'!U44</f>
        <v>0.17215419074198685</v>
      </c>
      <c r="EO41" s="267">
        <f>+'WICHE Public Grads-RE PROJ'!GE44/'WICHE Public Grads-RE PROJ'!V44</f>
        <v>0.17382500343075868</v>
      </c>
      <c r="EP41" s="267">
        <f>+'WICHE Public Grads-RE PROJ'!GF44/'WICHE Public Grads-RE PROJ'!W44</f>
        <v>0.16300612561552968</v>
      </c>
      <c r="EQ41" s="268">
        <f>+'WICHE Public Grads-RE PROJ'!GG44/'WICHE Public Grads-RE PROJ'!Y44</f>
        <v>0.16265403779753904</v>
      </c>
      <c r="ER41" s="268">
        <f>+'WICHE Public Grads-RE PROJ'!GH44/'WICHE Public Grads-RE PROJ'!Z44</f>
        <v>0.16671436576972484</v>
      </c>
      <c r="ES41" s="268">
        <f>+'WICHE Public Grads-RE PROJ'!GI44/'WICHE Public Grads-RE PROJ'!AA44</f>
        <v>0.15879015424930881</v>
      </c>
      <c r="ET41" s="268">
        <f>+'WICHE Public Grads-RE PROJ'!GJ44/'WICHE Public Grads-RE PROJ'!AB44</f>
        <v>0.15713085827197046</v>
      </c>
      <c r="EU41" s="266">
        <f>+'WICHE Public Grads-RE PROJ'!GK44/'WICHE Public Grads-RE PROJ'!AC44</f>
        <v>0.15603706157152142</v>
      </c>
      <c r="EV41" s="266">
        <f>+'WICHE Public Grads-RE PROJ'!GL44/'WICHE Public Grads-RE PROJ'!AD44</f>
        <v>0.15218004997428705</v>
      </c>
      <c r="EW41" s="266">
        <f>+'WICHE Public Grads-RE PROJ'!GM44/'WICHE Public Grads-RE PROJ'!AE44</f>
        <v>0.1501235057310954</v>
      </c>
      <c r="EX41" s="266">
        <f>+'WICHE Public Grads-RE PROJ'!GN44/'WICHE Public Grads-RE PROJ'!AF44</f>
        <v>0.14560047421715466</v>
      </c>
      <c r="EY41" s="266">
        <f>+'WICHE Public Grads-RE PROJ'!GO44/'WICHE Public Grads-RE PROJ'!AG44</f>
        <v>0.14514645645470661</v>
      </c>
      <c r="EZ41" s="268">
        <f>+'WICHE Public Grads-RE PROJ'!GP44/'WICHE Public Grads-RE PROJ'!AH44</f>
        <v>0.14459752165192663</v>
      </c>
      <c r="FA41" s="266">
        <f>+'WICHE Public Grads-RE PROJ'!GQ44/'WICHE Public Grads-RE PROJ'!AI44</f>
        <v>0.14768362535186166</v>
      </c>
      <c r="FB41" s="266">
        <f>+'WICHE Public Grads-RE PROJ'!GR44/'WICHE Public Grads-RE PROJ'!AJ44</f>
        <v>0.14960123220200525</v>
      </c>
      <c r="FC41" s="266">
        <f>+'WICHE Public Grads-RE PROJ'!GS44/'WICHE Public Grads-RE PROJ'!AK44</f>
        <v>0.14907148753323166</v>
      </c>
      <c r="FD41" s="266">
        <f>+'WICHE Public Grads-RE PROJ'!GT44/'WICHE Public Grads-RE PROJ'!AL44</f>
        <v>0.14938856970431083</v>
      </c>
      <c r="FE41" s="266">
        <f>+'WICHE Public Grads-RE PROJ'!GU44/'WICHE Public Grads-RE PROJ'!AM44</f>
        <v>0.14788567984389306</v>
      </c>
      <c r="FF41" s="266">
        <f>+'WICHE Public Grads-RE PROJ'!GV44/'WICHE Public Grads-RE PROJ'!AN44</f>
        <v>0.14400413167380355</v>
      </c>
      <c r="FG41" s="266">
        <f>+'WICHE Public Grads-RE PROJ'!GW44/'WICHE Public Grads-RE PROJ'!AO44</f>
        <v>0.14647033671531123</v>
      </c>
      <c r="FH41" s="266">
        <f>+'WICHE Public Grads-RE PROJ'!GX44/'WICHE Public Grads-RE PROJ'!AP44</f>
        <v>0.1459536467137586</v>
      </c>
      <c r="FI41" s="282">
        <f>+'WICHE Public Grads-RE PROJ'!GY44/'WICHE Public Grads-RE PROJ'!AQ44</f>
        <v>0.14649954701572182</v>
      </c>
      <c r="FJ41" s="262">
        <f>+'WICHE Public Grads-RE PROJ'!GZ44/'WICHE Public Grads-RE PROJ'!B44</f>
        <v>6.8900741663584508E-2</v>
      </c>
      <c r="FK41" s="262">
        <f>+'WICHE Public Grads-RE PROJ'!HA44/'WICHE Public Grads-RE PROJ'!C44</f>
        <v>7.509553402555294E-2</v>
      </c>
      <c r="FL41" s="262">
        <f>+'WICHE Public Grads-RE PROJ'!HB44/'WICHE Public Grads-RE PROJ'!D44</f>
        <v>7.8168145232360028E-2</v>
      </c>
      <c r="FM41" s="262">
        <f>+'WICHE Public Grads-RE PROJ'!HC44/'WICHE Public Grads-RE PROJ'!E44</f>
        <v>7.857251530942147E-2</v>
      </c>
      <c r="FN41" s="262">
        <f>+'WICHE Public Grads-RE PROJ'!HD44/'WICHE Public Grads-RE PROJ'!F44</f>
        <v>8.0849884349970369E-2</v>
      </c>
      <c r="FO41" s="262">
        <f>+'WICHE Public Grads-RE PROJ'!HE44/'WICHE Public Grads-RE PROJ'!G44</f>
        <v>8.51139148588545E-2</v>
      </c>
      <c r="FP41" s="267">
        <f>+'WICHE Public Grads-RE PROJ'!HF44/'WICHE Public Grads-RE PROJ'!H44</f>
        <v>8.9886660093708284E-2</v>
      </c>
      <c r="FQ41" s="267">
        <f>+'WICHE Public Grads-RE PROJ'!HG44/'WICHE Public Grads-RE PROJ'!I44</f>
        <v>9.299370979778955E-2</v>
      </c>
      <c r="FR41" s="267">
        <f>+'WICHE Public Grads-RE PROJ'!HH44/'WICHE Public Grads-RE PROJ'!J44</f>
        <v>9.7223588322081639E-2</v>
      </c>
      <c r="FS41" s="267">
        <f>+'WICHE Public Grads-RE PROJ'!HI44/'WICHE Public Grads-RE PROJ'!K44</f>
        <v>9.8125180792594732E-2</v>
      </c>
      <c r="FT41" s="262">
        <f>+'WICHE Public Grads-RE PROJ'!HJ44/'WICHE Public Grads-RE PROJ'!L44</f>
        <v>0.10494012361024199</v>
      </c>
      <c r="FU41" s="267">
        <f>+'WICHE Public Grads-RE PROJ'!HK44/'WICHE Public Grads-RE PROJ'!M44</f>
        <v>0.1114656999157497</v>
      </c>
      <c r="FV41" s="267">
        <f>+'WICHE Public Grads-RE PROJ'!HL44/'WICHE Public Grads-RE PROJ'!N44</f>
        <v>0.11670928079638995</v>
      </c>
      <c r="FW41" s="267">
        <f>+'WICHE Public Grads-RE PROJ'!HM44/'WICHE Public Grads-RE PROJ'!O44</f>
        <v>0.12074586417505966</v>
      </c>
      <c r="FX41" s="267">
        <f>+'WICHE Public Grads-RE PROJ'!HN44/'WICHE Public Grads-RE PROJ'!P44</f>
        <v>0.1243051010511209</v>
      </c>
      <c r="FY41" s="267">
        <f>+'WICHE Public Grads-RE PROJ'!HO44/'WICHE Public Grads-RE PROJ'!Q44</f>
        <v>0.12385194286591922</v>
      </c>
      <c r="FZ41" s="267">
        <f>+'WICHE Public Grads-RE PROJ'!HP44/'WICHE Public Grads-RE PROJ'!R44</f>
        <v>0.13623347121197546</v>
      </c>
      <c r="GA41" s="267">
        <f>+'WICHE Public Grads-RE PROJ'!HQ44/'WICHE Public Grads-RE PROJ'!S44</f>
        <v>0.14897850687324371</v>
      </c>
      <c r="GB41" s="267">
        <f>+'WICHE Public Grads-RE PROJ'!HR44/'WICHE Public Grads-RE PROJ'!T44</f>
        <v>0.16053511705685619</v>
      </c>
      <c r="GC41" s="267">
        <f>+'WICHE Public Grads-RE PROJ'!HS44/'WICHE Public Grads-RE PROJ'!U44</f>
        <v>0.16881798512107649</v>
      </c>
      <c r="GD41" s="267">
        <f>+'WICHE Public Grads-RE PROJ'!HT44/'WICHE Public Grads-RE PROJ'!V44</f>
        <v>0.18463908293032419</v>
      </c>
      <c r="GE41" s="267">
        <f>+'WICHE Public Grads-RE PROJ'!HU44/'WICHE Public Grads-RE PROJ'!W44</f>
        <v>0.1916783980233861</v>
      </c>
      <c r="GF41" s="268">
        <f>+'WICHE Public Grads-RE PROJ'!HV44/'WICHE Public Grads-RE PROJ'!Y44</f>
        <v>0.19874669779697454</v>
      </c>
      <c r="GG41" s="268">
        <f>+'WICHE Public Grads-RE PROJ'!HW44/'WICHE Public Grads-RE PROJ'!Z44</f>
        <v>0.20901843634211106</v>
      </c>
      <c r="GH41" s="268">
        <f>+'WICHE Public Grads-RE PROJ'!HX44/'WICHE Public Grads-RE PROJ'!AA44</f>
        <v>0.21470357320699926</v>
      </c>
      <c r="GI41" s="268">
        <f>+'WICHE Public Grads-RE PROJ'!HY44/'WICHE Public Grads-RE PROJ'!AB44</f>
        <v>0.21974981072714403</v>
      </c>
      <c r="GJ41" s="266">
        <f>+'WICHE Public Grads-RE PROJ'!HZ44/'WICHE Public Grads-RE PROJ'!AC44</f>
        <v>0.22781274789795097</v>
      </c>
      <c r="GK41" s="266">
        <f>+'WICHE Public Grads-RE PROJ'!IA44/'WICHE Public Grads-RE PROJ'!AD44</f>
        <v>0.23700814761852648</v>
      </c>
      <c r="GL41" s="266">
        <f>+'WICHE Public Grads-RE PROJ'!IB44/'WICHE Public Grads-RE PROJ'!AE44</f>
        <v>0.2430150408648088</v>
      </c>
      <c r="GM41" s="266">
        <f>+'WICHE Public Grads-RE PROJ'!IC44/'WICHE Public Grads-RE PROJ'!AF44</f>
        <v>0.2512467069017652</v>
      </c>
      <c r="GN41" s="266">
        <f>+'WICHE Public Grads-RE PROJ'!ID44/'WICHE Public Grads-RE PROJ'!AG44</f>
        <v>0.25574878308117593</v>
      </c>
      <c r="GO41" s="268">
        <f>+'WICHE Public Grads-RE PROJ'!IE44/'WICHE Public Grads-RE PROJ'!AH44</f>
        <v>0.26189502238747536</v>
      </c>
      <c r="GP41" s="266">
        <f>+'WICHE Public Grads-RE PROJ'!IF44/'WICHE Public Grads-RE PROJ'!AI44</f>
        <v>0.26747705157969826</v>
      </c>
      <c r="GQ41" s="266">
        <f>+'WICHE Public Grads-RE PROJ'!IG44/'WICHE Public Grads-RE PROJ'!AJ44</f>
        <v>0.27215554197377778</v>
      </c>
      <c r="GR41" s="266">
        <f>+'WICHE Public Grads-RE PROJ'!IH44/'WICHE Public Grads-RE PROJ'!AK44</f>
        <v>0.26522054633072667</v>
      </c>
      <c r="GS41" s="266">
        <f>+'WICHE Public Grads-RE PROJ'!II44/'WICHE Public Grads-RE PROJ'!AL44</f>
        <v>0.25811710519283587</v>
      </c>
      <c r="GT41" s="266">
        <f>+'WICHE Public Grads-RE PROJ'!IJ44/'WICHE Public Grads-RE PROJ'!AM44</f>
        <v>0.24749318452695651</v>
      </c>
      <c r="GU41" s="266">
        <f>+'WICHE Public Grads-RE PROJ'!IK44/'WICHE Public Grads-RE PROJ'!AN44</f>
        <v>0.24320942578203947</v>
      </c>
      <c r="GV41" s="266">
        <f>+'WICHE Public Grads-RE PROJ'!IL44/'WICHE Public Grads-RE PROJ'!AO44</f>
        <v>0.24014123732012371</v>
      </c>
      <c r="GW41" s="266">
        <f>+'WICHE Public Grads-RE PROJ'!IM44/'WICHE Public Grads-RE PROJ'!AP44</f>
        <v>0.2337976909553712</v>
      </c>
      <c r="GX41" s="282">
        <f>+'WICHE Public Grads-RE PROJ'!IN44/'WICHE Public Grads-RE PROJ'!AQ44</f>
        <v>0.23371830478158123</v>
      </c>
      <c r="GY41" s="262">
        <f>+'WICHE Public Grads-RE PROJ'!IO44/'WICHE Public Grads-RE PROJ'!B44</f>
        <v>0.73732261392614507</v>
      </c>
      <c r="GZ41" s="262">
        <f>+'WICHE Public Grads-RE PROJ'!IP44/'WICHE Public Grads-RE PROJ'!C44</f>
        <v>0.73258192766433783</v>
      </c>
      <c r="HA41" s="262">
        <f>+'WICHE Public Grads-RE PROJ'!IQ44/'WICHE Public Grads-RE PROJ'!D44</f>
        <v>0.72922664159959261</v>
      </c>
      <c r="HB41" s="262">
        <f>+'WICHE Public Grads-RE PROJ'!IR44/'WICHE Public Grads-RE PROJ'!E44</f>
        <v>0.73391084401506224</v>
      </c>
      <c r="HC41" s="262">
        <f>+'WICHE Public Grads-RE PROJ'!IS44/'WICHE Public Grads-RE PROJ'!F44</f>
        <v>0.7297325712537992</v>
      </c>
      <c r="HD41" s="262">
        <f>+'WICHE Public Grads-RE PROJ'!IT44/'WICHE Public Grads-RE PROJ'!G44</f>
        <v>0.7231732776617954</v>
      </c>
      <c r="HE41" s="267">
        <f>+'WICHE Public Grads-RE PROJ'!IU44/'WICHE Public Grads-RE PROJ'!H44</f>
        <v>0.71439914144366601</v>
      </c>
      <c r="HF41" s="267">
        <f>+'WICHE Public Grads-RE PROJ'!IV44/'WICHE Public Grads-RE PROJ'!I44</f>
        <v>0.71279185472120543</v>
      </c>
      <c r="HG41" s="267">
        <f>+'WICHE Public Grads-RE PROJ'!IW44/'WICHE Public Grads-RE PROJ'!J44</f>
        <v>0.71167344748960526</v>
      </c>
      <c r="HH41" s="267">
        <f>+'WICHE Public Grads-RE PROJ'!IX44/'WICHE Public Grads-RE PROJ'!K44</f>
        <v>0.71602907144923345</v>
      </c>
      <c r="HI41" s="262">
        <f>+'WICHE Public Grads-RE PROJ'!IY44/'WICHE Public Grads-RE PROJ'!L44</f>
        <v>0.70680713544836571</v>
      </c>
      <c r="HJ41" s="267">
        <f>+'WICHE Public Grads-RE PROJ'!IZ44/'WICHE Public Grads-RE PROJ'!M44</f>
        <v>0.70729403354693765</v>
      </c>
      <c r="HK41" s="267">
        <f>+'WICHE Public Grads-RE PROJ'!JA44/'WICHE Public Grads-RE PROJ'!N44</f>
        <v>0.69074164616112144</v>
      </c>
      <c r="HL41" s="267">
        <f>+'WICHE Public Grads-RE PROJ'!JB44/'WICHE Public Grads-RE PROJ'!O44</f>
        <v>0.67639849532823682</v>
      </c>
      <c r="HM41" s="267">
        <f>+'WICHE Public Grads-RE PROJ'!JC44/'WICHE Public Grads-RE PROJ'!P44</f>
        <v>0.67422348738733762</v>
      </c>
      <c r="HN41" s="267">
        <f>+'WICHE Public Grads-RE PROJ'!JD44/'WICHE Public Grads-RE PROJ'!Q44</f>
        <v>0.65698049454768848</v>
      </c>
      <c r="HO41" s="267">
        <f>+'WICHE Public Grads-RE PROJ'!JE44/'WICHE Public Grads-RE PROJ'!R44</f>
        <v>0.64448029124704942</v>
      </c>
      <c r="HP41" s="267">
        <f>+'WICHE Public Grads-RE PROJ'!JF44/'WICHE Public Grads-RE PROJ'!S44</f>
        <v>0.62845750740487583</v>
      </c>
      <c r="HQ41" s="267">
        <f>+'WICHE Public Grads-RE PROJ'!JG44/'WICHE Public Grads-RE PROJ'!T44</f>
        <v>0.60090624662854675</v>
      </c>
      <c r="HR41" s="267">
        <f>+'WICHE Public Grads-RE PROJ'!JH44/'WICHE Public Grads-RE PROJ'!U44</f>
        <v>0.61119551367049962</v>
      </c>
      <c r="HS41" s="267">
        <f>+'WICHE Public Grads-RE PROJ'!JI44/'WICHE Public Grads-RE PROJ'!V44</f>
        <v>0.59300712366566943</v>
      </c>
      <c r="HT41" s="267">
        <f>+'WICHE Public Grads-RE PROJ'!JJ44/'WICHE Public Grads-RE PROJ'!W44</f>
        <v>0.59540827835188848</v>
      </c>
      <c r="HU41" s="268">
        <f>+'WICHE Public Grads-RE PROJ'!JK44/'WICHE Public Grads-RE PROJ'!Y44</f>
        <v>0.58572389699790783</v>
      </c>
      <c r="HV41" s="268">
        <f>+'WICHE Public Grads-RE PROJ'!JL44/'WICHE Public Grads-RE PROJ'!Z44</f>
        <v>0.57334404274458306</v>
      </c>
      <c r="HW41" s="268">
        <f>+'WICHE Public Grads-RE PROJ'!JM44/'WICHE Public Grads-RE PROJ'!AA44</f>
        <v>0.57909373730236491</v>
      </c>
      <c r="HX41" s="268">
        <f>+'WICHE Public Grads-RE PROJ'!JN44/'WICHE Public Grads-RE PROJ'!AB44</f>
        <v>0.57826650438570304</v>
      </c>
      <c r="HY41" s="266">
        <f>+'WICHE Public Grads-RE PROJ'!JO44/'WICHE Public Grads-RE PROJ'!AC44</f>
        <v>0.56831846228820238</v>
      </c>
      <c r="HZ41" s="266">
        <f>+'WICHE Public Grads-RE PROJ'!JP44/'WICHE Public Grads-RE PROJ'!AD44</f>
        <v>0.5664954215219774</v>
      </c>
      <c r="IA41" s="266">
        <f>+'WICHE Public Grads-RE PROJ'!JQ44/'WICHE Public Grads-RE PROJ'!AE44</f>
        <v>0.56536387199124449</v>
      </c>
      <c r="IB41" s="266">
        <f>+'WICHE Public Grads-RE PROJ'!JR44/'WICHE Public Grads-RE PROJ'!AF44</f>
        <v>0.56368678176407949</v>
      </c>
      <c r="IC41" s="266">
        <f>+'WICHE Public Grads-RE PROJ'!JS44/'WICHE Public Grads-RE PROJ'!AG44</f>
        <v>0.56216837897452265</v>
      </c>
      <c r="ID41" s="268">
        <f>+'WICHE Public Grads-RE PROJ'!JT44/'WICHE Public Grads-RE PROJ'!AH44</f>
        <v>0.55909961635233807</v>
      </c>
      <c r="IE41" s="266">
        <f>+'WICHE Public Grads-RE PROJ'!JU44/'WICHE Public Grads-RE PROJ'!AI44</f>
        <v>0.55532485377446239</v>
      </c>
      <c r="IF41" s="266">
        <f>+'WICHE Public Grads-RE PROJ'!JV44/'WICHE Public Grads-RE PROJ'!AJ44</f>
        <v>0.55213090583701185</v>
      </c>
      <c r="IG41" s="266">
        <f>+'WICHE Public Grads-RE PROJ'!JW44/'WICHE Public Grads-RE PROJ'!AK44</f>
        <v>0.54994072230801438</v>
      </c>
      <c r="IH41" s="266">
        <f>+'WICHE Public Grads-RE PROJ'!JX44/'WICHE Public Grads-RE PROJ'!AL44</f>
        <v>0.55566210077219569</v>
      </c>
      <c r="II41" s="266">
        <f>+'WICHE Public Grads-RE PROJ'!JY44/'WICHE Public Grads-RE PROJ'!AM44</f>
        <v>0.56681758371939539</v>
      </c>
      <c r="IJ41" s="266">
        <f>+'WICHE Public Grads-RE PROJ'!JZ44/'WICHE Public Grads-RE PROJ'!AN44</f>
        <v>0.5709049269144274</v>
      </c>
      <c r="IK41" s="266">
        <f>+'WICHE Public Grads-RE PROJ'!KA44/'WICHE Public Grads-RE PROJ'!AO44</f>
        <v>0.56672935448124873</v>
      </c>
      <c r="IL41" s="266">
        <f>+'WICHE Public Grads-RE PROJ'!KB44/'WICHE Public Grads-RE PROJ'!AP44</f>
        <v>0.57236603832645871</v>
      </c>
      <c r="IM41" s="282">
        <f>+'WICHE Public Grads-RE PROJ'!KC44/'WICHE Public Grads-RE PROJ'!AQ44</f>
        <v>0.56895804405405059</v>
      </c>
      <c r="IN41" s="278">
        <f t="shared" ref="IN41:IN53" si="82">+B41+DU41+FJ41+GY41</f>
        <v>1</v>
      </c>
      <c r="IO41" s="278">
        <f t="shared" ref="IO41:IO53" si="83">+C41+DV41+FK41+GZ41</f>
        <v>1</v>
      </c>
      <c r="IP41" s="278">
        <f t="shared" ref="IP41:IP53" si="84">+D41+DW41+FL41+HA41</f>
        <v>1</v>
      </c>
      <c r="IQ41" s="278">
        <f t="shared" ref="IQ41:IQ53" si="85">+E41+DX41+FM41+HB41</f>
        <v>1</v>
      </c>
      <c r="IR41" s="278">
        <f t="shared" ref="IR41:IR53" si="86">+F41+DY41+FN41+HC41</f>
        <v>1</v>
      </c>
      <c r="IS41" s="278">
        <f t="shared" ref="IS41:IS53" si="87">+G41+DZ41+FO41+HD41</f>
        <v>1</v>
      </c>
      <c r="IT41" s="278">
        <f t="shared" ref="IT41:IT53" si="88">+H41+EA41+FP41+HE41</f>
        <v>1</v>
      </c>
      <c r="IU41" s="278">
        <f t="shared" ref="IU41:IU53" si="89">+I41+EB41+FQ41+HF41</f>
        <v>1</v>
      </c>
      <c r="IV41" s="278">
        <f t="shared" ref="IV41:IV53" si="90">+J41+EC41+FR41+HG41</f>
        <v>1</v>
      </c>
      <c r="IW41" s="278">
        <f t="shared" ref="IW41:IW53" si="91">+K41+ED41+FS41+HH41</f>
        <v>1</v>
      </c>
      <c r="IX41" s="278">
        <f t="shared" ref="IX41:IX53" si="92">+L41+EE41+FT41+HI41</f>
        <v>1</v>
      </c>
      <c r="IY41" s="278">
        <f t="shared" ref="IY41:IY53" si="93">+M41+EF41+FU41+HJ41</f>
        <v>1</v>
      </c>
      <c r="IZ41" s="278">
        <f t="shared" ref="IZ41:IZ53" si="94">+N41+EG41+FV41+HK41</f>
        <v>1</v>
      </c>
      <c r="JA41" s="278">
        <f t="shared" ref="JA41:JA53" si="95">+O41+EH41+FW41+HL41</f>
        <v>0.99653763701816112</v>
      </c>
      <c r="JB41" s="278">
        <f t="shared" ref="JB41:JB53" si="96">+P41+EI41+FX41+HM41</f>
        <v>1</v>
      </c>
      <c r="JC41" s="278">
        <f t="shared" ref="JC41:JC53" si="97">+Q41+EJ41+FY41+HN41</f>
        <v>0.99202119490093676</v>
      </c>
      <c r="JD41" s="278">
        <f t="shared" ref="JD41:JD53" si="98">+R41+EK41+FZ41+HO41</f>
        <v>0.98824208431069316</v>
      </c>
      <c r="JE41" s="278">
        <f t="shared" ref="JE41:JE53" si="99">+S41+EL41+GA41+HP41</f>
        <v>0.98803068276752493</v>
      </c>
      <c r="JF41" s="278">
        <f t="shared" ref="JF41:JF53" si="100">+T41+EM41+GB41+HQ41</f>
        <v>0.98419103103535077</v>
      </c>
      <c r="JG41" s="278">
        <f t="shared" ref="JG41:JG53" si="101">+U41+EN41+GC41+HR41</f>
        <v>1</v>
      </c>
      <c r="JH41" s="278">
        <f t="shared" ref="JH41:JH53" si="102">+V41+EO41+GD41+HS41</f>
        <v>1</v>
      </c>
      <c r="JI41" s="278">
        <f t="shared" ref="JI41:JI53" si="103">+W41+EP41+GE41+HT41</f>
        <v>1</v>
      </c>
      <c r="JJ41" s="278">
        <f t="shared" ref="JJ41:JJ53" si="104">+X41+EQ41+GF41+HU41</f>
        <v>0.99920055837483879</v>
      </c>
      <c r="JK41" s="278">
        <f t="shared" ref="JK41:JK53" si="105">+Y41+ER41+GG41+HV41</f>
        <v>1.0019842824566676</v>
      </c>
      <c r="JL41" s="278">
        <f t="shared" ref="JL41:JL53" si="106">+Z41+ES41+GH41+HW41</f>
        <v>1.0073175479188301</v>
      </c>
      <c r="JM41" s="278">
        <f t="shared" ref="JM41:JM53" si="107">+AA41+ET41+GI41+HX41</f>
        <v>1.0106875524811336</v>
      </c>
      <c r="JN41" s="278">
        <f t="shared" ref="JN41:JN53" si="108">+AB41+EU41+GJ41+HY41</f>
        <v>1.0124963087948022</v>
      </c>
      <c r="JO41" s="278">
        <f t="shared" ref="JO41:JO53" si="109">+AC41+EV41+GK41+HZ41</f>
        <v>1.0159614516907387</v>
      </c>
      <c r="JP41" s="278">
        <f t="shared" ref="JP41:JP53" si="110">+AD41+EW41+GL41+IA41</f>
        <v>1.0207811382314451</v>
      </c>
      <c r="JQ41" s="278">
        <f t="shared" ref="JQ41:JQ53" si="111">+AE41+EX41+GM41+IB41</f>
        <v>1.0263494597916858</v>
      </c>
      <c r="JR41" s="278">
        <f t="shared" ref="JR41:JR53" si="112">+AF41+EY41+GN41+IC41</f>
        <v>1.0313133415563374</v>
      </c>
      <c r="JS41" s="278">
        <f t="shared" ref="JS41:JS53" si="113">+AG41+EZ41+GO41+ID41</f>
        <v>1.0365732812958202</v>
      </c>
      <c r="JT41" s="278">
        <f t="shared" ref="JT41:JT53" si="114">+AH41+FA41+GP41+IE41</f>
        <v>1.0404883831220764</v>
      </c>
      <c r="JU41" s="278">
        <f t="shared" ref="JU41:JU53" si="115">+AI41+FB41+GQ41+IF41</f>
        <v>1.0459604387728987</v>
      </c>
      <c r="JV41" s="278">
        <f t="shared" ref="JV41:JV53" si="116">+AJ41+FC41+GR41+IG41</f>
        <v>1.0394294480888231</v>
      </c>
      <c r="JW41" s="278">
        <f t="shared" ref="JW41:JW53" si="117">+AK41+FD41+GS41+IH41</f>
        <v>1.0388213401248323</v>
      </c>
      <c r="JX41" s="278">
        <f t="shared" ref="JX41:JX53" si="118">+AL41+FE41+GT41+II41</f>
        <v>1.0398677613010952</v>
      </c>
      <c r="JY41" s="278">
        <f t="shared" ref="JY41:KB53" si="119">+AM41+FF41+GU41+IJ41</f>
        <v>1.0368713406631949</v>
      </c>
      <c r="JZ41" s="278">
        <f t="shared" si="119"/>
        <v>1.0358753209345233</v>
      </c>
      <c r="KA41" s="278">
        <f t="shared" si="119"/>
        <v>1.0342049368057085</v>
      </c>
      <c r="KB41" s="278">
        <f t="shared" si="119"/>
        <v>1.0323668335394518</v>
      </c>
    </row>
    <row r="42" spans="1:288" s="17" customFormat="1">
      <c r="A42" s="175" t="s">
        <v>66</v>
      </c>
      <c r="B42" s="262">
        <f>+'WICHE Public Grads-RE PROJ'!AR45/'WICHE Public Grads-RE PROJ'!B45</f>
        <v>1.031255518276532E-2</v>
      </c>
      <c r="C42" s="262">
        <f>+'WICHE Public Grads-RE PROJ'!AS45/'WICHE Public Grads-RE PROJ'!C45</f>
        <v>7.4058474606015934E-3</v>
      </c>
      <c r="D42" s="262">
        <f>+'WICHE Public Grads-RE PROJ'!AT45/'WICHE Public Grads-RE PROJ'!D45</f>
        <v>8.1976212259835309E-3</v>
      </c>
      <c r="E42" s="262">
        <f>+'WICHE Public Grads-RE PROJ'!AU45/'WICHE Public Grads-RE PROJ'!E45</f>
        <v>8.187948196510756E-3</v>
      </c>
      <c r="F42" s="262">
        <f>+'WICHE Public Grads-RE PROJ'!AV45/'WICHE Public Grads-RE PROJ'!F45</f>
        <v>1.1752174684892596E-2</v>
      </c>
      <c r="G42" s="262">
        <f>+'WICHE Public Grads-RE PROJ'!AW45/'WICHE Public Grads-RE PROJ'!G45</f>
        <v>1.0511111497833389E-2</v>
      </c>
      <c r="H42" s="267">
        <f>+'WICHE Public Grads-RE PROJ'!AX45/'WICHE Public Grads-RE PROJ'!H45</f>
        <v>1.1264929424538545E-2</v>
      </c>
      <c r="I42" s="267">
        <f>+'WICHE Public Grads-RE PROJ'!AY45/'WICHE Public Grads-RE PROJ'!I45</f>
        <v>1.2772517066725391E-2</v>
      </c>
      <c r="J42" s="267">
        <f>+'WICHE Public Grads-RE PROJ'!AZ45/'WICHE Public Grads-RE PROJ'!J45</f>
        <v>1.2172875885778433E-2</v>
      </c>
      <c r="K42" s="267">
        <f>+'WICHE Public Grads-RE PROJ'!BA45/'WICHE Public Grads-RE PROJ'!K45</f>
        <v>1.2746564124474828E-2</v>
      </c>
      <c r="L42" s="262">
        <f>+'WICHE Public Grads-RE PROJ'!BB45/'WICHE Public Grads-RE PROJ'!L45</f>
        <v>1.406861535206798E-2</v>
      </c>
      <c r="M42" s="267">
        <f>+'WICHE Public Grads-RE PROJ'!BC45/'WICHE Public Grads-RE PROJ'!M45</f>
        <v>1.4404891445152598E-2</v>
      </c>
      <c r="N42" s="267">
        <f>+'WICHE Public Grads-RE PROJ'!BD45/'WICHE Public Grads-RE PROJ'!N45</f>
        <v>1.4569347236109127E-2</v>
      </c>
      <c r="O42" s="267">
        <f>+'WICHE Public Grads-RE PROJ'!BE45/'WICHE Public Grads-RE PROJ'!O45</f>
        <v>1.5114349614024962E-2</v>
      </c>
      <c r="P42" s="267">
        <f>+'WICHE Public Grads-RE PROJ'!BF45/'WICHE Public Grads-RE PROJ'!P45</f>
        <v>1.6263812154696133E-2</v>
      </c>
      <c r="Q42" s="267">
        <f>+'WICHE Public Grads-RE PROJ'!BG45/'WICHE Public Grads-RE PROJ'!Q45</f>
        <v>1.5763020355001919E-2</v>
      </c>
      <c r="R42" s="267">
        <f>+'WICHE Public Grads-RE PROJ'!BH45/'WICHE Public Grads-RE PROJ'!R45</f>
        <v>1.5912505452254408E-2</v>
      </c>
      <c r="S42" s="267">
        <f>+'WICHE Public Grads-RE PROJ'!BI45/'WICHE Public Grads-RE PROJ'!S45</f>
        <v>1.5299310431490819E-2</v>
      </c>
      <c r="T42" s="267">
        <f>+'WICHE Public Grads-RE PROJ'!BJ45/'WICHE Public Grads-RE PROJ'!T45</f>
        <v>1.6761940171337392E-2</v>
      </c>
      <c r="U42" s="267">
        <f>+'WICHE Public Grads-RE PROJ'!BK45/'WICHE Public Grads-RE PROJ'!U45</f>
        <v>1.8062256377336546E-2</v>
      </c>
      <c r="V42" s="267">
        <f>+'WICHE Public Grads-RE PROJ'!BL45/'WICHE Public Grads-RE PROJ'!V45</f>
        <v>2.0789257922910056E-2</v>
      </c>
      <c r="W42" s="267">
        <f>+'WICHE Public Grads-RE PROJ'!BM45/'WICHE Public Grads-RE PROJ'!W45</f>
        <v>2.219846983888597E-2</v>
      </c>
      <c r="X42" s="268">
        <f>+'WICHE Public Grads-RE PROJ'!BN45/'WICHE Public Grads-RE PROJ'!Y45</f>
        <v>2.2538406911438869E-2</v>
      </c>
      <c r="Y42" s="268">
        <f>+'WICHE Public Grads-RE PROJ'!BO45/'WICHE Public Grads-RE PROJ'!Z45</f>
        <v>2.3477491719642092E-2</v>
      </c>
      <c r="Z42" s="268">
        <f>+'WICHE Public Grads-RE PROJ'!BP45/'WICHE Public Grads-RE PROJ'!AA45</f>
        <v>2.5062264551899027E-2</v>
      </c>
      <c r="AA42" s="268">
        <f>+'WICHE Public Grads-RE PROJ'!BQ45/'WICHE Public Grads-RE PROJ'!AB45</f>
        <v>2.7199006215578334E-2</v>
      </c>
      <c r="AB42" s="266">
        <f>+'WICHE Public Grads-RE PROJ'!BR45/'WICHE Public Grads-RE PROJ'!AC45</f>
        <v>2.9089696800676666E-2</v>
      </c>
      <c r="AC42" s="266">
        <f>+'WICHE Public Grads-RE PROJ'!BS45/'WICHE Public Grads-RE PROJ'!AD45</f>
        <v>2.923987703906861E-2</v>
      </c>
      <c r="AD42" s="266">
        <f>+'WICHE Public Grads-RE PROJ'!BT45/'WICHE Public Grads-RE PROJ'!AE45</f>
        <v>3.2032232984855129E-2</v>
      </c>
      <c r="AE42" s="266">
        <f>+'WICHE Public Grads-RE PROJ'!BU45/'WICHE Public Grads-RE PROJ'!AF45</f>
        <v>3.4491693341106765E-2</v>
      </c>
      <c r="AF42" s="266">
        <f>+'WICHE Public Grads-RE PROJ'!BV45/'WICHE Public Grads-RE PROJ'!AG45</f>
        <v>3.6041893397140624E-2</v>
      </c>
      <c r="AG42" s="268">
        <f>+'WICHE Public Grads-RE PROJ'!BW45/'WICHE Public Grads-RE PROJ'!AH45</f>
        <v>3.4341835763788291E-2</v>
      </c>
      <c r="AH42" s="266">
        <f>+'WICHE Public Grads-RE PROJ'!BX45/'WICHE Public Grads-RE PROJ'!AI45</f>
        <v>3.8591078012176289E-2</v>
      </c>
      <c r="AI42" s="266">
        <f>+'WICHE Public Grads-RE PROJ'!BY45/'WICHE Public Grads-RE PROJ'!AJ45</f>
        <v>3.7433355782758838E-2</v>
      </c>
      <c r="AJ42" s="266">
        <f>+'WICHE Public Grads-RE PROJ'!BZ45/'WICHE Public Grads-RE PROJ'!AK45</f>
        <v>4.1269009166312057E-2</v>
      </c>
      <c r="AK42" s="266">
        <f>+'WICHE Public Grads-RE PROJ'!CA45/'WICHE Public Grads-RE PROJ'!AL45</f>
        <v>4.5737145064762744E-2</v>
      </c>
      <c r="AL42" s="266">
        <f>+'WICHE Public Grads-RE PROJ'!CB45/'WICHE Public Grads-RE PROJ'!AM45</f>
        <v>4.5931358058534481E-2</v>
      </c>
      <c r="AM42" s="266">
        <f>+'WICHE Public Grads-RE PROJ'!CC45/'WICHE Public Grads-RE PROJ'!AN45</f>
        <v>4.7628265377941882E-2</v>
      </c>
      <c r="AN42" s="266">
        <f>+'WICHE Public Grads-RE PROJ'!CD45/'WICHE Public Grads-RE PROJ'!AO45</f>
        <v>5.2627566805119208E-2</v>
      </c>
      <c r="AO42" s="266">
        <f>+'WICHE Public Grads-RE PROJ'!CE45/'WICHE Public Grads-RE PROJ'!AP45</f>
        <v>5.5741372918607909E-2</v>
      </c>
      <c r="AP42" s="282">
        <f>+'WICHE Public Grads-RE PROJ'!CF45/'WICHE Public Grads-RE PROJ'!AQ45</f>
        <v>5.49297723541615E-2</v>
      </c>
      <c r="AQ42" s="262">
        <f>+'WICHE Public Grads-RE PROJ'!CG45/'WICHE Public Grads-RE PROJ'!B45</f>
        <v>1.3067278827476603E-3</v>
      </c>
      <c r="AR42" s="262">
        <f>+'WICHE Public Grads-RE PROJ'!CH45/'WICHE Public Grads-RE PROJ'!C45</f>
        <v>4.0363623600435226E-4</v>
      </c>
      <c r="AS42" s="262">
        <f>+'WICHE Public Grads-RE PROJ'!CI45/'WICHE Public Grads-RE PROJ'!D45</f>
        <v>9.515096065873742E-4</v>
      </c>
      <c r="AT42" s="262">
        <f>+'WICHE Public Grads-RE PROJ'!CJ45/'WICHE Public Grads-RE PROJ'!E45</f>
        <v>6.7786934960219777E-4</v>
      </c>
      <c r="AU42" s="262">
        <f>+'WICHE Public Grads-RE PROJ'!CK45/'WICHE Public Grads-RE PROJ'!F45</f>
        <v>1.793005503284218E-3</v>
      </c>
      <c r="AV42" s="262">
        <f>+'WICHE Public Grads-RE PROJ'!CL45/'WICHE Public Grads-RE PROJ'!G45</f>
        <v>1.5662252231870943E-3</v>
      </c>
      <c r="AW42" s="267">
        <f>+'WICHE Public Grads-RE PROJ'!CM45/'WICHE Public Grads-RE PROJ'!H45</f>
        <v>1.6795602605863193E-3</v>
      </c>
      <c r="AX42" s="267">
        <f>+'WICHE Public Grads-RE PROJ'!CN45/'WICHE Public Grads-RE PROJ'!I45</f>
        <v>1.3382345467789203E-3</v>
      </c>
      <c r="AY42" s="267">
        <f>+'WICHE Public Grads-RE PROJ'!CO45/'WICHE Public Grads-RE PROJ'!J45</f>
        <v>1.1927313548024978E-3</v>
      </c>
      <c r="AZ42" s="267">
        <f>+'WICHE Public Grads-RE PROJ'!CP45/'WICHE Public Grads-RE PROJ'!K45</f>
        <v>1.6912340667948444E-3</v>
      </c>
      <c r="BA42" s="262">
        <f>+'WICHE Public Grads-RE PROJ'!CQ45/'WICHE Public Grads-RE PROJ'!L45</f>
        <v>2.485807975741335E-3</v>
      </c>
      <c r="BB42" s="267">
        <f>+'WICHE Public Grads-RE PROJ'!CR45/'WICHE Public Grads-RE PROJ'!M45</f>
        <v>1.8999257301760021E-3</v>
      </c>
      <c r="BC42" s="267">
        <f>+'WICHE Public Grads-RE PROJ'!CS45/'WICHE Public Grads-RE PROJ'!N45</f>
        <v>2.1425510641336952E-3</v>
      </c>
      <c r="BD42" s="267">
        <f>+'WICHE Public Grads-RE PROJ'!CT45/'WICHE Public Grads-RE PROJ'!O45</f>
        <v>2.1463097900584374E-3</v>
      </c>
      <c r="BE42" s="267">
        <f>+'WICHE Public Grads-RE PROJ'!CU45/'WICHE Public Grads-RE PROJ'!P45</f>
        <v>2.3825966850828731E-3</v>
      </c>
      <c r="BF42" s="267">
        <f>+'WICHE Public Grads-RE PROJ'!CV45/'WICHE Public Grads-RE PROJ'!Q45</f>
        <v>2.053868118289445E-3</v>
      </c>
      <c r="BG42" s="267">
        <f>+'WICHE Public Grads-RE PROJ'!CW45/'WICHE Public Grads-RE PROJ'!R45</f>
        <v>2.2778307297135749E-3</v>
      </c>
      <c r="BH42" s="267">
        <f>+'WICHE Public Grads-RE PROJ'!CX45/'WICHE Public Grads-RE PROJ'!S45</f>
        <v>2.199079528140364E-3</v>
      </c>
      <c r="BI42" s="267">
        <f>+'WICHE Public Grads-RE PROJ'!CY45/'WICHE Public Grads-RE PROJ'!T45</f>
        <v>2.8194760731824449E-3</v>
      </c>
      <c r="BJ42" s="267">
        <f>+'WICHE Public Grads-RE PROJ'!CZ45/'WICHE Public Grads-RE PROJ'!U45</f>
        <v>2.9206533835062698E-3</v>
      </c>
      <c r="BK42" s="267">
        <f>+'WICHE Public Grads-RE PROJ'!DA45/'WICHE Public Grads-RE PROJ'!V45</f>
        <v>2.9253433137310181E-3</v>
      </c>
      <c r="BL42" s="267">
        <f>+'WICHE Public Grads-RE PROJ'!DB45/'WICHE Public Grads-RE PROJ'!W45</f>
        <v>3.454468675607458E-3</v>
      </c>
      <c r="BM42" s="268">
        <f>+'WICHE Public Grads-RE PROJ'!DC45/'WICHE Public Grads-RE PROJ'!Y45</f>
        <v>3.0353030740173591E-3</v>
      </c>
      <c r="BN42" s="268">
        <f>+'WICHE Public Grads-RE PROJ'!DD45/'WICHE Public Grads-RE PROJ'!Z45</f>
        <v>2.9843582496751325E-3</v>
      </c>
      <c r="BO42" s="268">
        <f>+'WICHE Public Grads-RE PROJ'!DE45/'WICHE Public Grads-RE PROJ'!AA45</f>
        <v>3.007034454129481E-3</v>
      </c>
      <c r="BP42" s="268">
        <f>+'WICHE Public Grads-RE PROJ'!DF45/'WICHE Public Grads-RE PROJ'!AB45</f>
        <v>2.7745566006686299E-3</v>
      </c>
      <c r="BQ42" s="266">
        <f>+'WICHE Public Grads-RE PROJ'!DG45/'WICHE Public Grads-RE PROJ'!AC45</f>
        <v>3.0212903174363904E-3</v>
      </c>
      <c r="BR42" s="266">
        <f>+'WICHE Public Grads-RE PROJ'!DH45/'WICHE Public Grads-RE PROJ'!AD45</f>
        <v>2.7622983451887689E-3</v>
      </c>
      <c r="BS42" s="266">
        <f>+'WICHE Public Grads-RE PROJ'!DI45/'WICHE Public Grads-RE PROJ'!AE45</f>
        <v>2.469195389523397E-3</v>
      </c>
      <c r="BT42" s="266">
        <f>+'WICHE Public Grads-RE PROJ'!DJ45/'WICHE Public Grads-RE PROJ'!AF45</f>
        <v>2.5134078813187346E-3</v>
      </c>
      <c r="BU42" s="266">
        <f>+'WICHE Public Grads-RE PROJ'!DK45/'WICHE Public Grads-RE PROJ'!AG45</f>
        <v>2.1982281092663225E-3</v>
      </c>
      <c r="BV42" s="268">
        <f>+'WICHE Public Grads-RE PROJ'!DL45/'WICHE Public Grads-RE PROJ'!AH45</f>
        <v>2.5824033802133379E-3</v>
      </c>
      <c r="BW42" s="266">
        <f>+'WICHE Public Grads-RE PROJ'!DM45/'WICHE Public Grads-RE PROJ'!AI45</f>
        <v>2.1854966737306207E-3</v>
      </c>
      <c r="BX42" s="266">
        <f>+'WICHE Public Grads-RE PROJ'!DN45/'WICHE Public Grads-RE PROJ'!AJ45</f>
        <v>1.8479142689020451E-3</v>
      </c>
      <c r="BY42" s="266">
        <f>+'WICHE Public Grads-RE PROJ'!DO45/'WICHE Public Grads-RE PROJ'!AK45</f>
        <v>1.9704578353094819E-3</v>
      </c>
      <c r="BZ42" s="266">
        <f>+'WICHE Public Grads-RE PROJ'!DP45/'WICHE Public Grads-RE PROJ'!AL45</f>
        <v>1.9572999377583515E-3</v>
      </c>
      <c r="CA42" s="266">
        <f>+'WICHE Public Grads-RE PROJ'!DQ45/'WICHE Public Grads-RE PROJ'!AM45</f>
        <v>2.0474690780948853E-3</v>
      </c>
      <c r="CB42" s="266">
        <f>+'WICHE Public Grads-RE PROJ'!DR45/'WICHE Public Grads-RE PROJ'!AN45</f>
        <v>2.2942231534806047E-3</v>
      </c>
      <c r="CC42" s="266">
        <f>+'WICHE Public Grads-RE PROJ'!DS45/'WICHE Public Grads-RE PROJ'!AO45</f>
        <v>2.224351339349024E-3</v>
      </c>
      <c r="CD42" s="266">
        <f>+'WICHE Public Grads-RE PROJ'!DT45/'WICHE Public Grads-RE PROJ'!AP45</f>
        <v>1.8915246065970184E-3</v>
      </c>
      <c r="CE42" s="282">
        <f>+'WICHE Public Grads-RE PROJ'!DU45/'WICHE Public Grads-RE PROJ'!AQ45</f>
        <v>1.9398164890367098E-3</v>
      </c>
      <c r="CF42" s="262">
        <f>+'WICHE Public Grads-RE PROJ'!DV45/'WICHE Public Grads-RE PROJ'!B45</f>
        <v>9.0058273000176593E-3</v>
      </c>
      <c r="CG42" s="262">
        <f>+'WICHE Public Grads-RE PROJ'!DW45/'WICHE Public Grads-RE PROJ'!C45</f>
        <v>7.0022112245972414E-3</v>
      </c>
      <c r="CH42" s="262">
        <f>+'WICHE Public Grads-RE PROJ'!DX45/'WICHE Public Grads-RE PROJ'!D45</f>
        <v>7.2461116193961572E-3</v>
      </c>
      <c r="CI42" s="262">
        <f>+'WICHE Public Grads-RE PROJ'!DY45/'WICHE Public Grads-RE PROJ'!E45</f>
        <v>7.5100788469085588E-3</v>
      </c>
      <c r="CJ42" s="262">
        <f>+'WICHE Public Grads-RE PROJ'!DZ45/'WICHE Public Grads-RE PROJ'!F45</f>
        <v>9.9591691816083797E-3</v>
      </c>
      <c r="CK42" s="262">
        <f>+'WICHE Public Grads-RE PROJ'!EA45/'WICHE Public Grads-RE PROJ'!G45</f>
        <v>8.9448862746462944E-3</v>
      </c>
      <c r="CL42" s="267">
        <f>+'WICHE Public Grads-RE PROJ'!EB45/'WICHE Public Grads-RE PROJ'!H45</f>
        <v>9.5853691639522266E-3</v>
      </c>
      <c r="CM42" s="267">
        <f>+'WICHE Public Grads-RE PROJ'!EC45/'WICHE Public Grads-RE PROJ'!I45</f>
        <v>1.143428251994647E-2</v>
      </c>
      <c r="CN42" s="267">
        <f>+'WICHE Public Grads-RE PROJ'!ED45/'WICHE Public Grads-RE PROJ'!J45</f>
        <v>1.0980144530975934E-2</v>
      </c>
      <c r="CO42" s="267">
        <f>+'WICHE Public Grads-RE PROJ'!EE45/'WICHE Public Grads-RE PROJ'!K45</f>
        <v>1.1055330057679983E-2</v>
      </c>
      <c r="CP42" s="262">
        <f>+'WICHE Public Grads-RE PROJ'!EF45/'WICHE Public Grads-RE PROJ'!L45</f>
        <v>1.1582807376326646E-2</v>
      </c>
      <c r="CQ42" s="267">
        <f>+'WICHE Public Grads-RE PROJ'!EG45/'WICHE Public Grads-RE PROJ'!M45</f>
        <v>1.2504965714976597E-2</v>
      </c>
      <c r="CR42" s="267">
        <f>+'WICHE Public Grads-RE PROJ'!EH45/'WICHE Public Grads-RE PROJ'!N45</f>
        <v>1.2426796171975433E-2</v>
      </c>
      <c r="CS42" s="267">
        <f>+'WICHE Public Grads-RE PROJ'!EI45/'WICHE Public Grads-RE PROJ'!O45</f>
        <v>1.2968039823966524E-2</v>
      </c>
      <c r="CT42" s="267">
        <f>+'WICHE Public Grads-RE PROJ'!EJ45/'WICHE Public Grads-RE PROJ'!P45</f>
        <v>1.388121546961326E-2</v>
      </c>
      <c r="CU42" s="267">
        <f>+'WICHE Public Grads-RE PROJ'!EK45/'WICHE Public Grads-RE PROJ'!Q45</f>
        <v>1.3709152236712475E-2</v>
      </c>
      <c r="CV42" s="267">
        <f>+'WICHE Public Grads-RE PROJ'!EL45/'WICHE Public Grads-RE PROJ'!R45</f>
        <v>1.3634674722540832E-2</v>
      </c>
      <c r="CW42" s="267">
        <f>+'WICHE Public Grads-RE PROJ'!EM45/'WICHE Public Grads-RE PROJ'!S45</f>
        <v>1.3100230903350454E-2</v>
      </c>
      <c r="CX42" s="267">
        <f>+'WICHE Public Grads-RE PROJ'!EN45/'WICHE Public Grads-RE PROJ'!T45</f>
        <v>1.3942464098154948E-2</v>
      </c>
      <c r="CY42" s="267">
        <f>+'WICHE Public Grads-RE PROJ'!EO45/'WICHE Public Grads-RE PROJ'!U45</f>
        <v>1.5141602993830279E-2</v>
      </c>
      <c r="CZ42" s="267">
        <f>+'WICHE Public Grads-RE PROJ'!EP45/'WICHE Public Grads-RE PROJ'!V45</f>
        <v>1.7863914609179039E-2</v>
      </c>
      <c r="DA42" s="267">
        <f>+'WICHE Public Grads-RE PROJ'!EQ45/'WICHE Public Grads-RE PROJ'!W45</f>
        <v>1.8744001163278515E-2</v>
      </c>
      <c r="DB42" s="268">
        <f>+'WICHE Public Grads-RE PROJ'!ER45/'WICHE Public Grads-RE PROJ'!Y45</f>
        <v>1.9503103837421508E-2</v>
      </c>
      <c r="DC42" s="268">
        <f>+'WICHE Public Grads-RE PROJ'!ES45/'WICHE Public Grads-RE PROJ'!Z45</f>
        <v>2.0493133469966958E-2</v>
      </c>
      <c r="DD42" s="268">
        <f>+'WICHE Public Grads-RE PROJ'!ET45/'WICHE Public Grads-RE PROJ'!AA45</f>
        <v>2.2055230097769545E-2</v>
      </c>
      <c r="DE42" s="268">
        <f>+'WICHE Public Grads-RE PROJ'!EU45/'WICHE Public Grads-RE PROJ'!AB45</f>
        <v>2.4424449614909704E-2</v>
      </c>
      <c r="DF42" s="266">
        <f>+'WICHE Public Grads-RE PROJ'!EV45/'WICHE Public Grads-RE PROJ'!AC45</f>
        <v>2.6068406483240276E-2</v>
      </c>
      <c r="DG42" s="266">
        <f>+'WICHE Public Grads-RE PROJ'!EW45/'WICHE Public Grads-RE PROJ'!AD45</f>
        <v>2.6477578693879841E-2</v>
      </c>
      <c r="DH42" s="266">
        <f>+'WICHE Public Grads-RE PROJ'!EX45/'WICHE Public Grads-RE PROJ'!AE45</f>
        <v>2.9563037595331732E-2</v>
      </c>
      <c r="DI42" s="266">
        <f>+'WICHE Public Grads-RE PROJ'!EY45/'WICHE Public Grads-RE PROJ'!AF45</f>
        <v>3.1978285459788036E-2</v>
      </c>
      <c r="DJ42" s="266">
        <f>+'WICHE Public Grads-RE PROJ'!EZ45/'WICHE Public Grads-RE PROJ'!AG45</f>
        <v>3.3843665287874303E-2</v>
      </c>
      <c r="DK42" s="268">
        <f>+'WICHE Public Grads-RE PROJ'!FA45/'WICHE Public Grads-RE PROJ'!AH45</f>
        <v>3.1759432383574947E-2</v>
      </c>
      <c r="DL42" s="266">
        <f>+'WICHE Public Grads-RE PROJ'!FB45/'WICHE Public Grads-RE PROJ'!AI45</f>
        <v>3.6405581338445674E-2</v>
      </c>
      <c r="DM42" s="266">
        <f>+'WICHE Public Grads-RE PROJ'!FC45/'WICHE Public Grads-RE PROJ'!AJ45</f>
        <v>3.5585441513856793E-2</v>
      </c>
      <c r="DN42" s="266">
        <f>+'WICHE Public Grads-RE PROJ'!FD45/'WICHE Public Grads-RE PROJ'!AK45</f>
        <v>3.9298551331002574E-2</v>
      </c>
      <c r="DO42" s="266">
        <f>+'WICHE Public Grads-RE PROJ'!FE45/'WICHE Public Grads-RE PROJ'!AL45</f>
        <v>4.3779845127004391E-2</v>
      </c>
      <c r="DP42" s="266">
        <f>+'WICHE Public Grads-RE PROJ'!FF45/'WICHE Public Grads-RE PROJ'!AM45</f>
        <v>4.3883888980439593E-2</v>
      </c>
      <c r="DQ42" s="266">
        <f>+'WICHE Public Grads-RE PROJ'!FG45/'WICHE Public Grads-RE PROJ'!AN45</f>
        <v>4.5334042224461281E-2</v>
      </c>
      <c r="DR42" s="266">
        <f>+'WICHE Public Grads-RE PROJ'!FH45/'WICHE Public Grads-RE PROJ'!AO45</f>
        <v>5.0403215465770181E-2</v>
      </c>
      <c r="DS42" s="266">
        <f>+'WICHE Public Grads-RE PROJ'!FI45/'WICHE Public Grads-RE PROJ'!AP45</f>
        <v>5.3849848312010888E-2</v>
      </c>
      <c r="DT42" s="282">
        <f>+'WICHE Public Grads-RE PROJ'!FJ45/'WICHE Public Grads-RE PROJ'!AQ45</f>
        <v>5.2989955865124783E-2</v>
      </c>
      <c r="DU42" s="262">
        <f>+'WICHE Public Grads-RE PROJ'!FK45/'WICHE Public Grads-RE PROJ'!B45</f>
        <v>8.6314674200953553E-2</v>
      </c>
      <c r="DV42" s="262">
        <f>+'WICHE Public Grads-RE PROJ'!FL45/'WICHE Public Grads-RE PROJ'!C45</f>
        <v>8.1832859499491067E-2</v>
      </c>
      <c r="DW42" s="262">
        <f>+'WICHE Public Grads-RE PROJ'!FM45/'WICHE Public Grads-RE PROJ'!D45</f>
        <v>7.5681610247026534E-2</v>
      </c>
      <c r="DX42" s="262">
        <f>+'WICHE Public Grads-RE PROJ'!FN45/'WICHE Public Grads-RE PROJ'!E45</f>
        <v>8.2004352634771127E-2</v>
      </c>
      <c r="DY42" s="262">
        <f>+'WICHE Public Grads-RE PROJ'!FO45/'WICHE Public Grads-RE PROJ'!F45</f>
        <v>7.8395171311911954E-2</v>
      </c>
      <c r="DZ42" s="262">
        <f>+'WICHE Public Grads-RE PROJ'!FP45/'WICHE Public Grads-RE PROJ'!G45</f>
        <v>8.4541357047143384E-2</v>
      </c>
      <c r="EA42" s="267">
        <f>+'WICHE Public Grads-RE PROJ'!FQ45/'WICHE Public Grads-RE PROJ'!H45</f>
        <v>8.4198561346362652E-2</v>
      </c>
      <c r="EB42" s="267">
        <f>+'WICHE Public Grads-RE PROJ'!FR45/'WICHE Public Grads-RE PROJ'!I45</f>
        <v>8.6527874239831964E-2</v>
      </c>
      <c r="EC42" s="267">
        <f>+'WICHE Public Grads-RE PROJ'!FS45/'WICHE Public Grads-RE PROJ'!J45</f>
        <v>7.5896302532800108E-2</v>
      </c>
      <c r="ED42" s="267">
        <f>+'WICHE Public Grads-RE PROJ'!FT45/'WICHE Public Grads-RE PROJ'!K45</f>
        <v>7.7583137506230859E-2</v>
      </c>
      <c r="EE42" s="262">
        <f>+'WICHE Public Grads-RE PROJ'!FU45/'WICHE Public Grads-RE PROJ'!L45</f>
        <v>8.1978773668065302E-2</v>
      </c>
      <c r="EF42" s="267">
        <f>+'WICHE Public Grads-RE PROJ'!FV45/'WICHE Public Grads-RE PROJ'!M45</f>
        <v>8.0643211219925043E-2</v>
      </c>
      <c r="EG42" s="267">
        <f>+'WICHE Public Grads-RE PROJ'!FW45/'WICHE Public Grads-RE PROJ'!N45</f>
        <v>7.7524639337237536E-2</v>
      </c>
      <c r="EH42" s="267">
        <f>+'WICHE Public Grads-RE PROJ'!FX45/'WICHE Public Grads-RE PROJ'!O45</f>
        <v>8.204674987374648E-2</v>
      </c>
      <c r="EI42" s="267">
        <f>+'WICHE Public Grads-RE PROJ'!FY45/'WICHE Public Grads-RE PROJ'!P45</f>
        <v>8.8743093922651936E-2</v>
      </c>
      <c r="EJ42" s="267">
        <f>+'WICHE Public Grads-RE PROJ'!FZ45/'WICHE Public Grads-RE PROJ'!Q45</f>
        <v>8.8149347938617728E-2</v>
      </c>
      <c r="EK42" s="267">
        <f>+'WICHE Public Grads-RE PROJ'!GA45/'WICHE Public Grads-RE PROJ'!R45</f>
        <v>8.9885462270399508E-2</v>
      </c>
      <c r="EL42" s="267">
        <f>+'WICHE Public Grads-RE PROJ'!GB45/'WICHE Public Grads-RE PROJ'!S45</f>
        <v>9.5345805255800067E-2</v>
      </c>
      <c r="EM42" s="267">
        <f>+'WICHE Public Grads-RE PROJ'!GC45/'WICHE Public Grads-RE PROJ'!T45</f>
        <v>0.10198137906461557</v>
      </c>
      <c r="EN42" s="267">
        <f>+'WICHE Public Grads-RE PROJ'!GD45/'WICHE Public Grads-RE PROJ'!U45</f>
        <v>0.10562732356174605</v>
      </c>
      <c r="EO42" s="267">
        <f>+'WICHE Public Grads-RE PROJ'!GE45/'WICHE Public Grads-RE PROJ'!V45</f>
        <v>0.10348885977543347</v>
      </c>
      <c r="EP42" s="267">
        <f>+'WICHE Public Grads-RE PROJ'!GF45/'WICHE Public Grads-RE PROJ'!W45</f>
        <v>0.10685522804836764</v>
      </c>
      <c r="EQ42" s="268">
        <f>+'WICHE Public Grads-RE PROJ'!GG45/'WICHE Public Grads-RE PROJ'!Y45</f>
        <v>0.10717306827737981</v>
      </c>
      <c r="ER42" s="268">
        <f>+'WICHE Public Grads-RE PROJ'!GH45/'WICHE Public Grads-RE PROJ'!Z45</f>
        <v>0.10583648417359533</v>
      </c>
      <c r="ES42" s="268">
        <f>+'WICHE Public Grads-RE PROJ'!GI45/'WICHE Public Grads-RE PROJ'!AA45</f>
        <v>0.10750080151114287</v>
      </c>
      <c r="ET42" s="268">
        <f>+'WICHE Public Grads-RE PROJ'!GJ45/'WICHE Public Grads-RE PROJ'!AB45</f>
        <v>0.10821015352112498</v>
      </c>
      <c r="EU42" s="266">
        <f>+'WICHE Public Grads-RE PROJ'!GK45/'WICHE Public Grads-RE PROJ'!AC45</f>
        <v>0.1103357911608909</v>
      </c>
      <c r="EV42" s="266">
        <f>+'WICHE Public Grads-RE PROJ'!GL45/'WICHE Public Grads-RE PROJ'!AD45</f>
        <v>0.11101434806571524</v>
      </c>
      <c r="EW42" s="266">
        <f>+'WICHE Public Grads-RE PROJ'!GM45/'WICHE Public Grads-RE PROJ'!AE45</f>
        <v>0.11247757195498805</v>
      </c>
      <c r="EX42" s="266">
        <f>+'WICHE Public Grads-RE PROJ'!GN45/'WICHE Public Grads-RE PROJ'!AF45</f>
        <v>0.10620736280670633</v>
      </c>
      <c r="EY42" s="266">
        <f>+'WICHE Public Grads-RE PROJ'!GO45/'WICHE Public Grads-RE PROJ'!AG45</f>
        <v>0.10762296699828078</v>
      </c>
      <c r="EZ42" s="268">
        <f>+'WICHE Public Grads-RE PROJ'!GP45/'WICHE Public Grads-RE PROJ'!AH45</f>
        <v>0.11482021656364613</v>
      </c>
      <c r="FA42" s="266">
        <f>+'WICHE Public Grads-RE PROJ'!GQ45/'WICHE Public Grads-RE PROJ'!AI45</f>
        <v>0.11711378548625292</v>
      </c>
      <c r="FB42" s="266">
        <f>+'WICHE Public Grads-RE PROJ'!GR45/'WICHE Public Grads-RE PROJ'!AJ45</f>
        <v>0.11871213065937508</v>
      </c>
      <c r="FC42" s="266">
        <f>+'WICHE Public Grads-RE PROJ'!GS45/'WICHE Public Grads-RE PROJ'!AK45</f>
        <v>0.11946046013968395</v>
      </c>
      <c r="FD42" s="266">
        <f>+'WICHE Public Grads-RE PROJ'!GT45/'WICHE Public Grads-RE PROJ'!AL45</f>
        <v>0.11865410460583135</v>
      </c>
      <c r="FE42" s="266">
        <f>+'WICHE Public Grads-RE PROJ'!GU45/'WICHE Public Grads-RE PROJ'!AM45</f>
        <v>0.12122028331640412</v>
      </c>
      <c r="FF42" s="266">
        <f>+'WICHE Public Grads-RE PROJ'!GV45/'WICHE Public Grads-RE PROJ'!AN45</f>
        <v>0.11923970441492698</v>
      </c>
      <c r="FG42" s="266">
        <f>+'WICHE Public Grads-RE PROJ'!GW45/'WICHE Public Grads-RE PROJ'!AO45</f>
        <v>0.12286521764957166</v>
      </c>
      <c r="FH42" s="266">
        <f>+'WICHE Public Grads-RE PROJ'!GX45/'WICHE Public Grads-RE PROJ'!AP45</f>
        <v>0.12235158033647071</v>
      </c>
      <c r="FI42" s="282">
        <f>+'WICHE Public Grads-RE PROJ'!GY45/'WICHE Public Grads-RE PROJ'!AQ45</f>
        <v>0.12492743834332384</v>
      </c>
      <c r="FJ42" s="262">
        <f>+'WICHE Public Grads-RE PROJ'!GZ45/'WICHE Public Grads-RE PROJ'!B45</f>
        <v>1.7005120960621577E-2</v>
      </c>
      <c r="FK42" s="262">
        <f>+'WICHE Public Grads-RE PROJ'!HA45/'WICHE Public Grads-RE PROJ'!C45</f>
        <v>1.6145449440174091E-2</v>
      </c>
      <c r="FL42" s="262">
        <f>+'WICHE Public Grads-RE PROJ'!HB45/'WICHE Public Grads-RE PROJ'!D45</f>
        <v>1.6139066788655079E-2</v>
      </c>
      <c r="FM42" s="262">
        <f>+'WICHE Public Grads-RE PROJ'!HC45/'WICHE Public Grads-RE PROJ'!E45</f>
        <v>1.7678119090941524E-2</v>
      </c>
      <c r="FN42" s="262">
        <f>+'WICHE Public Grads-RE PROJ'!HD45/'WICHE Public Grads-RE PROJ'!F45</f>
        <v>2.0291141487661993E-2</v>
      </c>
      <c r="FO42" s="262">
        <f>+'WICHE Public Grads-RE PROJ'!HE45/'WICHE Public Grads-RE PROJ'!G45</f>
        <v>1.9403790265040112E-2</v>
      </c>
      <c r="FP42" s="267">
        <f>+'WICHE Public Grads-RE PROJ'!HF45/'WICHE Public Grads-RE PROJ'!H45</f>
        <v>2.0341340933767642E-2</v>
      </c>
      <c r="FQ42" s="267">
        <f>+'WICHE Public Grads-RE PROJ'!HG45/'WICHE Public Grads-RE PROJ'!I45</f>
        <v>2.1208476614774787E-2</v>
      </c>
      <c r="FR42" s="267">
        <f>+'WICHE Public Grads-RE PROJ'!HH45/'WICHE Public Grads-RE PROJ'!J45</f>
        <v>2.0802638041114152E-2</v>
      </c>
      <c r="FS42" s="267">
        <f>+'WICHE Public Grads-RE PROJ'!HI45/'WICHE Public Grads-RE PROJ'!K45</f>
        <v>2.3214412874741866E-2</v>
      </c>
      <c r="FT42" s="262">
        <f>+'WICHE Public Grads-RE PROJ'!HJ45/'WICHE Public Grads-RE PROJ'!L45</f>
        <v>2.517541694580586E-2</v>
      </c>
      <c r="FU42" s="267">
        <f>+'WICHE Public Grads-RE PROJ'!HK45/'WICHE Public Grads-RE PROJ'!M45</f>
        <v>2.5459004784358429E-2</v>
      </c>
      <c r="FV42" s="267">
        <f>+'WICHE Public Grads-RE PROJ'!HL45/'WICHE Public Grads-RE PROJ'!N45</f>
        <v>2.8603056706184831E-2</v>
      </c>
      <c r="FW42" s="267">
        <f>+'WICHE Public Grads-RE PROJ'!HM45/'WICHE Public Grads-RE PROJ'!O45</f>
        <v>2.9507250559122719E-2</v>
      </c>
      <c r="FX42" s="267">
        <f>+'WICHE Public Grads-RE PROJ'!HN45/'WICHE Public Grads-RE PROJ'!P45</f>
        <v>3.37189226519337E-2</v>
      </c>
      <c r="FY42" s="267">
        <f>+'WICHE Public Grads-RE PROJ'!HO45/'WICHE Public Grads-RE PROJ'!Q45</f>
        <v>3.6084626045719437E-2</v>
      </c>
      <c r="FZ42" s="267">
        <f>+'WICHE Public Grads-RE PROJ'!HP45/'WICHE Public Grads-RE PROJ'!R45</f>
        <v>3.9304696208461901E-2</v>
      </c>
      <c r="GA42" s="267">
        <f>+'WICHE Public Grads-RE PROJ'!HQ45/'WICHE Public Grads-RE PROJ'!S45</f>
        <v>4.2410819471278449E-2</v>
      </c>
      <c r="GB42" s="267">
        <f>+'WICHE Public Grads-RE PROJ'!HR45/'WICHE Public Grads-RE PROJ'!T45</f>
        <v>4.9077473625505415E-2</v>
      </c>
      <c r="GC42" s="267">
        <f>+'WICHE Public Grads-RE PROJ'!HS45/'WICHE Public Grads-RE PROJ'!U45</f>
        <v>5.8503319069148532E-2</v>
      </c>
      <c r="GD42" s="267">
        <f>+'WICHE Public Grads-RE PROJ'!HT45/'WICHE Public Grads-RE PROJ'!V45</f>
        <v>6.2268719448124628E-2</v>
      </c>
      <c r="GE42" s="267">
        <f>+'WICHE Public Grads-RE PROJ'!HU45/'WICHE Public Grads-RE PROJ'!W45</f>
        <v>6.9719948945116003E-2</v>
      </c>
      <c r="GF42" s="268">
        <f>+'WICHE Public Grads-RE PROJ'!HV45/'WICHE Public Grads-RE PROJ'!Y45</f>
        <v>7.2269781404230543E-2</v>
      </c>
      <c r="GG42" s="268">
        <f>+'WICHE Public Grads-RE PROJ'!HW45/'WICHE Public Grads-RE PROJ'!Z45</f>
        <v>7.9348170229365911E-2</v>
      </c>
      <c r="GH42" s="268">
        <f>+'WICHE Public Grads-RE PROJ'!HX45/'WICHE Public Grads-RE PROJ'!AA45</f>
        <v>8.5205786011568529E-2</v>
      </c>
      <c r="GI42" s="268">
        <f>+'WICHE Public Grads-RE PROJ'!HY45/'WICHE Public Grads-RE PROJ'!AB45</f>
        <v>9.330126815607355E-2</v>
      </c>
      <c r="GJ42" s="266">
        <f>+'WICHE Public Grads-RE PROJ'!HZ45/'WICHE Public Grads-RE PROJ'!AC45</f>
        <v>9.7886359962822592E-2</v>
      </c>
      <c r="GK42" s="266">
        <f>+'WICHE Public Grads-RE PROJ'!IA45/'WICHE Public Grads-RE PROJ'!AD45</f>
        <v>0.11094934519496046</v>
      </c>
      <c r="GL42" s="266">
        <f>+'WICHE Public Grads-RE PROJ'!IB45/'WICHE Public Grads-RE PROJ'!AE45</f>
        <v>0.11927305082900107</v>
      </c>
      <c r="GM42" s="266">
        <f>+'WICHE Public Grads-RE PROJ'!IC45/'WICHE Public Grads-RE PROJ'!AF45</f>
        <v>0.12822884768410997</v>
      </c>
      <c r="GN42" s="266">
        <f>+'WICHE Public Grads-RE PROJ'!ID45/'WICHE Public Grads-RE PROJ'!AG45</f>
        <v>0.1388008910585635</v>
      </c>
      <c r="GO42" s="268">
        <f>+'WICHE Public Grads-RE PROJ'!IE45/'WICHE Public Grads-RE PROJ'!AH45</f>
        <v>0.14489933557665033</v>
      </c>
      <c r="GP42" s="266">
        <f>+'WICHE Public Grads-RE PROJ'!IF45/'WICHE Public Grads-RE PROJ'!AI45</f>
        <v>0.15566025535678202</v>
      </c>
      <c r="GQ42" s="266">
        <f>+'WICHE Public Grads-RE PROJ'!IG45/'WICHE Public Grads-RE PROJ'!AJ45</f>
        <v>0.16604404626425806</v>
      </c>
      <c r="GR42" s="266">
        <f>+'WICHE Public Grads-RE PROJ'!IH45/'WICHE Public Grads-RE PROJ'!AK45</f>
        <v>0.15906835440605599</v>
      </c>
      <c r="GS42" s="266">
        <f>+'WICHE Public Grads-RE PROJ'!II45/'WICHE Public Grads-RE PROJ'!AL45</f>
        <v>0.1536080601657992</v>
      </c>
      <c r="GT42" s="266">
        <f>+'WICHE Public Grads-RE PROJ'!IJ45/'WICHE Public Grads-RE PROJ'!AM45</f>
        <v>0.14809299550762889</v>
      </c>
      <c r="GU42" s="266">
        <f>+'WICHE Public Grads-RE PROJ'!IK45/'WICHE Public Grads-RE PROJ'!AN45</f>
        <v>0.14168133436878996</v>
      </c>
      <c r="GV42" s="266">
        <f>+'WICHE Public Grads-RE PROJ'!IL45/'WICHE Public Grads-RE PROJ'!AO45</f>
        <v>0.13999461874877497</v>
      </c>
      <c r="GW42" s="266">
        <f>+'WICHE Public Grads-RE PROJ'!IM45/'WICHE Public Grads-RE PROJ'!AP45</f>
        <v>0.13596798259232912</v>
      </c>
      <c r="GX42" s="282">
        <f>+'WICHE Public Grads-RE PROJ'!IN45/'WICHE Public Grads-RE PROJ'!AQ45</f>
        <v>0.1421384039557762</v>
      </c>
      <c r="GY42" s="262">
        <f>+'WICHE Public Grads-RE PROJ'!IO45/'WICHE Public Grads-RE PROJ'!B45</f>
        <v>0.88636764965565951</v>
      </c>
      <c r="GZ42" s="262">
        <f>+'WICHE Public Grads-RE PROJ'!IP45/'WICHE Public Grads-RE PROJ'!C45</f>
        <v>0.89461584359973323</v>
      </c>
      <c r="HA42" s="262">
        <f>+'WICHE Public Grads-RE PROJ'!IQ45/'WICHE Public Grads-RE PROJ'!D45</f>
        <v>0.89998170173833481</v>
      </c>
      <c r="HB42" s="262">
        <f>+'WICHE Public Grads-RE PROJ'!IR45/'WICHE Public Grads-RE PROJ'!E45</f>
        <v>0.89212958007777654</v>
      </c>
      <c r="HC42" s="262">
        <f>+'WICHE Public Grads-RE PROJ'!IS45/'WICHE Public Grads-RE PROJ'!F45</f>
        <v>0.8895615125155335</v>
      </c>
      <c r="HD42" s="262">
        <f>+'WICHE Public Grads-RE PROJ'!IT45/'WICHE Public Grads-RE PROJ'!G45</f>
        <v>0.88554374118998314</v>
      </c>
      <c r="HE42" s="267">
        <f>+'WICHE Public Grads-RE PROJ'!IU45/'WICHE Public Grads-RE PROJ'!H45</f>
        <v>0.88419516829533118</v>
      </c>
      <c r="HF42" s="267">
        <f>+'WICHE Public Grads-RE PROJ'!IV45/'WICHE Public Grads-RE PROJ'!I45</f>
        <v>0.87949113207866791</v>
      </c>
      <c r="HG42" s="267">
        <f>+'WICHE Public Grads-RE PROJ'!IW45/'WICHE Public Grads-RE PROJ'!J45</f>
        <v>0.89112818354030732</v>
      </c>
      <c r="HH42" s="267">
        <f>+'WICHE Public Grads-RE PROJ'!IX45/'WICHE Public Grads-RE PROJ'!K45</f>
        <v>0.88645588549455245</v>
      </c>
      <c r="HI42" s="262">
        <f>+'WICHE Public Grads-RE PROJ'!IY45/'WICHE Public Grads-RE PROJ'!L45</f>
        <v>0.87877719403406085</v>
      </c>
      <c r="HJ42" s="267">
        <f>+'WICHE Public Grads-RE PROJ'!IZ45/'WICHE Public Grads-RE PROJ'!M45</f>
        <v>0.87949289255056395</v>
      </c>
      <c r="HK42" s="267">
        <f>+'WICHE Public Grads-RE PROJ'!JA45/'WICHE Public Grads-RE PROJ'!N45</f>
        <v>0.87930295672046854</v>
      </c>
      <c r="HL42" s="267">
        <f>+'WICHE Public Grads-RE PROJ'!JB45/'WICHE Public Grads-RE PROJ'!O45</f>
        <v>0.87333164995310586</v>
      </c>
      <c r="HM42" s="267">
        <f>+'WICHE Public Grads-RE PROJ'!JC45/'WICHE Public Grads-RE PROJ'!P45</f>
        <v>0.86127417127071826</v>
      </c>
      <c r="HN42" s="267">
        <f>+'WICHE Public Grads-RE PROJ'!JD45/'WICHE Public Grads-RE PROJ'!Q45</f>
        <v>0.84455724948653299</v>
      </c>
      <c r="HO42" s="267">
        <f>+'WICHE Public Grads-RE PROJ'!JE45/'WICHE Public Grads-RE PROJ'!R45</f>
        <v>0.83698163196071151</v>
      </c>
      <c r="HP42" s="267">
        <f>+'WICHE Public Grads-RE PROJ'!JF45/'WICHE Public Grads-RE PROJ'!S45</f>
        <v>0.82572294739487617</v>
      </c>
      <c r="HQ42" s="267">
        <f>+'WICHE Public Grads-RE PROJ'!JG45/'WICHE Public Grads-RE PROJ'!T45</f>
        <v>0.80804325262195786</v>
      </c>
      <c r="HR42" s="267">
        <f>+'WICHE Public Grads-RE PROJ'!JH45/'WICHE Public Grads-RE PROJ'!U45</f>
        <v>0.81780710099176879</v>
      </c>
      <c r="HS42" s="267">
        <f>+'WICHE Public Grads-RE PROJ'!JI45/'WICHE Public Grads-RE PROJ'!V45</f>
        <v>0.81345316285353186</v>
      </c>
      <c r="HT42" s="267">
        <f>+'WICHE Public Grads-RE PROJ'!JJ45/'WICHE Public Grads-RE PROJ'!W45</f>
        <v>0.80122635316763047</v>
      </c>
      <c r="HU42" s="268">
        <f>+'WICHE Public Grads-RE PROJ'!JK45/'WICHE Public Grads-RE PROJ'!Y45</f>
        <v>0.79671608971701113</v>
      </c>
      <c r="HV42" s="268">
        <f>+'WICHE Public Grads-RE PROJ'!JL45/'WICHE Public Grads-RE PROJ'!Z45</f>
        <v>0.79453221843184552</v>
      </c>
      <c r="HW42" s="268">
        <f>+'WICHE Public Grads-RE PROJ'!JM45/'WICHE Public Grads-RE PROJ'!AA45</f>
        <v>0.79258295044839133</v>
      </c>
      <c r="HX42" s="268">
        <f>+'WICHE Public Grads-RE PROJ'!JN45/'WICHE Public Grads-RE PROJ'!AB45</f>
        <v>0.78670888773296843</v>
      </c>
      <c r="HY42" s="266">
        <f>+'WICHE Public Grads-RE PROJ'!JO45/'WICHE Public Grads-RE PROJ'!AC45</f>
        <v>0.78368226143542796</v>
      </c>
      <c r="HZ42" s="266">
        <f>+'WICHE Public Grads-RE PROJ'!JP45/'WICHE Public Grads-RE PROJ'!AD45</f>
        <v>0.7763565301194153</v>
      </c>
      <c r="IA42" s="266">
        <f>+'WICHE Public Grads-RE PROJ'!JQ45/'WICHE Public Grads-RE PROJ'!AE45</f>
        <v>0.77218188662345622</v>
      </c>
      <c r="IB42" s="266">
        <f>+'WICHE Public Grads-RE PROJ'!JR45/'WICHE Public Grads-RE PROJ'!AF45</f>
        <v>0.77755058716793124</v>
      </c>
      <c r="IC42" s="266">
        <f>+'WICHE Public Grads-RE PROJ'!JS45/'WICHE Public Grads-RE PROJ'!AG45</f>
        <v>0.77330838113795242</v>
      </c>
      <c r="ID42" s="268">
        <f>+'WICHE Public Grads-RE PROJ'!JT45/'WICHE Public Grads-RE PROJ'!AH45</f>
        <v>0.7684677910922858</v>
      </c>
      <c r="IE42" s="266">
        <f>+'WICHE Public Grads-RE PROJ'!JU45/'WICHE Public Grads-RE PROJ'!AI45</f>
        <v>0.76262730997269912</v>
      </c>
      <c r="IF42" s="266">
        <f>+'WICHE Public Grads-RE PROJ'!JV45/'WICHE Public Grads-RE PROJ'!AJ45</f>
        <v>0.76230183113756267</v>
      </c>
      <c r="IG42" s="266">
        <f>+'WICHE Public Grads-RE PROJ'!JW45/'WICHE Public Grads-RE PROJ'!AK45</f>
        <v>0.75586383693690873</v>
      </c>
      <c r="IH42" s="266">
        <f>+'WICHE Public Grads-RE PROJ'!JX45/'WICHE Public Grads-RE PROJ'!AL45</f>
        <v>0.75724400770716938</v>
      </c>
      <c r="II42" s="266">
        <f>+'WICHE Public Grads-RE PROJ'!JY45/'WICHE Public Grads-RE PROJ'!AM45</f>
        <v>0.7590404679206556</v>
      </c>
      <c r="IJ42" s="266">
        <f>+'WICHE Public Grads-RE PROJ'!JZ45/'WICHE Public Grads-RE PROJ'!AN45</f>
        <v>0.76276879287470145</v>
      </c>
      <c r="IK42" s="266">
        <f>+'WICHE Public Grads-RE PROJ'!KA45/'WICHE Public Grads-RE PROJ'!AO45</f>
        <v>0.7588490244191517</v>
      </c>
      <c r="IL42" s="266">
        <f>+'WICHE Public Grads-RE PROJ'!KB45/'WICHE Public Grads-RE PROJ'!AP45</f>
        <v>0.75983623817454449</v>
      </c>
      <c r="IM42" s="282">
        <f>+'WICHE Public Grads-RE PROJ'!KC45/'WICHE Public Grads-RE PROJ'!AQ45</f>
        <v>0.75406456293494062</v>
      </c>
      <c r="IN42" s="278">
        <f t="shared" si="82"/>
        <v>1</v>
      </c>
      <c r="IO42" s="278">
        <f t="shared" si="83"/>
        <v>1</v>
      </c>
      <c r="IP42" s="278">
        <f t="shared" si="84"/>
        <v>1</v>
      </c>
      <c r="IQ42" s="278">
        <f t="shared" si="85"/>
        <v>1</v>
      </c>
      <c r="IR42" s="278">
        <f t="shared" si="86"/>
        <v>1</v>
      </c>
      <c r="IS42" s="278">
        <f t="shared" si="87"/>
        <v>1</v>
      </c>
      <c r="IT42" s="278">
        <f t="shared" si="88"/>
        <v>1</v>
      </c>
      <c r="IU42" s="278">
        <f t="shared" si="89"/>
        <v>1</v>
      </c>
      <c r="IV42" s="278">
        <f t="shared" si="90"/>
        <v>1</v>
      </c>
      <c r="IW42" s="278">
        <f t="shared" si="91"/>
        <v>1</v>
      </c>
      <c r="IX42" s="278">
        <f t="shared" si="92"/>
        <v>1</v>
      </c>
      <c r="IY42" s="278">
        <f t="shared" si="93"/>
        <v>1</v>
      </c>
      <c r="IZ42" s="278">
        <f t="shared" si="94"/>
        <v>1</v>
      </c>
      <c r="JA42" s="278">
        <f t="shared" si="95"/>
        <v>1</v>
      </c>
      <c r="JB42" s="278">
        <f t="shared" si="96"/>
        <v>1</v>
      </c>
      <c r="JC42" s="278">
        <f t="shared" si="97"/>
        <v>0.98455424382587209</v>
      </c>
      <c r="JD42" s="278">
        <f t="shared" si="98"/>
        <v>0.98208429589182733</v>
      </c>
      <c r="JE42" s="278">
        <f t="shared" si="99"/>
        <v>0.97877888255344547</v>
      </c>
      <c r="JF42" s="278">
        <f t="shared" si="100"/>
        <v>0.97586404548341621</v>
      </c>
      <c r="JG42" s="278">
        <f t="shared" si="101"/>
        <v>0.99999999999999989</v>
      </c>
      <c r="JH42" s="278">
        <f t="shared" si="102"/>
        <v>1</v>
      </c>
      <c r="JI42" s="278">
        <f t="shared" si="103"/>
        <v>1</v>
      </c>
      <c r="JJ42" s="278">
        <f t="shared" si="104"/>
        <v>0.99869734631006035</v>
      </c>
      <c r="JK42" s="278">
        <f t="shared" si="105"/>
        <v>1.0031943645544488</v>
      </c>
      <c r="JL42" s="278">
        <f t="shared" si="106"/>
        <v>1.0103518025230018</v>
      </c>
      <c r="JM42" s="278">
        <f t="shared" si="107"/>
        <v>1.0154193156257452</v>
      </c>
      <c r="JN42" s="278">
        <f t="shared" si="108"/>
        <v>1.020994109359818</v>
      </c>
      <c r="JO42" s="278">
        <f t="shared" si="109"/>
        <v>1.0275601004191597</v>
      </c>
      <c r="JP42" s="278">
        <f t="shared" si="110"/>
        <v>1.0359647423923004</v>
      </c>
      <c r="JQ42" s="278">
        <f t="shared" si="111"/>
        <v>1.0464784909998543</v>
      </c>
      <c r="JR42" s="278">
        <f t="shared" si="112"/>
        <v>1.0557741325919374</v>
      </c>
      <c r="JS42" s="278">
        <f t="shared" si="113"/>
        <v>1.0625291789963707</v>
      </c>
      <c r="JT42" s="278">
        <f t="shared" si="114"/>
        <v>1.0739924288279104</v>
      </c>
      <c r="JU42" s="278">
        <f t="shared" si="115"/>
        <v>1.0844913638439546</v>
      </c>
      <c r="JV42" s="278">
        <f t="shared" si="116"/>
        <v>1.0756616606489606</v>
      </c>
      <c r="JW42" s="278">
        <f t="shared" si="117"/>
        <v>1.0752433175435627</v>
      </c>
      <c r="JX42" s="278">
        <f t="shared" si="118"/>
        <v>1.0742851048032231</v>
      </c>
      <c r="JY42" s="278">
        <f t="shared" si="119"/>
        <v>1.0713180970363603</v>
      </c>
      <c r="JZ42" s="278">
        <f t="shared" si="119"/>
        <v>1.0743364276226175</v>
      </c>
      <c r="KA42" s="278">
        <f t="shared" si="119"/>
        <v>1.0738971740219523</v>
      </c>
      <c r="KB42" s="278">
        <f t="shared" si="119"/>
        <v>1.0760601775882022</v>
      </c>
    </row>
    <row r="43" spans="1:288" s="17" customFormat="1">
      <c r="A43" s="175" t="s">
        <v>67</v>
      </c>
      <c r="B43" s="262">
        <f>+'WICHE Public Grads-RE PROJ'!AR46/'WICHE Public Grads-RE PROJ'!B46</f>
        <v>2.0462633451957295E-2</v>
      </c>
      <c r="C43" s="262">
        <f>+'WICHE Public Grads-RE PROJ'!AS46/'WICHE Public Grads-RE PROJ'!C46</f>
        <v>1.6298855820321412E-2</v>
      </c>
      <c r="D43" s="262">
        <f>+'WICHE Public Grads-RE PROJ'!AT46/'WICHE Public Grads-RE PROJ'!D46</f>
        <v>1.7985254736006876E-2</v>
      </c>
      <c r="E43" s="262">
        <f>+'WICHE Public Grads-RE PROJ'!AU46/'WICHE Public Grads-RE PROJ'!E46</f>
        <v>2.0180376103364463E-2</v>
      </c>
      <c r="F43" s="262">
        <f>+'WICHE Public Grads-RE PROJ'!AV46/'WICHE Public Grads-RE PROJ'!F46</f>
        <v>1.7608633910820789E-2</v>
      </c>
      <c r="G43" s="262">
        <f>+'WICHE Public Grads-RE PROJ'!AW46/'WICHE Public Grads-RE PROJ'!G46</f>
        <v>1.9038379918753411E-2</v>
      </c>
      <c r="H43" s="267">
        <f>+'WICHE Public Grads-RE PROJ'!AX46/'WICHE Public Grads-RE PROJ'!H46</f>
        <v>1.731551083681886E-2</v>
      </c>
      <c r="I43" s="267">
        <f>+'WICHE Public Grads-RE PROJ'!AY46/'WICHE Public Grads-RE PROJ'!I46</f>
        <v>1.7045785095118973E-2</v>
      </c>
      <c r="J43" s="267">
        <f>+'WICHE Public Grads-RE PROJ'!AZ46/'WICHE Public Grads-RE PROJ'!J46</f>
        <v>1.830454518658256E-2</v>
      </c>
      <c r="K43" s="267">
        <f>+'WICHE Public Grads-RE PROJ'!BA46/'WICHE Public Grads-RE PROJ'!K46</f>
        <v>2.6529282880322143E-2</v>
      </c>
      <c r="L43" s="262">
        <f>+'WICHE Public Grads-RE PROJ'!BB46/'WICHE Public Grads-RE PROJ'!L46</f>
        <v>2.2640504306135133E-2</v>
      </c>
      <c r="M43" s="267">
        <f>+'WICHE Public Grads-RE PROJ'!BC46/'WICHE Public Grads-RE PROJ'!M46</f>
        <v>2.2375215146299483E-2</v>
      </c>
      <c r="N43" s="267">
        <f>+'WICHE Public Grads-RE PROJ'!BD46/'WICHE Public Grads-RE PROJ'!N46</f>
        <v>2.3093275867089896E-2</v>
      </c>
      <c r="O43" s="267">
        <f>+'WICHE Public Grads-RE PROJ'!BE46/'WICHE Public Grads-RE PROJ'!O46</f>
        <v>2.4413509404715771E-2</v>
      </c>
      <c r="P43" s="267">
        <f>+'WICHE Public Grads-RE PROJ'!BF46/'WICHE Public Grads-RE PROJ'!P46</f>
        <v>2.5257471878431723E-2</v>
      </c>
      <c r="Q43" s="267">
        <f>+'WICHE Public Grads-RE PROJ'!BG46/'WICHE Public Grads-RE PROJ'!Q46</f>
        <v>2.2328361707738741E-2</v>
      </c>
      <c r="R43" s="267">
        <f>+'WICHE Public Grads-RE PROJ'!BH46/'WICHE Public Grads-RE PROJ'!R46</f>
        <v>2.2850201023920401E-2</v>
      </c>
      <c r="S43" s="267">
        <f>+'WICHE Public Grads-RE PROJ'!BI46/'WICHE Public Grads-RE PROJ'!S46</f>
        <v>2.3904969639804281E-2</v>
      </c>
      <c r="T43" s="267">
        <f>+'WICHE Public Grads-RE PROJ'!BJ46/'WICHE Public Grads-RE PROJ'!T46</f>
        <v>2.4294082964903096E-2</v>
      </c>
      <c r="U43" s="267">
        <f>+'WICHE Public Grads-RE PROJ'!BK46/'WICHE Public Grads-RE PROJ'!U46</f>
        <v>2.3760632060036493E-2</v>
      </c>
      <c r="V43" s="267">
        <f>+'WICHE Public Grads-RE PROJ'!BL46/'WICHE Public Grads-RE PROJ'!V46</f>
        <v>2.376688774030386E-2</v>
      </c>
      <c r="W43" s="267">
        <f>+'WICHE Public Grads-RE PROJ'!BM46/'WICHE Public Grads-RE PROJ'!W46</f>
        <v>2.7494738049438687E-2</v>
      </c>
      <c r="X43" s="268">
        <f>+'WICHE Public Grads-RE PROJ'!BN46/'WICHE Public Grads-RE PROJ'!Y46</f>
        <v>2.7187378564662506E-2</v>
      </c>
      <c r="Y43" s="268">
        <f>+'WICHE Public Grads-RE PROJ'!BO46/'WICHE Public Grads-RE PROJ'!Z46</f>
        <v>2.8224257710528305E-2</v>
      </c>
      <c r="Z43" s="268">
        <f>+'WICHE Public Grads-RE PROJ'!BP46/'WICHE Public Grads-RE PROJ'!AA46</f>
        <v>2.817726390358407E-2</v>
      </c>
      <c r="AA43" s="268">
        <f>+'WICHE Public Grads-RE PROJ'!BQ46/'WICHE Public Grads-RE PROJ'!AB46</f>
        <v>2.7789769211119999E-2</v>
      </c>
      <c r="AB43" s="266">
        <f>+'WICHE Public Grads-RE PROJ'!BR46/'WICHE Public Grads-RE PROJ'!AC46</f>
        <v>3.181523871768998E-2</v>
      </c>
      <c r="AC43" s="266">
        <f>+'WICHE Public Grads-RE PROJ'!BS46/'WICHE Public Grads-RE PROJ'!AD46</f>
        <v>2.9258821880940096E-2</v>
      </c>
      <c r="AD43" s="266">
        <f>+'WICHE Public Grads-RE PROJ'!BT46/'WICHE Public Grads-RE PROJ'!AE46</f>
        <v>3.1385928199659859E-2</v>
      </c>
      <c r="AE43" s="266">
        <f>+'WICHE Public Grads-RE PROJ'!BU46/'WICHE Public Grads-RE PROJ'!AF46</f>
        <v>3.2796291246526658E-2</v>
      </c>
      <c r="AF43" s="266">
        <f>+'WICHE Public Grads-RE PROJ'!BV46/'WICHE Public Grads-RE PROJ'!AG46</f>
        <v>3.2181350826014428E-2</v>
      </c>
      <c r="AG43" s="268">
        <f>+'WICHE Public Grads-RE PROJ'!BW46/'WICHE Public Grads-RE PROJ'!AH46</f>
        <v>3.266443615768904E-2</v>
      </c>
      <c r="AH43" s="266">
        <f>+'WICHE Public Grads-RE PROJ'!BX46/'WICHE Public Grads-RE PROJ'!AI46</f>
        <v>3.1371628930369301E-2</v>
      </c>
      <c r="AI43" s="266">
        <f>+'WICHE Public Grads-RE PROJ'!BY46/'WICHE Public Grads-RE PROJ'!AJ46</f>
        <v>3.2130392366266955E-2</v>
      </c>
      <c r="AJ43" s="266">
        <f>+'WICHE Public Grads-RE PROJ'!BZ46/'WICHE Public Grads-RE PROJ'!AK46</f>
        <v>3.1526722288518355E-2</v>
      </c>
      <c r="AK43" s="266">
        <f>+'WICHE Public Grads-RE PROJ'!CA46/'WICHE Public Grads-RE PROJ'!AL46</f>
        <v>3.3555104094400968E-2</v>
      </c>
      <c r="AL43" s="266">
        <f>+'WICHE Public Grads-RE PROJ'!CB46/'WICHE Public Grads-RE PROJ'!AM46</f>
        <v>3.6800995937000695E-2</v>
      </c>
      <c r="AM43" s="266">
        <f>+'WICHE Public Grads-RE PROJ'!CC46/'WICHE Public Grads-RE PROJ'!AN46</f>
        <v>3.9369685666696623E-2</v>
      </c>
      <c r="AN43" s="266">
        <f>+'WICHE Public Grads-RE PROJ'!CD46/'WICHE Public Grads-RE PROJ'!AO46</f>
        <v>4.306403563250806E-2</v>
      </c>
      <c r="AO43" s="266">
        <f>+'WICHE Public Grads-RE PROJ'!CE46/'WICHE Public Grads-RE PROJ'!AP46</f>
        <v>4.4075638270460821E-2</v>
      </c>
      <c r="AP43" s="282">
        <f>+'WICHE Public Grads-RE PROJ'!CF46/'WICHE Public Grads-RE PROJ'!AQ46</f>
        <v>4.5378223314528496E-2</v>
      </c>
      <c r="AQ43" s="262">
        <f>+'WICHE Public Grads-RE PROJ'!CG46/'WICHE Public Grads-RE PROJ'!B46</f>
        <v>4.8932384341637009E-3</v>
      </c>
      <c r="AR43" s="262">
        <f>+'WICHE Public Grads-RE PROJ'!CH46/'WICHE Public Grads-RE PROJ'!C46</f>
        <v>1.4668970238289271E-3</v>
      </c>
      <c r="AS43" s="262">
        <f>+'WICHE Public Grads-RE PROJ'!CI46/'WICHE Public Grads-RE PROJ'!D46</f>
        <v>1.95060667173604E-3</v>
      </c>
      <c r="AT43" s="262">
        <f>+'WICHE Public Grads-RE PROJ'!CJ46/'WICHE Public Grads-RE PROJ'!E46</f>
        <v>2.2067289241396956E-3</v>
      </c>
      <c r="AU43" s="262">
        <f>+'WICHE Public Grads-RE PROJ'!CK46/'WICHE Public Grads-RE PROJ'!F46</f>
        <v>1.7356180378049165E-3</v>
      </c>
      <c r="AV43" s="262">
        <f>+'WICHE Public Grads-RE PROJ'!CL46/'WICHE Public Grads-RE PROJ'!G46</f>
        <v>2.2130600860971322E-3</v>
      </c>
      <c r="AW43" s="267">
        <f>+'WICHE Public Grads-RE PROJ'!CM46/'WICHE Public Grads-RE PROJ'!H46</f>
        <v>2.4569305917107841E-3</v>
      </c>
      <c r="AX43" s="267">
        <f>+'WICHE Public Grads-RE PROJ'!CN46/'WICHE Public Grads-RE PROJ'!I46</f>
        <v>2.6179533422537671E-3</v>
      </c>
      <c r="AY43" s="267">
        <f>+'WICHE Public Grads-RE PROJ'!CO46/'WICHE Public Grads-RE PROJ'!J46</f>
        <v>2.1812179449389847E-3</v>
      </c>
      <c r="AZ43" s="267">
        <f>+'WICHE Public Grads-RE PROJ'!CP46/'WICHE Public Grads-RE PROJ'!K46</f>
        <v>6.2770178243619348E-3</v>
      </c>
      <c r="BA43" s="262">
        <f>+'WICHE Public Grads-RE PROJ'!CQ46/'WICHE Public Grads-RE PROJ'!L46</f>
        <v>3.1963064902779011E-3</v>
      </c>
      <c r="BB43" s="267">
        <f>+'WICHE Public Grads-RE PROJ'!CR46/'WICHE Public Grads-RE PROJ'!M46</f>
        <v>3.5570854847963283E-3</v>
      </c>
      <c r="BC43" s="267">
        <f>+'WICHE Public Grads-RE PROJ'!CS46/'WICHE Public Grads-RE PROJ'!N46</f>
        <v>3.5236902647135908E-3</v>
      </c>
      <c r="BD43" s="267">
        <f>+'WICHE Public Grads-RE PROJ'!CT46/'WICHE Public Grads-RE PROJ'!O46</f>
        <v>4.8886636659015706E-3</v>
      </c>
      <c r="BE43" s="267">
        <f>+'WICHE Public Grads-RE PROJ'!CU46/'WICHE Public Grads-RE PROJ'!P46</f>
        <v>4.6300418484551686E-3</v>
      </c>
      <c r="BF43" s="267">
        <f>+'WICHE Public Grads-RE PROJ'!CV46/'WICHE Public Grads-RE PROJ'!Q46</f>
        <v>4.4539514167667828E-3</v>
      </c>
      <c r="BG43" s="267">
        <f>+'WICHE Public Grads-RE PROJ'!CW46/'WICHE Public Grads-RE PROJ'!R46</f>
        <v>4.5989645098776502E-3</v>
      </c>
      <c r="BH43" s="267">
        <f>+'WICHE Public Grads-RE PROJ'!CX46/'WICHE Public Grads-RE PROJ'!S46</f>
        <v>4.5392913989270763E-3</v>
      </c>
      <c r="BI43" s="267">
        <f>+'WICHE Public Grads-RE PROJ'!CY46/'WICHE Public Grads-RE PROJ'!T46</f>
        <v>4.6714264592859732E-3</v>
      </c>
      <c r="BJ43" s="267">
        <f>+'WICHE Public Grads-RE PROJ'!CZ46/'WICHE Public Grads-RE PROJ'!U46</f>
        <v>4.2629904354789389E-3</v>
      </c>
      <c r="BK43" s="267">
        <f>+'WICHE Public Grads-RE PROJ'!DA46/'WICHE Public Grads-RE PROJ'!V46</f>
        <v>3.7800841782810765E-3</v>
      </c>
      <c r="BL43" s="267">
        <f>+'WICHE Public Grads-RE PROJ'!DB46/'WICHE Public Grads-RE PROJ'!W46</f>
        <v>4.8204355563088563E-3</v>
      </c>
      <c r="BM43" s="268">
        <f>+'WICHE Public Grads-RE PROJ'!DC46/'WICHE Public Grads-RE PROJ'!Y46</f>
        <v>4.0854503331866771E-3</v>
      </c>
      <c r="BN43" s="268">
        <f>+'WICHE Public Grads-RE PROJ'!DD46/'WICHE Public Grads-RE PROJ'!Z46</f>
        <v>4.1470405917479252E-3</v>
      </c>
      <c r="BO43" s="268">
        <f>+'WICHE Public Grads-RE PROJ'!DE46/'WICHE Public Grads-RE PROJ'!AA46</f>
        <v>3.3004670900129937E-3</v>
      </c>
      <c r="BP43" s="268">
        <f>+'WICHE Public Grads-RE PROJ'!DF46/'WICHE Public Grads-RE PROJ'!AB46</f>
        <v>3.1308311659414899E-3</v>
      </c>
      <c r="BQ43" s="266">
        <f>+'WICHE Public Grads-RE PROJ'!DG46/'WICHE Public Grads-RE PROJ'!AC46</f>
        <v>3.0037320170134738E-3</v>
      </c>
      <c r="BR43" s="266">
        <f>+'WICHE Public Grads-RE PROJ'!DH46/'WICHE Public Grads-RE PROJ'!AD46</f>
        <v>2.8265898787040449E-3</v>
      </c>
      <c r="BS43" s="266">
        <f>+'WICHE Public Grads-RE PROJ'!DI46/'WICHE Public Grads-RE PROJ'!AE46</f>
        <v>2.4603998019568445E-3</v>
      </c>
      <c r="BT43" s="266">
        <f>+'WICHE Public Grads-RE PROJ'!DJ46/'WICHE Public Grads-RE PROJ'!AF46</f>
        <v>2.465340268770275E-3</v>
      </c>
      <c r="BU43" s="266">
        <f>+'WICHE Public Grads-RE PROJ'!DK46/'WICHE Public Grads-RE PROJ'!AG46</f>
        <v>2.2565187865504345E-3</v>
      </c>
      <c r="BV43" s="268">
        <f>+'WICHE Public Grads-RE PROJ'!DL46/'WICHE Public Grads-RE PROJ'!AH46</f>
        <v>2.232456983401826E-3</v>
      </c>
      <c r="BW43" s="266">
        <f>+'WICHE Public Grads-RE PROJ'!DM46/'WICHE Public Grads-RE PROJ'!AI46</f>
        <v>1.8947932263590908E-3</v>
      </c>
      <c r="BX43" s="266">
        <f>+'WICHE Public Grads-RE PROJ'!DN46/'WICHE Public Grads-RE PROJ'!AJ46</f>
        <v>1.9624125717281186E-3</v>
      </c>
      <c r="BY43" s="266">
        <f>+'WICHE Public Grads-RE PROJ'!DO46/'WICHE Public Grads-RE PROJ'!AK46</f>
        <v>2.0384862345550797E-3</v>
      </c>
      <c r="BZ43" s="266">
        <f>+'WICHE Public Grads-RE PROJ'!DP46/'WICHE Public Grads-RE PROJ'!AL46</f>
        <v>1.8209950218834045E-3</v>
      </c>
      <c r="CA43" s="266">
        <f>+'WICHE Public Grads-RE PROJ'!DQ46/'WICHE Public Grads-RE PROJ'!AM46</f>
        <v>1.9658008637226934E-3</v>
      </c>
      <c r="CB43" s="266">
        <f>+'WICHE Public Grads-RE PROJ'!DR46/'WICHE Public Grads-RE PROJ'!AN46</f>
        <v>1.8176539951638474E-3</v>
      </c>
      <c r="CC43" s="266">
        <f>+'WICHE Public Grads-RE PROJ'!DS46/'WICHE Public Grads-RE PROJ'!AO46</f>
        <v>1.8828325744633225E-3</v>
      </c>
      <c r="CD43" s="266">
        <f>+'WICHE Public Grads-RE PROJ'!DT46/'WICHE Public Grads-RE PROJ'!AP46</f>
        <v>1.7611272254969153E-3</v>
      </c>
      <c r="CE43" s="282">
        <f>+'WICHE Public Grads-RE PROJ'!DU46/'WICHE Public Grads-RE PROJ'!AQ46</f>
        <v>2.0295262181161018E-3</v>
      </c>
      <c r="CF43" s="262">
        <f>+'WICHE Public Grads-RE PROJ'!DV46/'WICHE Public Grads-RE PROJ'!B46</f>
        <v>1.5569395017793594E-2</v>
      </c>
      <c r="CG43" s="262">
        <f>+'WICHE Public Grads-RE PROJ'!DW46/'WICHE Public Grads-RE PROJ'!C46</f>
        <v>1.4831958796492486E-2</v>
      </c>
      <c r="CH43" s="262">
        <f>+'WICHE Public Grads-RE PROJ'!DX46/'WICHE Public Grads-RE PROJ'!D46</f>
        <v>1.6034648064270837E-2</v>
      </c>
      <c r="CI43" s="262">
        <f>+'WICHE Public Grads-RE PROJ'!DY46/'WICHE Public Grads-RE PROJ'!E46</f>
        <v>1.7973647179224766E-2</v>
      </c>
      <c r="CJ43" s="262">
        <f>+'WICHE Public Grads-RE PROJ'!DZ46/'WICHE Public Grads-RE PROJ'!F46</f>
        <v>1.5873015873015872E-2</v>
      </c>
      <c r="CK43" s="262">
        <f>+'WICHE Public Grads-RE PROJ'!EA46/'WICHE Public Grads-RE PROJ'!G46</f>
        <v>1.6825319832656279E-2</v>
      </c>
      <c r="CL43" s="267">
        <f>+'WICHE Public Grads-RE PROJ'!EB46/'WICHE Public Grads-RE PROJ'!H46</f>
        <v>1.4858580245108076E-2</v>
      </c>
      <c r="CM43" s="267">
        <f>+'WICHE Public Grads-RE PROJ'!EC46/'WICHE Public Grads-RE PROJ'!I46</f>
        <v>1.4427831752865205E-2</v>
      </c>
      <c r="CN43" s="267">
        <f>+'WICHE Public Grads-RE PROJ'!ED46/'WICHE Public Grads-RE PROJ'!J46</f>
        <v>1.6123327241643576E-2</v>
      </c>
      <c r="CO43" s="267">
        <f>+'WICHE Public Grads-RE PROJ'!EE46/'WICHE Public Grads-RE PROJ'!K46</f>
        <v>2.0252265055960207E-2</v>
      </c>
      <c r="CP43" s="262">
        <f>+'WICHE Public Grads-RE PROJ'!EF46/'WICHE Public Grads-RE PROJ'!L46</f>
        <v>1.9444197815857232E-2</v>
      </c>
      <c r="CQ43" s="267">
        <f>+'WICHE Public Grads-RE PROJ'!EG46/'WICHE Public Grads-RE PROJ'!M46</f>
        <v>1.8818129661503154E-2</v>
      </c>
      <c r="CR43" s="267">
        <f>+'WICHE Public Grads-RE PROJ'!EH46/'WICHE Public Grads-RE PROJ'!N46</f>
        <v>1.9569585602376306E-2</v>
      </c>
      <c r="CS43" s="267">
        <f>+'WICHE Public Grads-RE PROJ'!EI46/'WICHE Public Grads-RE PROJ'!O46</f>
        <v>1.95248457388142E-2</v>
      </c>
      <c r="CT43" s="267">
        <f>+'WICHE Public Grads-RE PROJ'!EJ46/'WICHE Public Grads-RE PROJ'!P46</f>
        <v>2.0627430029976555E-2</v>
      </c>
      <c r="CU43" s="267">
        <f>+'WICHE Public Grads-RE PROJ'!EK46/'WICHE Public Grads-RE PROJ'!Q46</f>
        <v>1.7874410290971959E-2</v>
      </c>
      <c r="CV43" s="267">
        <f>+'WICHE Public Grads-RE PROJ'!EL46/'WICHE Public Grads-RE PROJ'!R46</f>
        <v>1.825123651404275E-2</v>
      </c>
      <c r="CW43" s="267">
        <f>+'WICHE Public Grads-RE PROJ'!EM46/'WICHE Public Grads-RE PROJ'!S46</f>
        <v>1.9365678240877204E-2</v>
      </c>
      <c r="CX43" s="267">
        <f>+'WICHE Public Grads-RE PROJ'!EN46/'WICHE Public Grads-RE PROJ'!T46</f>
        <v>1.9622656505617123E-2</v>
      </c>
      <c r="CY43" s="267">
        <f>+'WICHE Public Grads-RE PROJ'!EO46/'WICHE Public Grads-RE PROJ'!U46</f>
        <v>1.9497641624557555E-2</v>
      </c>
      <c r="CZ43" s="267">
        <f>+'WICHE Public Grads-RE PROJ'!EP46/'WICHE Public Grads-RE PROJ'!V46</f>
        <v>1.998680356202278E-2</v>
      </c>
      <c r="DA43" s="267">
        <f>+'WICHE Public Grads-RE PROJ'!EQ46/'WICHE Public Grads-RE PROJ'!W46</f>
        <v>2.2674302493129832E-2</v>
      </c>
      <c r="DB43" s="268">
        <f>+'WICHE Public Grads-RE PROJ'!ER46/'WICHE Public Grads-RE PROJ'!Y46</f>
        <v>2.3101928231475825E-2</v>
      </c>
      <c r="DC43" s="268">
        <f>+'WICHE Public Grads-RE PROJ'!ES46/'WICHE Public Grads-RE PROJ'!Z46</f>
        <v>2.4077217118780379E-2</v>
      </c>
      <c r="DD43" s="268">
        <f>+'WICHE Public Grads-RE PROJ'!ET46/'WICHE Public Grads-RE PROJ'!AA46</f>
        <v>2.4876796813571078E-2</v>
      </c>
      <c r="DE43" s="268">
        <f>+'WICHE Public Grads-RE PROJ'!EU46/'WICHE Public Grads-RE PROJ'!AB46</f>
        <v>2.4658938045178509E-2</v>
      </c>
      <c r="DF43" s="266">
        <f>+'WICHE Public Grads-RE PROJ'!EV46/'WICHE Public Grads-RE PROJ'!AC46</f>
        <v>2.881150670067651E-2</v>
      </c>
      <c r="DG43" s="266">
        <f>+'WICHE Public Grads-RE PROJ'!EW46/'WICHE Public Grads-RE PROJ'!AD46</f>
        <v>2.6432232002236048E-2</v>
      </c>
      <c r="DH43" s="266">
        <f>+'WICHE Public Grads-RE PROJ'!EX46/'WICHE Public Grads-RE PROJ'!AE46</f>
        <v>2.8925528397703008E-2</v>
      </c>
      <c r="DI43" s="266">
        <f>+'WICHE Public Grads-RE PROJ'!EY46/'WICHE Public Grads-RE PROJ'!AF46</f>
        <v>3.0330950977756382E-2</v>
      </c>
      <c r="DJ43" s="266">
        <f>+'WICHE Public Grads-RE PROJ'!EZ46/'WICHE Public Grads-RE PROJ'!AG46</f>
        <v>2.9924832039463993E-2</v>
      </c>
      <c r="DK43" s="268">
        <f>+'WICHE Public Grads-RE PROJ'!FA46/'WICHE Public Grads-RE PROJ'!AH46</f>
        <v>3.0431979174287208E-2</v>
      </c>
      <c r="DL43" s="266">
        <f>+'WICHE Public Grads-RE PROJ'!FB46/'WICHE Public Grads-RE PROJ'!AI46</f>
        <v>2.9476835704010215E-2</v>
      </c>
      <c r="DM43" s="266">
        <f>+'WICHE Public Grads-RE PROJ'!FC46/'WICHE Public Grads-RE PROJ'!AJ46</f>
        <v>3.0167979794538835E-2</v>
      </c>
      <c r="DN43" s="266">
        <f>+'WICHE Public Grads-RE PROJ'!FD46/'WICHE Public Grads-RE PROJ'!AK46</f>
        <v>2.9488236053963269E-2</v>
      </c>
      <c r="DO43" s="266">
        <f>+'WICHE Public Grads-RE PROJ'!FE46/'WICHE Public Grads-RE PROJ'!AL46</f>
        <v>3.1734109072517565E-2</v>
      </c>
      <c r="DP43" s="266">
        <f>+'WICHE Public Grads-RE PROJ'!FF46/'WICHE Public Grads-RE PROJ'!AM46</f>
        <v>3.4835195073278001E-2</v>
      </c>
      <c r="DQ43" s="266">
        <f>+'WICHE Public Grads-RE PROJ'!FG46/'WICHE Public Grads-RE PROJ'!AN46</f>
        <v>3.7552031671532773E-2</v>
      </c>
      <c r="DR43" s="266">
        <f>+'WICHE Public Grads-RE PROJ'!FH46/'WICHE Public Grads-RE PROJ'!AO46</f>
        <v>4.1181203058044735E-2</v>
      </c>
      <c r="DS43" s="266">
        <f>+'WICHE Public Grads-RE PROJ'!FI46/'WICHE Public Grads-RE PROJ'!AP46</f>
        <v>4.2314511044963907E-2</v>
      </c>
      <c r="DT43" s="282">
        <f>+'WICHE Public Grads-RE PROJ'!FJ46/'WICHE Public Grads-RE PROJ'!AQ46</f>
        <v>4.3348697096412397E-2</v>
      </c>
      <c r="DU43" s="262">
        <f>+'WICHE Public Grads-RE PROJ'!FK46/'WICHE Public Grads-RE PROJ'!B46</f>
        <v>1.7588283602518479E-2</v>
      </c>
      <c r="DV43" s="262">
        <f>+'WICHE Public Grads-RE PROJ'!FL46/'WICHE Public Grads-RE PROJ'!C46</f>
        <v>1.7244189457900055E-2</v>
      </c>
      <c r="DW43" s="262">
        <f>+'WICHE Public Grads-RE PROJ'!FM46/'WICHE Public Grads-RE PROJ'!D46</f>
        <v>2.3704830231097297E-2</v>
      </c>
      <c r="DX43" s="262">
        <f>+'WICHE Public Grads-RE PROJ'!FN46/'WICHE Public Grads-RE PROJ'!E46</f>
        <v>1.8549315594217731E-2</v>
      </c>
      <c r="DY43" s="262">
        <f>+'WICHE Public Grads-RE PROJ'!FO46/'WICHE Public Grads-RE PROJ'!F46</f>
        <v>2.0417179462905111E-2</v>
      </c>
      <c r="DZ43" s="262">
        <f>+'WICHE Public Grads-RE PROJ'!FP46/'WICHE Public Grads-RE PROJ'!G46</f>
        <v>1.8613957436488207E-2</v>
      </c>
      <c r="EA43" s="267">
        <f>+'WICHE Public Grads-RE PROJ'!FQ46/'WICHE Public Grads-RE PROJ'!H46</f>
        <v>2.0357424902746498E-2</v>
      </c>
      <c r="EB43" s="267">
        <f>+'WICHE Public Grads-RE PROJ'!FR46/'WICHE Public Grads-RE PROJ'!I46</f>
        <v>1.957647332596428E-2</v>
      </c>
      <c r="EC43" s="267">
        <f>+'WICHE Public Grads-RE PROJ'!FS46/'WICHE Public Grads-RE PROJ'!J46</f>
        <v>2.1635323940340741E-2</v>
      </c>
      <c r="ED43" s="267">
        <f>+'WICHE Public Grads-RE PROJ'!FT46/'WICHE Public Grads-RE PROJ'!K46</f>
        <v>2.0074613608100905E-2</v>
      </c>
      <c r="EE43" s="262">
        <f>+'WICHE Public Grads-RE PROJ'!FU46/'WICHE Public Grads-RE PROJ'!L46</f>
        <v>2.2374145431945307E-2</v>
      </c>
      <c r="EF43" s="267">
        <f>+'WICHE Public Grads-RE PROJ'!FV46/'WICHE Public Grads-RE PROJ'!M46</f>
        <v>2.4584050487664946E-2</v>
      </c>
      <c r="EG43" s="267">
        <f>+'WICHE Public Grads-RE PROJ'!FW46/'WICHE Public Grads-RE PROJ'!N46</f>
        <v>2.6209266431753982E-2</v>
      </c>
      <c r="EH43" s="267">
        <f>+'WICHE Public Grads-RE PROJ'!FX46/'WICHE Public Grads-RE PROJ'!O46</f>
        <v>3.0434912212716488E-2</v>
      </c>
      <c r="EI43" s="267">
        <f>+'WICHE Public Grads-RE PROJ'!FY46/'WICHE Public Grads-RE PROJ'!P46</f>
        <v>3.2380613183747367E-2</v>
      </c>
      <c r="EJ43" s="267">
        <f>+'WICHE Public Grads-RE PROJ'!FZ46/'WICHE Public Grads-RE PROJ'!Q46</f>
        <v>3.4869751223371527E-2</v>
      </c>
      <c r="EK43" s="267">
        <f>+'WICHE Public Grads-RE PROJ'!GA46/'WICHE Public Grads-RE PROJ'!R46</f>
        <v>3.6618170248459779E-2</v>
      </c>
      <c r="EL43" s="267">
        <f>+'WICHE Public Grads-RE PROJ'!GB46/'WICHE Public Grads-RE PROJ'!S46</f>
        <v>3.9615634026999941E-2</v>
      </c>
      <c r="EM43" s="267">
        <f>+'WICHE Public Grads-RE PROJ'!GC46/'WICHE Public Grads-RE PROJ'!T46</f>
        <v>3.7267862392607584E-2</v>
      </c>
      <c r="EN43" s="267">
        <f>+'WICHE Public Grads-RE PROJ'!GD46/'WICHE Public Grads-RE PROJ'!U46</f>
        <v>4.1305603825413838E-2</v>
      </c>
      <c r="EO43" s="267">
        <f>+'WICHE Public Grads-RE PROJ'!GE46/'WICHE Public Grads-RE PROJ'!V46</f>
        <v>3.9279248819554309E-2</v>
      </c>
      <c r="EP43" s="267">
        <f>+'WICHE Public Grads-RE PROJ'!GF46/'WICHE Public Grads-RE PROJ'!W46</f>
        <v>4.1213556975677607E-2</v>
      </c>
      <c r="EQ43" s="268">
        <f>+'WICHE Public Grads-RE PROJ'!GG46/'WICHE Public Grads-RE PROJ'!Y46</f>
        <v>4.3490469507320113E-2</v>
      </c>
      <c r="ER43" s="268">
        <f>+'WICHE Public Grads-RE PROJ'!GH46/'WICHE Public Grads-RE PROJ'!Z46</f>
        <v>4.4802581691665455E-2</v>
      </c>
      <c r="ES43" s="268">
        <f>+'WICHE Public Grads-RE PROJ'!GI46/'WICHE Public Grads-RE PROJ'!AA46</f>
        <v>4.3757705513272363E-2</v>
      </c>
      <c r="ET43" s="268">
        <f>+'WICHE Public Grads-RE PROJ'!GJ46/'WICHE Public Grads-RE PROJ'!AB46</f>
        <v>4.4580038536123037E-2</v>
      </c>
      <c r="EU43" s="266">
        <f>+'WICHE Public Grads-RE PROJ'!GK46/'WICHE Public Grads-RE PROJ'!AC46</f>
        <v>4.5423409099827616E-2</v>
      </c>
      <c r="EV43" s="266">
        <f>+'WICHE Public Grads-RE PROJ'!GL46/'WICHE Public Grads-RE PROJ'!AD46</f>
        <v>4.590055393292413E-2</v>
      </c>
      <c r="EW43" s="266">
        <f>+'WICHE Public Grads-RE PROJ'!GM46/'WICHE Public Grads-RE PROJ'!AE46</f>
        <v>4.5049402318986083E-2</v>
      </c>
      <c r="EX43" s="266">
        <f>+'WICHE Public Grads-RE PROJ'!GN46/'WICHE Public Grads-RE PROJ'!AF46</f>
        <v>4.6337958143512541E-2</v>
      </c>
      <c r="EY43" s="266">
        <f>+'WICHE Public Grads-RE PROJ'!GO46/'WICHE Public Grads-RE PROJ'!AG46</f>
        <v>4.767988210832954E-2</v>
      </c>
      <c r="EZ43" s="268">
        <f>+'WICHE Public Grads-RE PROJ'!GP46/'WICHE Public Grads-RE PROJ'!AH46</f>
        <v>4.6020626792210959E-2</v>
      </c>
      <c r="FA43" s="266">
        <f>+'WICHE Public Grads-RE PROJ'!GQ46/'WICHE Public Grads-RE PROJ'!AI46</f>
        <v>4.645142244473497E-2</v>
      </c>
      <c r="FB43" s="266">
        <f>+'WICHE Public Grads-RE PROJ'!GR46/'WICHE Public Grads-RE PROJ'!AJ46</f>
        <v>4.8453883418509439E-2</v>
      </c>
      <c r="FC43" s="266">
        <f>+'WICHE Public Grads-RE PROJ'!GS46/'WICHE Public Grads-RE PROJ'!AK46</f>
        <v>5.3072809451393692E-2</v>
      </c>
      <c r="FD43" s="266">
        <f>+'WICHE Public Grads-RE PROJ'!GT46/'WICHE Public Grads-RE PROJ'!AL46</f>
        <v>5.7358097015763249E-2</v>
      </c>
      <c r="FE43" s="266">
        <f>+'WICHE Public Grads-RE PROJ'!GU46/'WICHE Public Grads-RE PROJ'!AM46</f>
        <v>5.630462333689068E-2</v>
      </c>
      <c r="FF43" s="266">
        <f>+'WICHE Public Grads-RE PROJ'!GV46/'WICHE Public Grads-RE PROJ'!AN46</f>
        <v>5.6671909649984413E-2</v>
      </c>
      <c r="FG43" s="266">
        <f>+'WICHE Public Grads-RE PROJ'!GW46/'WICHE Public Grads-RE PROJ'!AO46</f>
        <v>6.0700671267752339E-2</v>
      </c>
      <c r="FH43" s="266">
        <f>+'WICHE Public Grads-RE PROJ'!GX46/'WICHE Public Grads-RE PROJ'!AP46</f>
        <v>6.39070241914136E-2</v>
      </c>
      <c r="FI43" s="282">
        <f>+'WICHE Public Grads-RE PROJ'!GY46/'WICHE Public Grads-RE PROJ'!AQ46</f>
        <v>7.0163718662407892E-2</v>
      </c>
      <c r="FJ43" s="262">
        <f>+'WICHE Public Grads-RE PROJ'!GZ46/'WICHE Public Grads-RE PROJ'!B46</f>
        <v>1.2181768409526417E-2</v>
      </c>
      <c r="FK43" s="262">
        <f>+'WICHE Public Grads-RE PROJ'!HA46/'WICHE Public Grads-RE PROJ'!C46</f>
        <v>1.1148417381099847E-2</v>
      </c>
      <c r="FL43" s="262">
        <f>+'WICHE Public Grads-RE PROJ'!HB46/'WICHE Public Grads-RE PROJ'!D46</f>
        <v>1.3852613482328826E-2</v>
      </c>
      <c r="FM43" s="262">
        <f>+'WICHE Public Grads-RE PROJ'!HC46/'WICHE Public Grads-RE PROJ'!E46</f>
        <v>1.2888576180120251E-2</v>
      </c>
      <c r="FN43" s="262">
        <f>+'WICHE Public Grads-RE PROJ'!HD46/'WICHE Public Grads-RE PROJ'!F46</f>
        <v>1.2748903404967024E-2</v>
      </c>
      <c r="FO43" s="262">
        <f>+'WICHE Public Grads-RE PROJ'!HE46/'WICHE Public Grads-RE PROJ'!G46</f>
        <v>1.5885527193354756E-2</v>
      </c>
      <c r="FP43" s="267">
        <f>+'WICHE Public Grads-RE PROJ'!HF46/'WICHE Public Grads-RE PROJ'!H46</f>
        <v>1.5531311240457457E-2</v>
      </c>
      <c r="FQ43" s="267">
        <f>+'WICHE Public Grads-RE PROJ'!HG46/'WICHE Public Grads-RE PROJ'!I46</f>
        <v>1.454418523474315E-2</v>
      </c>
      <c r="FR43" s="267">
        <f>+'WICHE Public Grads-RE PROJ'!HH46/'WICHE Public Grads-RE PROJ'!J46</f>
        <v>1.5828568059895066E-2</v>
      </c>
      <c r="FS43" s="267">
        <f>+'WICHE Public Grads-RE PROJ'!HI46/'WICHE Public Grads-RE PROJ'!K46</f>
        <v>1.7232190442352104E-2</v>
      </c>
      <c r="FT43" s="262">
        <f>+'WICHE Public Grads-RE PROJ'!HJ46/'WICHE Public Grads-RE PROJ'!L46</f>
        <v>1.9532984107253841E-2</v>
      </c>
      <c r="FU43" s="267">
        <f>+'WICHE Public Grads-RE PROJ'!HK46/'WICHE Public Grads-RE PROJ'!M46</f>
        <v>2.1457257601835915E-2</v>
      </c>
      <c r="FV43" s="267">
        <f>+'WICHE Public Grads-RE PROJ'!HL46/'WICHE Public Grads-RE PROJ'!N46</f>
        <v>2.7024665831852996E-2</v>
      </c>
      <c r="FW43" s="267">
        <f>+'WICHE Public Grads-RE PROJ'!HM46/'WICHE Public Grads-RE PROJ'!O46</f>
        <v>2.9779115867290668E-2</v>
      </c>
      <c r="FX43" s="267">
        <f>+'WICHE Public Grads-RE PROJ'!HN46/'WICHE Public Grads-RE PROJ'!P46</f>
        <v>3.2647730982696702E-2</v>
      </c>
      <c r="FY43" s="267">
        <f>+'WICHE Public Grads-RE PROJ'!HO46/'WICHE Public Grads-RE PROJ'!Q46</f>
        <v>3.3873472616989482E-2</v>
      </c>
      <c r="FZ43" s="267">
        <f>+'WICHE Public Grads-RE PROJ'!HP46/'WICHE Public Grads-RE PROJ'!R46</f>
        <v>3.6647094553553354E-2</v>
      </c>
      <c r="GA43" s="267">
        <f>+'WICHE Public Grads-RE PROJ'!HQ46/'WICHE Public Grads-RE PROJ'!S46</f>
        <v>3.9880917290573602E-2</v>
      </c>
      <c r="GB43" s="267">
        <f>+'WICHE Public Grads-RE PROJ'!HR46/'WICHE Public Grads-RE PROJ'!T46</f>
        <v>5.205733851778771E-2</v>
      </c>
      <c r="GC43" s="267">
        <f>+'WICHE Public Grads-RE PROJ'!HS46/'WICHE Public Grads-RE PROJ'!U46</f>
        <v>5.674534014710661E-2</v>
      </c>
      <c r="GD43" s="267">
        <f>+'WICHE Public Grads-RE PROJ'!HT46/'WICHE Public Grads-RE PROJ'!V46</f>
        <v>6.1540776406861272E-2</v>
      </c>
      <c r="GE43" s="267">
        <f>+'WICHE Public Grads-RE PROJ'!HU46/'WICHE Public Grads-RE PROJ'!W46</f>
        <v>6.8452746712547627E-2</v>
      </c>
      <c r="GF43" s="268">
        <f>+'WICHE Public Grads-RE PROJ'!HV46/'WICHE Public Grads-RE PROJ'!Y46</f>
        <v>7.1045712454565355E-2</v>
      </c>
      <c r="GG43" s="268">
        <f>+'WICHE Public Grads-RE PROJ'!HW46/'WICHE Public Grads-RE PROJ'!Z46</f>
        <v>7.6576222237220506E-2</v>
      </c>
      <c r="GH43" s="268">
        <f>+'WICHE Public Grads-RE PROJ'!HX46/'WICHE Public Grads-RE PROJ'!AA46</f>
        <v>7.8801546900082994E-2</v>
      </c>
      <c r="GI43" s="268">
        <f>+'WICHE Public Grads-RE PROJ'!HY46/'WICHE Public Grads-RE PROJ'!AB46</f>
        <v>8.2574920709740166E-2</v>
      </c>
      <c r="GJ43" s="266">
        <f>+'WICHE Public Grads-RE PROJ'!HZ46/'WICHE Public Grads-RE PROJ'!AC46</f>
        <v>9.1438640593322074E-2</v>
      </c>
      <c r="GK43" s="266">
        <f>+'WICHE Public Grads-RE PROJ'!IA46/'WICHE Public Grads-RE PROJ'!AD46</f>
        <v>9.2235082268130389E-2</v>
      </c>
      <c r="GL43" s="266">
        <f>+'WICHE Public Grads-RE PROJ'!IB46/'WICHE Public Grads-RE PROJ'!AE46</f>
        <v>9.8965038947604236E-2</v>
      </c>
      <c r="GM43" s="266">
        <f>+'WICHE Public Grads-RE PROJ'!IC46/'WICHE Public Grads-RE PROJ'!AF46</f>
        <v>0.10037895301702418</v>
      </c>
      <c r="GN43" s="266">
        <f>+'WICHE Public Grads-RE PROJ'!ID46/'WICHE Public Grads-RE PROJ'!AG46</f>
        <v>0.10651106048973877</v>
      </c>
      <c r="GO43" s="268">
        <f>+'WICHE Public Grads-RE PROJ'!IE46/'WICHE Public Grads-RE PROJ'!AH46</f>
        <v>0.11293552372574769</v>
      </c>
      <c r="GP43" s="266">
        <f>+'WICHE Public Grads-RE PROJ'!IF46/'WICHE Public Grads-RE PROJ'!AI46</f>
        <v>0.11980794998824978</v>
      </c>
      <c r="GQ43" s="266">
        <f>+'WICHE Public Grads-RE PROJ'!IG46/'WICHE Public Grads-RE PROJ'!AJ46</f>
        <v>0.12208144433258605</v>
      </c>
      <c r="GR43" s="266">
        <f>+'WICHE Public Grads-RE PROJ'!IH46/'WICHE Public Grads-RE PROJ'!AK46</f>
        <v>0.12231349851554885</v>
      </c>
      <c r="GS43" s="266">
        <f>+'WICHE Public Grads-RE PROJ'!II46/'WICHE Public Grads-RE PROJ'!AL46</f>
        <v>0.11900612952625918</v>
      </c>
      <c r="GT43" s="266">
        <f>+'WICHE Public Grads-RE PROJ'!IJ46/'WICHE Public Grads-RE PROJ'!AM46</f>
        <v>0.11770095696515016</v>
      </c>
      <c r="GU43" s="266">
        <f>+'WICHE Public Grads-RE PROJ'!IK46/'WICHE Public Grads-RE PROJ'!AN46</f>
        <v>0.12073682983259236</v>
      </c>
      <c r="GV43" s="266">
        <f>+'WICHE Public Grads-RE PROJ'!IL46/'WICHE Public Grads-RE PROJ'!AO46</f>
        <v>0.12046822659416789</v>
      </c>
      <c r="GW43" s="266">
        <f>+'WICHE Public Grads-RE PROJ'!IM46/'WICHE Public Grads-RE PROJ'!AP46</f>
        <v>0.12005261674159896</v>
      </c>
      <c r="GX43" s="282">
        <f>+'WICHE Public Grads-RE PROJ'!IN46/'WICHE Public Grads-RE PROJ'!AQ46</f>
        <v>0.12339270073746485</v>
      </c>
      <c r="GY43" s="262">
        <f>+'WICHE Public Grads-RE PROJ'!IO46/'WICHE Public Grads-RE PROJ'!B46</f>
        <v>0.94976731453599783</v>
      </c>
      <c r="GZ43" s="262">
        <f>+'WICHE Public Grads-RE PROJ'!IP46/'WICHE Public Grads-RE PROJ'!C46</f>
        <v>0.95530853734067867</v>
      </c>
      <c r="HA43" s="262">
        <f>+'WICHE Public Grads-RE PROJ'!IQ46/'WICHE Public Grads-RE PROJ'!D46</f>
        <v>0.94445730155056695</v>
      </c>
      <c r="HB43" s="262">
        <f>+'WICHE Public Grads-RE PROJ'!IR46/'WICHE Public Grads-RE PROJ'!E46</f>
        <v>0.94838173212229759</v>
      </c>
      <c r="HC43" s="262">
        <f>+'WICHE Public Grads-RE PROJ'!IS46/'WICHE Public Grads-RE PROJ'!F46</f>
        <v>0.94922528322130706</v>
      </c>
      <c r="HD43" s="262">
        <f>+'WICHE Public Grads-RE PROJ'!IT46/'WICHE Public Grads-RE PROJ'!G46</f>
        <v>0.94646213545140367</v>
      </c>
      <c r="HE43" s="267">
        <f>+'WICHE Public Grads-RE PROJ'!IU46/'WICHE Public Grads-RE PROJ'!H46</f>
        <v>0.9467957530199772</v>
      </c>
      <c r="HF43" s="267">
        <f>+'WICHE Public Grads-RE PROJ'!IV46/'WICHE Public Grads-RE PROJ'!I46</f>
        <v>0.94883355634417355</v>
      </c>
      <c r="HG43" s="267">
        <f>+'WICHE Public Grads-RE PROJ'!IW46/'WICHE Public Grads-RE PROJ'!J46</f>
        <v>0.94423156281318166</v>
      </c>
      <c r="HH43" s="267">
        <f>+'WICHE Public Grads-RE PROJ'!IX46/'WICHE Public Grads-RE PROJ'!K46</f>
        <v>0.93616391306922486</v>
      </c>
      <c r="HI43" s="262">
        <f>+'WICHE Public Grads-RE PROJ'!IY46/'WICHE Public Grads-RE PROJ'!L46</f>
        <v>0.93545236615466576</v>
      </c>
      <c r="HJ43" s="267">
        <f>+'WICHE Public Grads-RE PROJ'!IZ46/'WICHE Public Grads-RE PROJ'!M46</f>
        <v>0.93158347676419961</v>
      </c>
      <c r="HK43" s="267">
        <f>+'WICHE Public Grads-RE PROJ'!JA46/'WICHE Public Grads-RE PROJ'!N46</f>
        <v>0.92367279186930318</v>
      </c>
      <c r="HL43" s="267">
        <f>+'WICHE Public Grads-RE PROJ'!JB46/'WICHE Public Grads-RE PROJ'!O46</f>
        <v>0.91537246251527704</v>
      </c>
      <c r="HM43" s="267">
        <f>+'WICHE Public Grads-RE PROJ'!JC46/'WICHE Public Grads-RE PROJ'!P46</f>
        <v>0.90971418395512416</v>
      </c>
      <c r="HN43" s="267">
        <f>+'WICHE Public Grads-RE PROJ'!JD46/'WICHE Public Grads-RE PROJ'!Q46</f>
        <v>0.9089284144519002</v>
      </c>
      <c r="HO43" s="267">
        <f>+'WICHE Public Grads-RE PROJ'!JE46/'WICHE Public Grads-RE PROJ'!R46</f>
        <v>0.90388453417406645</v>
      </c>
      <c r="HP43" s="267">
        <f>+'WICHE Public Grads-RE PROJ'!JF46/'WICHE Public Grads-RE PROJ'!S46</f>
        <v>0.89659847904262213</v>
      </c>
      <c r="HQ43" s="267">
        <f>+'WICHE Public Grads-RE PROJ'!JG46/'WICHE Public Grads-RE PROJ'!T46</f>
        <v>0.8863807161247016</v>
      </c>
      <c r="HR43" s="267">
        <f>+'WICHE Public Grads-RE PROJ'!JH46/'WICHE Public Grads-RE PROJ'!U46</f>
        <v>0.87818842396744301</v>
      </c>
      <c r="HS43" s="267">
        <f>+'WICHE Public Grads-RE PROJ'!JI46/'WICHE Public Grads-RE PROJ'!V46</f>
        <v>0.87541308703328058</v>
      </c>
      <c r="HT43" s="267">
        <f>+'WICHE Public Grads-RE PROJ'!JJ46/'WICHE Public Grads-RE PROJ'!W46</f>
        <v>0.86283895826233603</v>
      </c>
      <c r="HU43" s="268">
        <f>+'WICHE Public Grads-RE PROJ'!JK46/'WICHE Public Grads-RE PROJ'!Y46</f>
        <v>0.85561079641167448</v>
      </c>
      <c r="HV43" s="268">
        <f>+'WICHE Public Grads-RE PROJ'!JL46/'WICHE Public Grads-RE PROJ'!Z46</f>
        <v>0.84781089130277321</v>
      </c>
      <c r="HW43" s="268">
        <f>+'WICHE Public Grads-RE PROJ'!JM46/'WICHE Public Grads-RE PROJ'!AA46</f>
        <v>0.84692603959718904</v>
      </c>
      <c r="HX43" s="268">
        <f>+'WICHE Public Grads-RE PROJ'!JN46/'WICHE Public Grads-RE PROJ'!AB46</f>
        <v>0.84214124755277531</v>
      </c>
      <c r="HY43" s="266">
        <f>+'WICHE Public Grads-RE PROJ'!JO46/'WICHE Public Grads-RE PROJ'!AC46</f>
        <v>0.82873699360912401</v>
      </c>
      <c r="HZ43" s="266">
        <f>+'WICHE Public Grads-RE PROJ'!JP46/'WICHE Public Grads-RE PROJ'!AD46</f>
        <v>0.82981710977923939</v>
      </c>
      <c r="IA43" s="266">
        <f>+'WICHE Public Grads-RE PROJ'!JQ46/'WICHE Public Grads-RE PROJ'!AE46</f>
        <v>0.82269542853746469</v>
      </c>
      <c r="IB43" s="266">
        <f>+'WICHE Public Grads-RE PROJ'!JR46/'WICHE Public Grads-RE PROJ'!AF46</f>
        <v>0.81852744160031832</v>
      </c>
      <c r="IC43" s="266">
        <f>+'WICHE Public Grads-RE PROJ'!JS46/'WICHE Public Grads-RE PROJ'!AG46</f>
        <v>0.81166687836241458</v>
      </c>
      <c r="ID43" s="268">
        <f>+'WICHE Public Grads-RE PROJ'!JT46/'WICHE Public Grads-RE PROJ'!AH46</f>
        <v>0.80733494689279606</v>
      </c>
      <c r="IE43" s="266">
        <f>+'WICHE Public Grads-RE PROJ'!JU46/'WICHE Public Grads-RE PROJ'!AI46</f>
        <v>0.80225149641900395</v>
      </c>
      <c r="IF43" s="266">
        <f>+'WICHE Public Grads-RE PROJ'!JV46/'WICHE Public Grads-RE PROJ'!AJ46</f>
        <v>0.79701132681084841</v>
      </c>
      <c r="IG43" s="266">
        <f>+'WICHE Public Grads-RE PROJ'!JW46/'WICHE Public Grads-RE PROJ'!AK46</f>
        <v>0.79647582590841959</v>
      </c>
      <c r="IH43" s="266">
        <f>+'WICHE Public Grads-RE PROJ'!JX46/'WICHE Public Grads-RE PROJ'!AL46</f>
        <v>0.79377439644128611</v>
      </c>
      <c r="II43" s="266">
        <f>+'WICHE Public Grads-RE PROJ'!JY46/'WICHE Public Grads-RE PROJ'!AM46</f>
        <v>0.79235145352163416</v>
      </c>
      <c r="IJ43" s="266">
        <f>+'WICHE Public Grads-RE PROJ'!JZ46/'WICHE Public Grads-RE PROJ'!AN46</f>
        <v>0.78799024180236821</v>
      </c>
      <c r="IK43" s="266">
        <f>+'WICHE Public Grads-RE PROJ'!KA46/'WICHE Public Grads-RE PROJ'!AO46</f>
        <v>0.78186918238915248</v>
      </c>
      <c r="IL43" s="266">
        <f>+'WICHE Public Grads-RE PROJ'!KB46/'WICHE Public Grads-RE PROJ'!AP46</f>
        <v>0.779664251889431</v>
      </c>
      <c r="IM43" s="282">
        <f>+'WICHE Public Grads-RE PROJ'!KC46/'WICHE Public Grads-RE PROJ'!AQ46</f>
        <v>0.77079425038126614</v>
      </c>
      <c r="IN43" s="278">
        <f t="shared" si="82"/>
        <v>1</v>
      </c>
      <c r="IO43" s="278">
        <f t="shared" si="83"/>
        <v>1</v>
      </c>
      <c r="IP43" s="278">
        <f t="shared" si="84"/>
        <v>1</v>
      </c>
      <c r="IQ43" s="278">
        <f t="shared" si="85"/>
        <v>1</v>
      </c>
      <c r="IR43" s="278">
        <f t="shared" si="86"/>
        <v>1</v>
      </c>
      <c r="IS43" s="278">
        <f t="shared" si="87"/>
        <v>1</v>
      </c>
      <c r="IT43" s="278">
        <f t="shared" si="88"/>
        <v>1</v>
      </c>
      <c r="IU43" s="278">
        <f t="shared" si="89"/>
        <v>1</v>
      </c>
      <c r="IV43" s="278">
        <f t="shared" si="90"/>
        <v>1</v>
      </c>
      <c r="IW43" s="278">
        <f t="shared" si="91"/>
        <v>1</v>
      </c>
      <c r="IX43" s="278">
        <f t="shared" si="92"/>
        <v>1</v>
      </c>
      <c r="IY43" s="278">
        <f t="shared" si="93"/>
        <v>1</v>
      </c>
      <c r="IZ43" s="278">
        <f t="shared" si="94"/>
        <v>1</v>
      </c>
      <c r="JA43" s="278">
        <f t="shared" si="95"/>
        <v>1</v>
      </c>
      <c r="JB43" s="278">
        <f t="shared" si="96"/>
        <v>1</v>
      </c>
      <c r="JC43" s="278">
        <f t="shared" si="97"/>
        <v>1</v>
      </c>
      <c r="JD43" s="278">
        <f t="shared" si="98"/>
        <v>1</v>
      </c>
      <c r="JE43" s="278">
        <f t="shared" si="99"/>
        <v>1</v>
      </c>
      <c r="JF43" s="278">
        <f t="shared" si="100"/>
        <v>1</v>
      </c>
      <c r="JG43" s="278">
        <f t="shared" si="101"/>
        <v>1</v>
      </c>
      <c r="JH43" s="278">
        <f t="shared" si="102"/>
        <v>1</v>
      </c>
      <c r="JI43" s="278">
        <f t="shared" si="103"/>
        <v>1</v>
      </c>
      <c r="JJ43" s="278">
        <f t="shared" si="104"/>
        <v>0.99733435693822248</v>
      </c>
      <c r="JK43" s="278">
        <f t="shared" si="105"/>
        <v>0.99741395294218749</v>
      </c>
      <c r="JL43" s="278">
        <f t="shared" si="106"/>
        <v>0.99766255591412845</v>
      </c>
      <c r="JM43" s="278">
        <f t="shared" si="107"/>
        <v>0.99708597600975857</v>
      </c>
      <c r="JN43" s="278">
        <f t="shared" si="108"/>
        <v>0.99741428201996363</v>
      </c>
      <c r="JO43" s="278">
        <f t="shared" si="109"/>
        <v>0.99721156786123399</v>
      </c>
      <c r="JP43" s="278">
        <f t="shared" si="110"/>
        <v>0.99809579800371484</v>
      </c>
      <c r="JQ43" s="278">
        <f t="shared" si="111"/>
        <v>0.99804064400738168</v>
      </c>
      <c r="JR43" s="278">
        <f t="shared" si="112"/>
        <v>0.99803917178649737</v>
      </c>
      <c r="JS43" s="278">
        <f t="shared" si="113"/>
        <v>0.99895553356844369</v>
      </c>
      <c r="JT43" s="278">
        <f t="shared" si="114"/>
        <v>0.99988249778235794</v>
      </c>
      <c r="JU43" s="278">
        <f t="shared" si="115"/>
        <v>0.9996770469282108</v>
      </c>
      <c r="JV43" s="278">
        <f t="shared" si="116"/>
        <v>1.0033888561638804</v>
      </c>
      <c r="JW43" s="278">
        <f t="shared" si="117"/>
        <v>1.0036937270777095</v>
      </c>
      <c r="JX43" s="278">
        <f t="shared" si="118"/>
        <v>1.0031580297606757</v>
      </c>
      <c r="JY43" s="278">
        <f t="shared" si="119"/>
        <v>1.0047686669516416</v>
      </c>
      <c r="JZ43" s="278">
        <f t="shared" si="119"/>
        <v>1.0061021158835808</v>
      </c>
      <c r="KA43" s="278">
        <f t="shared" si="119"/>
        <v>1.0076995310929044</v>
      </c>
      <c r="KB43" s="278">
        <f t="shared" si="119"/>
        <v>1.0097288930956674</v>
      </c>
    </row>
    <row r="44" spans="1:288" s="17" customFormat="1">
      <c r="A44" s="175" t="s">
        <v>68</v>
      </c>
      <c r="B44" s="262">
        <f>+'WICHE Public Grads-RE PROJ'!AR47/'WICHE Public Grads-RE PROJ'!B47</f>
        <v>2.7311533838948982E-2</v>
      </c>
      <c r="C44" s="262">
        <f>+'WICHE Public Grads-RE PROJ'!AS47/'WICHE Public Grads-RE PROJ'!C47</f>
        <v>2.9288025889967637E-2</v>
      </c>
      <c r="D44" s="262">
        <f>+'WICHE Public Grads-RE PROJ'!AT47/'WICHE Public Grads-RE PROJ'!D47</f>
        <v>2.9108574588253881E-2</v>
      </c>
      <c r="E44" s="262">
        <f>+'WICHE Public Grads-RE PROJ'!AU47/'WICHE Public Grads-RE PROJ'!E47</f>
        <v>3.0392344497607655E-2</v>
      </c>
      <c r="F44" s="262">
        <f>+'WICHE Public Grads-RE PROJ'!AV47/'WICHE Public Grads-RE PROJ'!F47</f>
        <v>3.086946405025983E-2</v>
      </c>
      <c r="G44" s="262">
        <f>+'WICHE Public Grads-RE PROJ'!AW47/'WICHE Public Grads-RE PROJ'!G47</f>
        <v>3.1034223956769739E-2</v>
      </c>
      <c r="H44" s="267">
        <f>+'WICHE Public Grads-RE PROJ'!AX47/'WICHE Public Grads-RE PROJ'!H47</f>
        <v>3.1196151636990237E-2</v>
      </c>
      <c r="I44" s="267">
        <f>+'WICHE Public Grads-RE PROJ'!AY47/'WICHE Public Grads-RE PROJ'!I47</f>
        <v>2.9806519086630644E-2</v>
      </c>
      <c r="J44" s="267">
        <f>+'WICHE Public Grads-RE PROJ'!AZ47/'WICHE Public Grads-RE PROJ'!J47</f>
        <v>3.2849975946670329E-2</v>
      </c>
      <c r="K44" s="267">
        <f>+'WICHE Public Grads-RE PROJ'!BA47/'WICHE Public Grads-RE PROJ'!K47</f>
        <v>3.3140326975476836E-2</v>
      </c>
      <c r="L44" s="262">
        <f>+'WICHE Public Grads-RE PROJ'!BB47/'WICHE Public Grads-RE PROJ'!L47</f>
        <v>3.2768017331843875E-2</v>
      </c>
      <c r="M44" s="267">
        <f>+'WICHE Public Grads-RE PROJ'!BC47/'WICHE Public Grads-RE PROJ'!M47</f>
        <v>3.3574742182024497E-2</v>
      </c>
      <c r="N44" s="267">
        <f>+'WICHE Public Grads-RE PROJ'!BD47/'WICHE Public Grads-RE PROJ'!N47</f>
        <v>3.6809815950920248E-2</v>
      </c>
      <c r="O44" s="267">
        <f>+'WICHE Public Grads-RE PROJ'!BE47/'WICHE Public Grads-RE PROJ'!O47</f>
        <v>3.4854225004117938E-2</v>
      </c>
      <c r="P44" s="267">
        <f>+'WICHE Public Grads-RE PROJ'!BF47/'WICHE Public Grads-RE PROJ'!P47</f>
        <v>3.6588637735595946E-2</v>
      </c>
      <c r="Q44" s="267">
        <f>+'WICHE Public Grads-RE PROJ'!BG47/'WICHE Public Grads-RE PROJ'!Q47</f>
        <v>3.3179601181193799E-2</v>
      </c>
      <c r="R44" s="267">
        <f>+'WICHE Public Grads-RE PROJ'!BH47/'WICHE Public Grads-RE PROJ'!R47</f>
        <v>3.5527214757458438E-2</v>
      </c>
      <c r="S44" s="267">
        <f>+'WICHE Public Grads-RE PROJ'!BI47/'WICHE Public Grads-RE PROJ'!S47</f>
        <v>3.809931506849315E-2</v>
      </c>
      <c r="T44" s="267">
        <f>+'WICHE Public Grads-RE PROJ'!BJ47/'WICHE Public Grads-RE PROJ'!T47</f>
        <v>3.7501248286232483E-2</v>
      </c>
      <c r="U44" s="267">
        <f>+'WICHE Public Grads-RE PROJ'!BK47/'WICHE Public Grads-RE PROJ'!U47</f>
        <v>3.9752575056724866E-2</v>
      </c>
      <c r="V44" s="267">
        <f>+'WICHE Public Grads-RE PROJ'!BL47/'WICHE Public Grads-RE PROJ'!V47</f>
        <v>3.8318841915667243E-2</v>
      </c>
      <c r="W44" s="267">
        <f>+'WICHE Public Grads-RE PROJ'!BM47/'WICHE Public Grads-RE PROJ'!W47</f>
        <v>3.8370352936538364E-2</v>
      </c>
      <c r="X44" s="268">
        <f>+'WICHE Public Grads-RE PROJ'!BN47/'WICHE Public Grads-RE PROJ'!Y47</f>
        <v>4.0035576936925089E-2</v>
      </c>
      <c r="Y44" s="268">
        <f>+'WICHE Public Grads-RE PROJ'!BO47/'WICHE Public Grads-RE PROJ'!Z47</f>
        <v>4.1617394807577576E-2</v>
      </c>
      <c r="Z44" s="268">
        <f>+'WICHE Public Grads-RE PROJ'!BP47/'WICHE Public Grads-RE PROJ'!AA47</f>
        <v>4.1775241423541658E-2</v>
      </c>
      <c r="AA44" s="268">
        <f>+'WICHE Public Grads-RE PROJ'!BQ47/'WICHE Public Grads-RE PROJ'!AB47</f>
        <v>3.8175877541882931E-2</v>
      </c>
      <c r="AB44" s="266">
        <f>+'WICHE Public Grads-RE PROJ'!BR47/'WICHE Public Grads-RE PROJ'!AC47</f>
        <v>4.1964476860136775E-2</v>
      </c>
      <c r="AC44" s="266">
        <f>+'WICHE Public Grads-RE PROJ'!BS47/'WICHE Public Grads-RE PROJ'!AD47</f>
        <v>3.9569913448252489E-2</v>
      </c>
      <c r="AD44" s="266">
        <f>+'WICHE Public Grads-RE PROJ'!BT47/'WICHE Public Grads-RE PROJ'!AE47</f>
        <v>4.1276618066398756E-2</v>
      </c>
      <c r="AE44" s="266">
        <f>+'WICHE Public Grads-RE PROJ'!BU47/'WICHE Public Grads-RE PROJ'!AF47</f>
        <v>4.2221989138931174E-2</v>
      </c>
      <c r="AF44" s="266">
        <f>+'WICHE Public Grads-RE PROJ'!BV47/'WICHE Public Grads-RE PROJ'!AG47</f>
        <v>4.2195687292717436E-2</v>
      </c>
      <c r="AG44" s="268">
        <f>+'WICHE Public Grads-RE PROJ'!BW47/'WICHE Public Grads-RE PROJ'!AH47</f>
        <v>4.1172873311975722E-2</v>
      </c>
      <c r="AH44" s="266">
        <f>+'WICHE Public Grads-RE PROJ'!BX47/'WICHE Public Grads-RE PROJ'!AI47</f>
        <v>4.0414765121223779E-2</v>
      </c>
      <c r="AI44" s="266">
        <f>+'WICHE Public Grads-RE PROJ'!BY47/'WICHE Public Grads-RE PROJ'!AJ47</f>
        <v>3.9620762283244501E-2</v>
      </c>
      <c r="AJ44" s="266">
        <f>+'WICHE Public Grads-RE PROJ'!BZ47/'WICHE Public Grads-RE PROJ'!AK47</f>
        <v>4.0836538698018475E-2</v>
      </c>
      <c r="AK44" s="266">
        <f>+'WICHE Public Grads-RE PROJ'!CA47/'WICHE Public Grads-RE PROJ'!AL47</f>
        <v>4.1267206701845909E-2</v>
      </c>
      <c r="AL44" s="266">
        <f>+'WICHE Public Grads-RE PROJ'!CB47/'WICHE Public Grads-RE PROJ'!AM47</f>
        <v>4.0455041055060835E-2</v>
      </c>
      <c r="AM44" s="266">
        <f>+'WICHE Public Grads-RE PROJ'!CC47/'WICHE Public Grads-RE PROJ'!AN47</f>
        <v>4.1498032691329539E-2</v>
      </c>
      <c r="AN44" s="266">
        <f>+'WICHE Public Grads-RE PROJ'!CD47/'WICHE Public Grads-RE PROJ'!AO47</f>
        <v>4.2590954451140056E-2</v>
      </c>
      <c r="AO44" s="266">
        <f>+'WICHE Public Grads-RE PROJ'!CE47/'WICHE Public Grads-RE PROJ'!AP47</f>
        <v>4.3761578064821921E-2</v>
      </c>
      <c r="AP44" s="282">
        <f>+'WICHE Public Grads-RE PROJ'!CF47/'WICHE Public Grads-RE PROJ'!AQ47</f>
        <v>4.3522357610723802E-2</v>
      </c>
      <c r="AQ44" s="262">
        <f>+'WICHE Public Grads-RE PROJ'!CG47/'WICHE Public Grads-RE PROJ'!B47</f>
        <v>6.8382444361556631E-3</v>
      </c>
      <c r="AR44" s="262">
        <f>+'WICHE Public Grads-RE PROJ'!CH47/'WICHE Public Grads-RE PROJ'!C47</f>
        <v>8.0097087378640779E-3</v>
      </c>
      <c r="AS44" s="262">
        <f>+'WICHE Public Grads-RE PROJ'!CI47/'WICHE Public Grads-RE PROJ'!D47</f>
        <v>7.4647497926458393E-3</v>
      </c>
      <c r="AT44" s="262">
        <f>+'WICHE Public Grads-RE PROJ'!CJ47/'WICHE Public Grads-RE PROJ'!E47</f>
        <v>7.6555023923444978E-3</v>
      </c>
      <c r="AU44" s="262">
        <f>+'WICHE Public Grads-RE PROJ'!CK47/'WICHE Public Grads-RE PROJ'!F47</f>
        <v>9.1910338943612807E-3</v>
      </c>
      <c r="AV44" s="262">
        <f>+'WICHE Public Grads-RE PROJ'!CL47/'WICHE Public Grads-RE PROJ'!G47</f>
        <v>9.531672170519364E-3</v>
      </c>
      <c r="AW44" s="267">
        <f>+'WICHE Public Grads-RE PROJ'!CM47/'WICHE Public Grads-RE PROJ'!H47</f>
        <v>9.8721998851234918E-3</v>
      </c>
      <c r="AX44" s="267">
        <f>+'WICHE Public Grads-RE PROJ'!CN47/'WICHE Public Grads-RE PROJ'!I47</f>
        <v>8.9245250130730348E-3</v>
      </c>
      <c r="AY44" s="267">
        <f>+'WICHE Public Grads-RE PROJ'!CO47/'WICHE Public Grads-RE PROJ'!J47</f>
        <v>9.4495223695965913E-3</v>
      </c>
      <c r="AZ44" s="267">
        <f>+'WICHE Public Grads-RE PROJ'!CP47/'WICHE Public Grads-RE PROJ'!K47</f>
        <v>9.2302452316076287E-3</v>
      </c>
      <c r="BA44" s="262">
        <f>+'WICHE Public Grads-RE PROJ'!CQ47/'WICHE Public Grads-RE PROJ'!L47</f>
        <v>9.5799058935039441E-3</v>
      </c>
      <c r="BB44" s="267">
        <f>+'WICHE Public Grads-RE PROJ'!CR47/'WICHE Public Grads-RE PROJ'!M47</f>
        <v>1.064646397223242E-2</v>
      </c>
      <c r="BC44" s="267">
        <f>+'WICHE Public Grads-RE PROJ'!CS47/'WICHE Public Grads-RE PROJ'!N47</f>
        <v>1.3496932515337423E-2</v>
      </c>
      <c r="BD44" s="267">
        <f>+'WICHE Public Grads-RE PROJ'!CT47/'WICHE Public Grads-RE PROJ'!O47</f>
        <v>1.2320869708450009E-2</v>
      </c>
      <c r="BE44" s="267">
        <f>+'WICHE Public Grads-RE PROJ'!CU47/'WICHE Public Grads-RE PROJ'!P47</f>
        <v>1.0698235964853444E-2</v>
      </c>
      <c r="BF44" s="267">
        <f>+'WICHE Public Grads-RE PROJ'!CV47/'WICHE Public Grads-RE PROJ'!Q47</f>
        <v>1.1214705199243506E-2</v>
      </c>
      <c r="BG44" s="267">
        <f>+'WICHE Public Grads-RE PROJ'!CW47/'WICHE Public Grads-RE PROJ'!R47</f>
        <v>1.2428018349220809E-2</v>
      </c>
      <c r="BH44" s="267">
        <f>+'WICHE Public Grads-RE PROJ'!CX47/'WICHE Public Grads-RE PROJ'!S47</f>
        <v>1.3764488935721813E-2</v>
      </c>
      <c r="BI44" s="267">
        <f>+'WICHE Public Grads-RE PROJ'!CY47/'WICHE Public Grads-RE PROJ'!T47</f>
        <v>1.2506941801793325E-2</v>
      </c>
      <c r="BJ44" s="267">
        <f>+'WICHE Public Grads-RE PROJ'!CZ47/'WICHE Public Grads-RE PROJ'!U47</f>
        <v>1.2499645343672037E-2</v>
      </c>
      <c r="BK44" s="267">
        <f>+'WICHE Public Grads-RE PROJ'!DA47/'WICHE Public Grads-RE PROJ'!V47</f>
        <v>1.1828816526548561E-2</v>
      </c>
      <c r="BL44" s="267">
        <f>+'WICHE Public Grads-RE PROJ'!DB47/'WICHE Public Grads-RE PROJ'!W47</f>
        <v>1.2096394436135671E-2</v>
      </c>
      <c r="BM44" s="268">
        <f>+'WICHE Public Grads-RE PROJ'!DC47/'WICHE Public Grads-RE PROJ'!Y47</f>
        <v>1.1606132717200847E-2</v>
      </c>
      <c r="BN44" s="268">
        <f>+'WICHE Public Grads-RE PROJ'!DD47/'WICHE Public Grads-RE PROJ'!Z47</f>
        <v>1.1029769776370591E-2</v>
      </c>
      <c r="BO44" s="268">
        <f>+'WICHE Public Grads-RE PROJ'!DE47/'WICHE Public Grads-RE PROJ'!AA47</f>
        <v>1.1185274607402462E-2</v>
      </c>
      <c r="BP44" s="268">
        <f>+'WICHE Public Grads-RE PROJ'!DF47/'WICHE Public Grads-RE PROJ'!AB47</f>
        <v>1.0126656394088933E-2</v>
      </c>
      <c r="BQ44" s="266">
        <f>+'WICHE Public Grads-RE PROJ'!DG47/'WICHE Public Grads-RE PROJ'!AC47</f>
        <v>9.9314421767544188E-3</v>
      </c>
      <c r="BR44" s="266">
        <f>+'WICHE Public Grads-RE PROJ'!DH47/'WICHE Public Grads-RE PROJ'!AD47</f>
        <v>8.1775366063213811E-3</v>
      </c>
      <c r="BS44" s="266">
        <f>+'WICHE Public Grads-RE PROJ'!DI47/'WICHE Public Grads-RE PROJ'!AE47</f>
        <v>7.7416877513923387E-3</v>
      </c>
      <c r="BT44" s="266">
        <f>+'WICHE Public Grads-RE PROJ'!DJ47/'WICHE Public Grads-RE PROJ'!AF47</f>
        <v>7.2710670383905355E-3</v>
      </c>
      <c r="BU44" s="266">
        <f>+'WICHE Public Grads-RE PROJ'!DK47/'WICHE Public Grads-RE PROJ'!AG47</f>
        <v>6.9144258601060897E-3</v>
      </c>
      <c r="BV44" s="268">
        <f>+'WICHE Public Grads-RE PROJ'!DL47/'WICHE Public Grads-RE PROJ'!AH47</f>
        <v>6.5290109597061817E-3</v>
      </c>
      <c r="BW44" s="266">
        <f>+'WICHE Public Grads-RE PROJ'!DM47/'WICHE Public Grads-RE PROJ'!AI47</f>
        <v>5.6377199706673401E-3</v>
      </c>
      <c r="BX44" s="266">
        <f>+'WICHE Public Grads-RE PROJ'!DN47/'WICHE Public Grads-RE PROJ'!AJ47</f>
        <v>4.819006720333658E-3</v>
      </c>
      <c r="BY44" s="266">
        <f>+'WICHE Public Grads-RE PROJ'!DO47/'WICHE Public Grads-RE PROJ'!AK47</f>
        <v>5.0178759585986178E-3</v>
      </c>
      <c r="BZ44" s="266">
        <f>+'WICHE Public Grads-RE PROJ'!DP47/'WICHE Public Grads-RE PROJ'!AL47</f>
        <v>4.5592623794299203E-3</v>
      </c>
      <c r="CA44" s="266">
        <f>+'WICHE Public Grads-RE PROJ'!DQ47/'WICHE Public Grads-RE PROJ'!AM47</f>
        <v>4.4583289268881965E-3</v>
      </c>
      <c r="CB44" s="266">
        <f>+'WICHE Public Grads-RE PROJ'!DR47/'WICHE Public Grads-RE PROJ'!AN47</f>
        <v>4.8696909364671324E-3</v>
      </c>
      <c r="CC44" s="266">
        <f>+'WICHE Public Grads-RE PROJ'!DS47/'WICHE Public Grads-RE PROJ'!AO47</f>
        <v>4.1607810047512746E-3</v>
      </c>
      <c r="CD44" s="266">
        <f>+'WICHE Public Grads-RE PROJ'!DT47/'WICHE Public Grads-RE PROJ'!AP47</f>
        <v>4.0233232217815667E-3</v>
      </c>
      <c r="CE44" s="282">
        <f>+'WICHE Public Grads-RE PROJ'!DU47/'WICHE Public Grads-RE PROJ'!AQ47</f>
        <v>4.9069229718959485E-3</v>
      </c>
      <c r="CF44" s="262">
        <f>+'WICHE Public Grads-RE PROJ'!DV47/'WICHE Public Grads-RE PROJ'!B47</f>
        <v>2.0473289402793318E-2</v>
      </c>
      <c r="CG44" s="262">
        <f>+'WICHE Public Grads-RE PROJ'!DW47/'WICHE Public Grads-RE PROJ'!C47</f>
        <v>2.127831715210356E-2</v>
      </c>
      <c r="CH44" s="262">
        <f>+'WICHE Public Grads-RE PROJ'!DX47/'WICHE Public Grads-RE PROJ'!D47</f>
        <v>2.164382479560804E-2</v>
      </c>
      <c r="CI44" s="262">
        <f>+'WICHE Public Grads-RE PROJ'!DY47/'WICHE Public Grads-RE PROJ'!E47</f>
        <v>2.2736842105263159E-2</v>
      </c>
      <c r="CJ44" s="262">
        <f>+'WICHE Public Grads-RE PROJ'!DZ47/'WICHE Public Grads-RE PROJ'!F47</f>
        <v>2.167843015589855E-2</v>
      </c>
      <c r="CK44" s="262">
        <f>+'WICHE Public Grads-RE PROJ'!EA47/'WICHE Public Grads-RE PROJ'!G47</f>
        <v>2.1502551786250376E-2</v>
      </c>
      <c r="CL44" s="267">
        <f>+'WICHE Public Grads-RE PROJ'!EB47/'WICHE Public Grads-RE PROJ'!H47</f>
        <v>2.1323951751866743E-2</v>
      </c>
      <c r="CM44" s="267">
        <f>+'WICHE Public Grads-RE PROJ'!EC47/'WICHE Public Grads-RE PROJ'!I47</f>
        <v>2.0881994073557609E-2</v>
      </c>
      <c r="CN44" s="267">
        <f>+'WICHE Public Grads-RE PROJ'!ED47/'WICHE Public Grads-RE PROJ'!J47</f>
        <v>2.3400453577073741E-2</v>
      </c>
      <c r="CO44" s="267">
        <f>+'WICHE Public Grads-RE PROJ'!EE47/'WICHE Public Grads-RE PROJ'!K47</f>
        <v>2.3910081743869209E-2</v>
      </c>
      <c r="CP44" s="262">
        <f>+'WICHE Public Grads-RE PROJ'!EF47/'WICHE Public Grads-RE PROJ'!L47</f>
        <v>2.3188111438339935E-2</v>
      </c>
      <c r="CQ44" s="267">
        <f>+'WICHE Public Grads-RE PROJ'!EG47/'WICHE Public Grads-RE PROJ'!M47</f>
        <v>2.2928278209792076E-2</v>
      </c>
      <c r="CR44" s="267">
        <f>+'WICHE Public Grads-RE PROJ'!EH47/'WICHE Public Grads-RE PROJ'!N47</f>
        <v>2.3312883435582823E-2</v>
      </c>
      <c r="CS44" s="267">
        <f>+'WICHE Public Grads-RE PROJ'!EI47/'WICHE Public Grads-RE PROJ'!O47</f>
        <v>2.2533355295667929E-2</v>
      </c>
      <c r="CT44" s="267">
        <f>+'WICHE Public Grads-RE PROJ'!EJ47/'WICHE Public Grads-RE PROJ'!P47</f>
        <v>2.5890401770742505E-2</v>
      </c>
      <c r="CU44" s="267">
        <f>+'WICHE Public Grads-RE PROJ'!EK47/'WICHE Public Grads-RE PROJ'!Q47</f>
        <v>2.1964895981950297E-2</v>
      </c>
      <c r="CV44" s="267">
        <f>+'WICHE Public Grads-RE PROJ'!EL47/'WICHE Public Grads-RE PROJ'!R47</f>
        <v>2.309919640823763E-2</v>
      </c>
      <c r="CW44" s="267">
        <f>+'WICHE Public Grads-RE PROJ'!EM47/'WICHE Public Grads-RE PROJ'!S47</f>
        <v>2.4334826132771339E-2</v>
      </c>
      <c r="CX44" s="267">
        <f>+'WICHE Public Grads-RE PROJ'!EN47/'WICHE Public Grads-RE PROJ'!T47</f>
        <v>2.4994306484439153E-2</v>
      </c>
      <c r="CY44" s="267">
        <f>+'WICHE Public Grads-RE PROJ'!EO47/'WICHE Public Grads-RE PROJ'!U47</f>
        <v>2.7252929713052824E-2</v>
      </c>
      <c r="CZ44" s="267">
        <f>+'WICHE Public Grads-RE PROJ'!EP47/'WICHE Public Grads-RE PROJ'!V47</f>
        <v>2.6490025389118679E-2</v>
      </c>
      <c r="DA44" s="267">
        <f>+'WICHE Public Grads-RE PROJ'!EQ47/'WICHE Public Grads-RE PROJ'!W47</f>
        <v>2.6273958500402695E-2</v>
      </c>
      <c r="DB44" s="268">
        <f>+'WICHE Public Grads-RE PROJ'!ER47/'WICHE Public Grads-RE PROJ'!Y47</f>
        <v>2.842944421972424E-2</v>
      </c>
      <c r="DC44" s="268">
        <f>+'WICHE Public Grads-RE PROJ'!ES47/'WICHE Public Grads-RE PROJ'!Z47</f>
        <v>3.0587625031206985E-2</v>
      </c>
      <c r="DD44" s="268">
        <f>+'WICHE Public Grads-RE PROJ'!ET47/'WICHE Public Grads-RE PROJ'!AA47</f>
        <v>3.0589966816139198E-2</v>
      </c>
      <c r="DE44" s="268">
        <f>+'WICHE Public Grads-RE PROJ'!EU47/'WICHE Public Grads-RE PROJ'!AB47</f>
        <v>2.8049221147793998E-2</v>
      </c>
      <c r="DF44" s="266">
        <f>+'WICHE Public Grads-RE PROJ'!EV47/'WICHE Public Grads-RE PROJ'!AC47</f>
        <v>3.203303468338236E-2</v>
      </c>
      <c r="DG44" s="266">
        <f>+'WICHE Public Grads-RE PROJ'!EW47/'WICHE Public Grads-RE PROJ'!AD47</f>
        <v>3.1392376841931115E-2</v>
      </c>
      <c r="DH44" s="266">
        <f>+'WICHE Public Grads-RE PROJ'!EX47/'WICHE Public Grads-RE PROJ'!AE47</f>
        <v>3.3534930315006414E-2</v>
      </c>
      <c r="DI44" s="266">
        <f>+'WICHE Public Grads-RE PROJ'!EY47/'WICHE Public Grads-RE PROJ'!AF47</f>
        <v>3.4950922100540641E-2</v>
      </c>
      <c r="DJ44" s="266">
        <f>+'WICHE Public Grads-RE PROJ'!EZ47/'WICHE Public Grads-RE PROJ'!AG47</f>
        <v>3.5281261432611344E-2</v>
      </c>
      <c r="DK44" s="268">
        <f>+'WICHE Public Grads-RE PROJ'!FA47/'WICHE Public Grads-RE PROJ'!AH47</f>
        <v>3.4643862352269537E-2</v>
      </c>
      <c r="DL44" s="266">
        <f>+'WICHE Public Grads-RE PROJ'!FB47/'WICHE Public Grads-RE PROJ'!AI47</f>
        <v>3.4777045150556435E-2</v>
      </c>
      <c r="DM44" s="266">
        <f>+'WICHE Public Grads-RE PROJ'!FC47/'WICHE Public Grads-RE PROJ'!AJ47</f>
        <v>3.4801755562910847E-2</v>
      </c>
      <c r="DN44" s="266">
        <f>+'WICHE Public Grads-RE PROJ'!FD47/'WICHE Public Grads-RE PROJ'!AK47</f>
        <v>3.581866273941986E-2</v>
      </c>
      <c r="DO44" s="266">
        <f>+'WICHE Public Grads-RE PROJ'!FE47/'WICHE Public Grads-RE PROJ'!AL47</f>
        <v>3.6707944322415989E-2</v>
      </c>
      <c r="DP44" s="266">
        <f>+'WICHE Public Grads-RE PROJ'!FF47/'WICHE Public Grads-RE PROJ'!AM47</f>
        <v>3.5996712128172639E-2</v>
      </c>
      <c r="DQ44" s="266">
        <f>+'WICHE Public Grads-RE PROJ'!FG47/'WICHE Public Grads-RE PROJ'!AN47</f>
        <v>3.6628341754862404E-2</v>
      </c>
      <c r="DR44" s="266">
        <f>+'WICHE Public Grads-RE PROJ'!FH47/'WICHE Public Grads-RE PROJ'!AO47</f>
        <v>3.8430173446388778E-2</v>
      </c>
      <c r="DS44" s="266">
        <f>+'WICHE Public Grads-RE PROJ'!FI47/'WICHE Public Grads-RE PROJ'!AP47</f>
        <v>3.973825484304036E-2</v>
      </c>
      <c r="DT44" s="282">
        <f>+'WICHE Public Grads-RE PROJ'!FJ47/'WICHE Public Grads-RE PROJ'!AQ47</f>
        <v>3.8615434638827856E-2</v>
      </c>
      <c r="DU44" s="262">
        <f>+'WICHE Public Grads-RE PROJ'!FK47/'WICHE Public Grads-RE PROJ'!B47</f>
        <v>6.3533507397737166E-2</v>
      </c>
      <c r="DV44" s="262">
        <f>+'WICHE Public Grads-RE PROJ'!FL47/'WICHE Public Grads-RE PROJ'!C47</f>
        <v>5.533980582524272E-2</v>
      </c>
      <c r="DW44" s="262">
        <f>+'WICHE Public Grads-RE PROJ'!FM47/'WICHE Public Grads-RE PROJ'!D47</f>
        <v>5.8138157115209921E-2</v>
      </c>
      <c r="DX44" s="262">
        <f>+'WICHE Public Grads-RE PROJ'!FN47/'WICHE Public Grads-RE PROJ'!E47</f>
        <v>6.074641148325359E-2</v>
      </c>
      <c r="DY44" s="262">
        <f>+'WICHE Public Grads-RE PROJ'!FO47/'WICHE Public Grads-RE PROJ'!F47</f>
        <v>6.03428216861863E-2</v>
      </c>
      <c r="DZ44" s="262">
        <f>+'WICHE Public Grads-RE PROJ'!FP47/'WICHE Public Grads-RE PROJ'!G47</f>
        <v>6.0679975983188229E-2</v>
      </c>
      <c r="EA44" s="267">
        <f>+'WICHE Public Grads-RE PROJ'!FQ47/'WICHE Public Grads-RE PROJ'!H47</f>
        <v>6.0992245835726593E-2</v>
      </c>
      <c r="EB44" s="267">
        <f>+'WICHE Public Grads-RE PROJ'!FR47/'WICHE Public Grads-RE PROJ'!I47</f>
        <v>6.0519435244901519E-2</v>
      </c>
      <c r="EC44" s="267">
        <f>+'WICHE Public Grads-RE PROJ'!FS47/'WICHE Public Grads-RE PROJ'!J47</f>
        <v>6.0683114562573019E-2</v>
      </c>
      <c r="ED44" s="267">
        <f>+'WICHE Public Grads-RE PROJ'!FT47/'WICHE Public Grads-RE PROJ'!K47</f>
        <v>6.2806539509536782E-2</v>
      </c>
      <c r="EE44" s="262">
        <f>+'WICHE Public Grads-RE PROJ'!FU47/'WICHE Public Grads-RE PROJ'!L47</f>
        <v>6.2827934057750251E-2</v>
      </c>
      <c r="EF44" s="267">
        <f>+'WICHE Public Grads-RE PROJ'!FV47/'WICHE Public Grads-RE PROJ'!M47</f>
        <v>6.5013516670560365E-2</v>
      </c>
      <c r="EG44" s="267">
        <f>+'WICHE Public Grads-RE PROJ'!FW47/'WICHE Public Grads-RE PROJ'!N47</f>
        <v>7.1530426131653127E-2</v>
      </c>
      <c r="EH44" s="267">
        <f>+'WICHE Public Grads-RE PROJ'!FX47/'WICHE Public Grads-RE PROJ'!O47</f>
        <v>7.3431065722286276E-2</v>
      </c>
      <c r="EI44" s="267">
        <f>+'WICHE Public Grads-RE PROJ'!FY47/'WICHE Public Grads-RE PROJ'!P47</f>
        <v>7.2171171775437651E-2</v>
      </c>
      <c r="EJ44" s="267">
        <f>+'WICHE Public Grads-RE PROJ'!FZ47/'WICHE Public Grads-RE PROJ'!Q47</f>
        <v>7.4189588241149337E-2</v>
      </c>
      <c r="EK44" s="267">
        <f>+'WICHE Public Grads-RE PROJ'!GA47/'WICHE Public Grads-RE PROJ'!R47</f>
        <v>7.2128054136708197E-2</v>
      </c>
      <c r="EL44" s="267">
        <f>+'WICHE Public Grads-RE PROJ'!GB47/'WICHE Public Grads-RE PROJ'!S47</f>
        <v>7.6429135932560593E-2</v>
      </c>
      <c r="EM44" s="267">
        <f>+'WICHE Public Grads-RE PROJ'!GC47/'WICHE Public Grads-RE PROJ'!T47</f>
        <v>7.492016939177111E-2</v>
      </c>
      <c r="EN44" s="267">
        <f>+'WICHE Public Grads-RE PROJ'!GD47/'WICHE Public Grads-RE PROJ'!U47</f>
        <v>7.5502481114119321E-2</v>
      </c>
      <c r="EO44" s="267">
        <f>+'WICHE Public Grads-RE PROJ'!GE47/'WICHE Public Grads-RE PROJ'!V47</f>
        <v>7.6133834534609493E-2</v>
      </c>
      <c r="EP44" s="267">
        <f>+'WICHE Public Grads-RE PROJ'!GF47/'WICHE Public Grads-RE PROJ'!W47</f>
        <v>7.3333341545254671E-2</v>
      </c>
      <c r="EQ44" s="268">
        <f>+'WICHE Public Grads-RE PROJ'!GG47/'WICHE Public Grads-RE PROJ'!Y47</f>
        <v>6.9653136449799369E-2</v>
      </c>
      <c r="ER44" s="268">
        <f>+'WICHE Public Grads-RE PROJ'!GH47/'WICHE Public Grads-RE PROJ'!Z47</f>
        <v>6.9082619589796682E-2</v>
      </c>
      <c r="ES44" s="268">
        <f>+'WICHE Public Grads-RE PROJ'!GI47/'WICHE Public Grads-RE PROJ'!AA47</f>
        <v>6.9174987614399122E-2</v>
      </c>
      <c r="ET44" s="268">
        <f>+'WICHE Public Grads-RE PROJ'!GJ47/'WICHE Public Grads-RE PROJ'!AB47</f>
        <v>6.8615195431020543E-2</v>
      </c>
      <c r="EU44" s="266">
        <f>+'WICHE Public Grads-RE PROJ'!GK47/'WICHE Public Grads-RE PROJ'!AC47</f>
        <v>6.6430832876911122E-2</v>
      </c>
      <c r="EV44" s="266">
        <f>+'WICHE Public Grads-RE PROJ'!GL47/'WICHE Public Grads-RE PROJ'!AD47</f>
        <v>6.4187620956782016E-2</v>
      </c>
      <c r="EW44" s="266">
        <f>+'WICHE Public Grads-RE PROJ'!GM47/'WICHE Public Grads-RE PROJ'!AE47</f>
        <v>6.5466670654981796E-2</v>
      </c>
      <c r="EX44" s="266">
        <f>+'WICHE Public Grads-RE PROJ'!GN47/'WICHE Public Grads-RE PROJ'!AF47</f>
        <v>6.3294282822036377E-2</v>
      </c>
      <c r="EY44" s="266">
        <f>+'WICHE Public Grads-RE PROJ'!GO47/'WICHE Public Grads-RE PROJ'!AG47</f>
        <v>6.0624209768929169E-2</v>
      </c>
      <c r="EZ44" s="268">
        <f>+'WICHE Public Grads-RE PROJ'!GP47/'WICHE Public Grads-RE PROJ'!AH47</f>
        <v>6.2159446260623287E-2</v>
      </c>
      <c r="FA44" s="266">
        <f>+'WICHE Public Grads-RE PROJ'!GQ47/'WICHE Public Grads-RE PROJ'!AI47</f>
        <v>6.2846883514206447E-2</v>
      </c>
      <c r="FB44" s="266">
        <f>+'WICHE Public Grads-RE PROJ'!GR47/'WICHE Public Grads-RE PROJ'!AJ47</f>
        <v>6.0374611270766959E-2</v>
      </c>
      <c r="FC44" s="266">
        <f>+'WICHE Public Grads-RE PROJ'!GS47/'WICHE Public Grads-RE PROJ'!AK47</f>
        <v>6.4811001598980275E-2</v>
      </c>
      <c r="FD44" s="266">
        <f>+'WICHE Public Grads-RE PROJ'!GT47/'WICHE Public Grads-RE PROJ'!AL47</f>
        <v>6.3371836986196042E-2</v>
      </c>
      <c r="FE44" s="266">
        <f>+'WICHE Public Grads-RE PROJ'!GU47/'WICHE Public Grads-RE PROJ'!AM47</f>
        <v>6.4070597097958509E-2</v>
      </c>
      <c r="FF44" s="266">
        <f>+'WICHE Public Grads-RE PROJ'!GV47/'WICHE Public Grads-RE PROJ'!AN47</f>
        <v>6.2913175701403451E-2</v>
      </c>
      <c r="FG44" s="266">
        <f>+'WICHE Public Grads-RE PROJ'!GW47/'WICHE Public Grads-RE PROJ'!AO47</f>
        <v>6.2276161853527259E-2</v>
      </c>
      <c r="FH44" s="266">
        <f>+'WICHE Public Grads-RE PROJ'!GX47/'WICHE Public Grads-RE PROJ'!AP47</f>
        <v>6.1236012893821551E-2</v>
      </c>
      <c r="FI44" s="282">
        <f>+'WICHE Public Grads-RE PROJ'!GY47/'WICHE Public Grads-RE PROJ'!AQ47</f>
        <v>6.3765005306587991E-2</v>
      </c>
      <c r="FJ44" s="262">
        <f>+'WICHE Public Grads-RE PROJ'!GZ47/'WICHE Public Grads-RE PROJ'!B47</f>
        <v>3.3901114841062618E-2</v>
      </c>
      <c r="FK44" s="262">
        <f>+'WICHE Public Grads-RE PROJ'!HA47/'WICHE Public Grads-RE PROJ'!C47</f>
        <v>3.7661812297734625E-2</v>
      </c>
      <c r="FL44" s="262">
        <f>+'WICHE Public Grads-RE PROJ'!HB47/'WICHE Public Grads-RE PROJ'!D47</f>
        <v>3.977250286346222E-2</v>
      </c>
      <c r="FM44" s="262">
        <f>+'WICHE Public Grads-RE PROJ'!HC47/'WICHE Public Grads-RE PROJ'!E47</f>
        <v>4.1952153110047845E-2</v>
      </c>
      <c r="FN44" s="262">
        <f>+'WICHE Public Grads-RE PROJ'!HD47/'WICHE Public Grads-RE PROJ'!F47</f>
        <v>4.0680989684324827E-2</v>
      </c>
      <c r="FO44" s="262">
        <f>+'WICHE Public Grads-RE PROJ'!HE47/'WICHE Public Grads-RE PROJ'!G47</f>
        <v>4.1916841789252479E-2</v>
      </c>
      <c r="FP44" s="267">
        <f>+'WICHE Public Grads-RE PROJ'!HF47/'WICHE Public Grads-RE PROJ'!H47</f>
        <v>4.3186387133831133E-2</v>
      </c>
      <c r="FQ44" s="267">
        <f>+'WICHE Public Grads-RE PROJ'!HG47/'WICHE Public Grads-RE PROJ'!I47</f>
        <v>4.364650514206031E-2</v>
      </c>
      <c r="FR44" s="267">
        <f>+'WICHE Public Grads-RE PROJ'!HH47/'WICHE Public Grads-RE PROJ'!J47</f>
        <v>4.1406088928595972E-2</v>
      </c>
      <c r="FS44" s="267">
        <f>+'WICHE Public Grads-RE PROJ'!HI47/'WICHE Public Grads-RE PROJ'!K47</f>
        <v>4.5061307901907356E-2</v>
      </c>
      <c r="FT44" s="262">
        <f>+'WICHE Public Grads-RE PROJ'!HJ47/'WICHE Public Grads-RE PROJ'!L47</f>
        <v>5.0709183846179888E-2</v>
      </c>
      <c r="FU44" s="267">
        <f>+'WICHE Public Grads-RE PROJ'!HK47/'WICHE Public Grads-RE PROJ'!M47</f>
        <v>5.6069151954076697E-2</v>
      </c>
      <c r="FV44" s="267">
        <f>+'WICHE Public Grads-RE PROJ'!HL47/'WICHE Public Grads-RE PROJ'!N47</f>
        <v>5.8298789587133144E-2</v>
      </c>
      <c r="FW44" s="267">
        <f>+'WICHE Public Grads-RE PROJ'!HM47/'WICHE Public Grads-RE PROJ'!O47</f>
        <v>6.6512930324493499E-2</v>
      </c>
      <c r="FX44" s="267">
        <f>+'WICHE Public Grads-RE PROJ'!HN47/'WICHE Public Grads-RE PROJ'!P47</f>
        <v>6.9018713528741032E-2</v>
      </c>
      <c r="FY44" s="267">
        <f>+'WICHE Public Grads-RE PROJ'!HO47/'WICHE Public Grads-RE PROJ'!Q47</f>
        <v>7.5749029496665454E-2</v>
      </c>
      <c r="FZ44" s="267">
        <f>+'WICHE Public Grads-RE PROJ'!HP47/'WICHE Public Grads-RE PROJ'!R47</f>
        <v>8.0489312554901257E-2</v>
      </c>
      <c r="GA44" s="267">
        <f>+'WICHE Public Grads-RE PROJ'!HQ47/'WICHE Public Grads-RE PROJ'!S47</f>
        <v>8.7427555321390932E-2</v>
      </c>
      <c r="GB44" s="267">
        <f>+'WICHE Public Grads-RE PROJ'!HR47/'WICHE Public Grads-RE PROJ'!T47</f>
        <v>0.10960116301118766</v>
      </c>
      <c r="GC44" s="267">
        <f>+'WICHE Public Grads-RE PROJ'!HS47/'WICHE Public Grads-RE PROJ'!U47</f>
        <v>0.12017851450430347</v>
      </c>
      <c r="GD44" s="267">
        <f>+'WICHE Public Grads-RE PROJ'!HT47/'WICHE Public Grads-RE PROJ'!V47</f>
        <v>0.12718665747068783</v>
      </c>
      <c r="GE44" s="267">
        <f>+'WICHE Public Grads-RE PROJ'!HU47/'WICHE Public Grads-RE PROJ'!W47</f>
        <v>0.13633231000563875</v>
      </c>
      <c r="GF44" s="268">
        <f>+'WICHE Public Grads-RE PROJ'!HV47/'WICHE Public Grads-RE PROJ'!Y47</f>
        <v>0.13811315629413873</v>
      </c>
      <c r="GG44" s="268">
        <f>+'WICHE Public Grads-RE PROJ'!HW47/'WICHE Public Grads-RE PROJ'!Z47</f>
        <v>0.1494459325135517</v>
      </c>
      <c r="GH44" s="268">
        <f>+'WICHE Public Grads-RE PROJ'!HX47/'WICHE Public Grads-RE PROJ'!AA47</f>
        <v>0.15875286898213348</v>
      </c>
      <c r="GI44" s="268">
        <f>+'WICHE Public Grads-RE PROJ'!HY47/'WICHE Public Grads-RE PROJ'!AB47</f>
        <v>0.16426727060107499</v>
      </c>
      <c r="GJ44" s="266">
        <f>+'WICHE Public Grads-RE PROJ'!HZ47/'WICHE Public Grads-RE PROJ'!AC47</f>
        <v>0.17301099523549882</v>
      </c>
      <c r="GK44" s="266">
        <f>+'WICHE Public Grads-RE PROJ'!IA47/'WICHE Public Grads-RE PROJ'!AD47</f>
        <v>0.1801437769461908</v>
      </c>
      <c r="GL44" s="266">
        <f>+'WICHE Public Grads-RE PROJ'!IB47/'WICHE Public Grads-RE PROJ'!AE47</f>
        <v>0.18731728676105494</v>
      </c>
      <c r="GM44" s="266">
        <f>+'WICHE Public Grads-RE PROJ'!IC47/'WICHE Public Grads-RE PROJ'!AF47</f>
        <v>0.19402193784568592</v>
      </c>
      <c r="GN44" s="266">
        <f>+'WICHE Public Grads-RE PROJ'!ID47/'WICHE Public Grads-RE PROJ'!AG47</f>
        <v>0.2023288593039137</v>
      </c>
      <c r="GO44" s="268">
        <f>+'WICHE Public Grads-RE PROJ'!IE47/'WICHE Public Grads-RE PROJ'!AH47</f>
        <v>0.21030897432293022</v>
      </c>
      <c r="GP44" s="266">
        <f>+'WICHE Public Grads-RE PROJ'!IF47/'WICHE Public Grads-RE PROJ'!AI47</f>
        <v>0.21503821222935912</v>
      </c>
      <c r="GQ44" s="266">
        <f>+'WICHE Public Grads-RE PROJ'!IG47/'WICHE Public Grads-RE PROJ'!AJ47</f>
        <v>0.21881403544913808</v>
      </c>
      <c r="GR44" s="266">
        <f>+'WICHE Public Grads-RE PROJ'!IH47/'WICHE Public Grads-RE PROJ'!AK47</f>
        <v>0.22499206731860191</v>
      </c>
      <c r="GS44" s="266">
        <f>+'WICHE Public Grads-RE PROJ'!II47/'WICHE Public Grads-RE PROJ'!AL47</f>
        <v>0.22772829345030865</v>
      </c>
      <c r="GT44" s="266">
        <f>+'WICHE Public Grads-RE PROJ'!IJ47/'WICHE Public Grads-RE PROJ'!AM47</f>
        <v>0.21753523275609465</v>
      </c>
      <c r="GU44" s="266">
        <f>+'WICHE Public Grads-RE PROJ'!IK47/'WICHE Public Grads-RE PROJ'!AN47</f>
        <v>0.21801584929172635</v>
      </c>
      <c r="GV44" s="266">
        <f>+'WICHE Public Grads-RE PROJ'!IL47/'WICHE Public Grads-RE PROJ'!AO47</f>
        <v>0.2148783882446364</v>
      </c>
      <c r="GW44" s="266">
        <f>+'WICHE Public Grads-RE PROJ'!IM47/'WICHE Public Grads-RE PROJ'!AP47</f>
        <v>0.21821666973072915</v>
      </c>
      <c r="GX44" s="282">
        <f>+'WICHE Public Grads-RE PROJ'!IN47/'WICHE Public Grads-RE PROJ'!AQ47</f>
        <v>0.21558017657325526</v>
      </c>
      <c r="GY44" s="262">
        <f>+'WICHE Public Grads-RE PROJ'!IO47/'WICHE Public Grads-RE PROJ'!B47</f>
        <v>0.87525384392225125</v>
      </c>
      <c r="GZ44" s="262">
        <f>+'WICHE Public Grads-RE PROJ'!IP47/'WICHE Public Grads-RE PROJ'!C47</f>
        <v>0.87771035598705505</v>
      </c>
      <c r="HA44" s="262">
        <f>+'WICHE Public Grads-RE PROJ'!IQ47/'WICHE Public Grads-RE PROJ'!D47</f>
        <v>0.87298076543307401</v>
      </c>
      <c r="HB44" s="262">
        <f>+'WICHE Public Grads-RE PROJ'!IR47/'WICHE Public Grads-RE PROJ'!E47</f>
        <v>0.86690909090909096</v>
      </c>
      <c r="HC44" s="262">
        <f>+'WICHE Public Grads-RE PROJ'!IS47/'WICHE Public Grads-RE PROJ'!F47</f>
        <v>0.86810672457922899</v>
      </c>
      <c r="HD44" s="262">
        <f>+'WICHE Public Grads-RE PROJ'!IT47/'WICHE Public Grads-RE PROJ'!G47</f>
        <v>0.86636895827078952</v>
      </c>
      <c r="HE44" s="267">
        <f>+'WICHE Public Grads-RE PROJ'!IU47/'WICHE Public Grads-RE PROJ'!H47</f>
        <v>0.86462521539345205</v>
      </c>
      <c r="HF44" s="267">
        <f>+'WICHE Public Grads-RE PROJ'!IV47/'WICHE Public Grads-RE PROJ'!I47</f>
        <v>0.86602754052640751</v>
      </c>
      <c r="HG44" s="267">
        <f>+'WICHE Public Grads-RE PROJ'!IW47/'WICHE Public Grads-RE PROJ'!J47</f>
        <v>0.86506082056216071</v>
      </c>
      <c r="HH44" s="267">
        <f>+'WICHE Public Grads-RE PROJ'!IX47/'WICHE Public Grads-RE PROJ'!K47</f>
        <v>0.85899182561307907</v>
      </c>
      <c r="HI44" s="262">
        <f>+'WICHE Public Grads-RE PROJ'!IY47/'WICHE Public Grads-RE PROJ'!L47</f>
        <v>0.85369486476422596</v>
      </c>
      <c r="HJ44" s="267">
        <f>+'WICHE Public Grads-RE PROJ'!IZ47/'WICHE Public Grads-RE PROJ'!M47</f>
        <v>0.84347361746153593</v>
      </c>
      <c r="HK44" s="267">
        <f>+'WICHE Public Grads-RE PROJ'!JA47/'WICHE Public Grads-RE PROJ'!N47</f>
        <v>0.82699386503067485</v>
      </c>
      <c r="HL44" s="267">
        <f>+'WICHE Public Grads-RE PROJ'!JB47/'WICHE Public Grads-RE PROJ'!O47</f>
        <v>0.81482457585241308</v>
      </c>
      <c r="HM44" s="267">
        <f>+'WICHE Public Grads-RE PROJ'!JC47/'WICHE Public Grads-RE PROJ'!P47</f>
        <v>0.82222147696022541</v>
      </c>
      <c r="HN44" s="267">
        <f>+'WICHE Public Grads-RE PROJ'!JD47/'WICHE Public Grads-RE PROJ'!Q47</f>
        <v>0.79159892498092177</v>
      </c>
      <c r="HO44" s="267">
        <f>+'WICHE Public Grads-RE PROJ'!JE47/'WICHE Public Grads-RE PROJ'!R47</f>
        <v>0.79217230048475773</v>
      </c>
      <c r="HP44" s="267">
        <f>+'WICHE Public Grads-RE PROJ'!JF47/'WICHE Public Grads-RE PROJ'!S47</f>
        <v>0.77611301369863017</v>
      </c>
      <c r="HQ44" s="267">
        <f>+'WICHE Public Grads-RE PROJ'!JG47/'WICHE Public Grads-RE PROJ'!T47</f>
        <v>0.77797741931080877</v>
      </c>
      <c r="HR44" s="267">
        <f>+'WICHE Public Grads-RE PROJ'!JH47/'WICHE Public Grads-RE PROJ'!U47</f>
        <v>0.7645664293248523</v>
      </c>
      <c r="HS44" s="267">
        <f>+'WICHE Public Grads-RE PROJ'!JI47/'WICHE Public Grads-RE PROJ'!V47</f>
        <v>0.75836066607903552</v>
      </c>
      <c r="HT44" s="267">
        <f>+'WICHE Public Grads-RE PROJ'!JJ47/'WICHE Public Grads-RE PROJ'!W47</f>
        <v>0.75196399551256821</v>
      </c>
      <c r="HU44" s="268">
        <f>+'WICHE Public Grads-RE PROJ'!JK47/'WICHE Public Grads-RE PROJ'!Y47</f>
        <v>0.74921673014395807</v>
      </c>
      <c r="HV44" s="268">
        <f>+'WICHE Public Grads-RE PROJ'!JL47/'WICHE Public Grads-RE PROJ'!Z47</f>
        <v>0.74032587146772078</v>
      </c>
      <c r="HW44" s="268">
        <f>+'WICHE Public Grads-RE PROJ'!JM47/'WICHE Public Grads-RE PROJ'!AA47</f>
        <v>0.73136320792633425</v>
      </c>
      <c r="HX44" s="268">
        <f>+'WICHE Public Grads-RE PROJ'!JN47/'WICHE Public Grads-RE PROJ'!AB47</f>
        <v>0.73044693289361362</v>
      </c>
      <c r="HY44" s="266">
        <f>+'WICHE Public Grads-RE PROJ'!JO47/'WICHE Public Grads-RE PROJ'!AC47</f>
        <v>0.72244521506666848</v>
      </c>
      <c r="HZ44" s="266">
        <f>+'WICHE Public Grads-RE PROJ'!JP47/'WICHE Public Grads-RE PROJ'!AD47</f>
        <v>0.72176185476128107</v>
      </c>
      <c r="IA44" s="266">
        <f>+'WICHE Public Grads-RE PROJ'!JQ47/'WICHE Public Grads-RE PROJ'!AE47</f>
        <v>0.71374090490897779</v>
      </c>
      <c r="IB44" s="266">
        <f>+'WICHE Public Grads-RE PROJ'!JR47/'WICHE Public Grads-RE PROJ'!AF47</f>
        <v>0.71095843212333465</v>
      </c>
      <c r="IC44" s="266">
        <f>+'WICHE Public Grads-RE PROJ'!JS47/'WICHE Public Grads-RE PROJ'!AG47</f>
        <v>0.70833159438096793</v>
      </c>
      <c r="ID44" s="268">
        <f>+'WICHE Public Grads-RE PROJ'!JT47/'WICHE Public Grads-RE PROJ'!AH47</f>
        <v>0.70194553544579419</v>
      </c>
      <c r="IE44" s="266">
        <f>+'WICHE Public Grads-RE PROJ'!JU47/'WICHE Public Grads-RE PROJ'!AI47</f>
        <v>0.7000033507273119</v>
      </c>
      <c r="IF44" s="266">
        <f>+'WICHE Public Grads-RE PROJ'!JV47/'WICHE Public Grads-RE PROJ'!AJ47</f>
        <v>0.70344316888283609</v>
      </c>
      <c r="IG44" s="266">
        <f>+'WICHE Public Grads-RE PROJ'!JW47/'WICHE Public Grads-RE PROJ'!AK47</f>
        <v>0.69209044562888788</v>
      </c>
      <c r="IH44" s="266">
        <f>+'WICHE Public Grads-RE PROJ'!JX47/'WICHE Public Grads-RE PROJ'!AL47</f>
        <v>0.69157551519779648</v>
      </c>
      <c r="II44" s="266">
        <f>+'WICHE Public Grads-RE PROJ'!JY47/'WICHE Public Grads-RE PROJ'!AM47</f>
        <v>0.69837860425058451</v>
      </c>
      <c r="IJ44" s="266">
        <f>+'WICHE Public Grads-RE PROJ'!JZ47/'WICHE Public Grads-RE PROJ'!AN47</f>
        <v>0.697380865396376</v>
      </c>
      <c r="IK44" s="266">
        <f>+'WICHE Public Grads-RE PROJ'!KA47/'WICHE Public Grads-RE PROJ'!AO47</f>
        <v>0.69997894304977792</v>
      </c>
      <c r="IL44" s="266">
        <f>+'WICHE Public Grads-RE PROJ'!KB47/'WICHE Public Grads-RE PROJ'!AP47</f>
        <v>0.69781202637047024</v>
      </c>
      <c r="IM44" s="282">
        <f>+'WICHE Public Grads-RE PROJ'!KC47/'WICHE Public Grads-RE PROJ'!AQ47</f>
        <v>0.69641462997849524</v>
      </c>
      <c r="IN44" s="278">
        <f t="shared" si="82"/>
        <v>1</v>
      </c>
      <c r="IO44" s="278">
        <f t="shared" si="83"/>
        <v>1</v>
      </c>
      <c r="IP44" s="278">
        <f t="shared" si="84"/>
        <v>1</v>
      </c>
      <c r="IQ44" s="278">
        <f t="shared" si="85"/>
        <v>1</v>
      </c>
      <c r="IR44" s="278">
        <f t="shared" si="86"/>
        <v>1</v>
      </c>
      <c r="IS44" s="278">
        <f t="shared" si="87"/>
        <v>1</v>
      </c>
      <c r="IT44" s="278">
        <f t="shared" si="88"/>
        <v>1</v>
      </c>
      <c r="IU44" s="278">
        <f t="shared" si="89"/>
        <v>1</v>
      </c>
      <c r="IV44" s="278">
        <f t="shared" si="90"/>
        <v>1</v>
      </c>
      <c r="IW44" s="278">
        <f t="shared" si="91"/>
        <v>1</v>
      </c>
      <c r="IX44" s="278">
        <f t="shared" si="92"/>
        <v>1</v>
      </c>
      <c r="IY44" s="278">
        <f t="shared" si="93"/>
        <v>0.99813102826819744</v>
      </c>
      <c r="IZ44" s="278">
        <f t="shared" si="94"/>
        <v>0.99363289670038135</v>
      </c>
      <c r="JA44" s="278">
        <f t="shared" si="95"/>
        <v>0.98962279690331079</v>
      </c>
      <c r="JB44" s="278">
        <f t="shared" si="96"/>
        <v>1</v>
      </c>
      <c r="JC44" s="278">
        <f t="shared" si="97"/>
        <v>0.97471714389993036</v>
      </c>
      <c r="JD44" s="278">
        <f t="shared" si="98"/>
        <v>0.9803168819338256</v>
      </c>
      <c r="JE44" s="278">
        <f t="shared" si="99"/>
        <v>0.97806902002107488</v>
      </c>
      <c r="JF44" s="278">
        <f t="shared" si="100"/>
        <v>1</v>
      </c>
      <c r="JG44" s="278">
        <f t="shared" si="101"/>
        <v>1</v>
      </c>
      <c r="JH44" s="278">
        <f t="shared" si="102"/>
        <v>1</v>
      </c>
      <c r="JI44" s="278">
        <f t="shared" si="103"/>
        <v>1</v>
      </c>
      <c r="JJ44" s="278">
        <f t="shared" si="104"/>
        <v>0.99701859982482122</v>
      </c>
      <c r="JK44" s="278">
        <f t="shared" si="105"/>
        <v>1.0004718183786467</v>
      </c>
      <c r="JL44" s="278">
        <f t="shared" si="106"/>
        <v>1.0010663059464084</v>
      </c>
      <c r="JM44" s="278">
        <f t="shared" si="107"/>
        <v>1.001505276467592</v>
      </c>
      <c r="JN44" s="278">
        <f t="shared" si="108"/>
        <v>1.0038515200392153</v>
      </c>
      <c r="JO44" s="278">
        <f t="shared" si="109"/>
        <v>1.0056631661125064</v>
      </c>
      <c r="JP44" s="278">
        <f t="shared" si="110"/>
        <v>1.0078014803914133</v>
      </c>
      <c r="JQ44" s="278">
        <f t="shared" si="111"/>
        <v>1.0104966419299881</v>
      </c>
      <c r="JR44" s="278">
        <f t="shared" si="112"/>
        <v>1.0134803507465282</v>
      </c>
      <c r="JS44" s="278">
        <f t="shared" si="113"/>
        <v>1.0155868293413235</v>
      </c>
      <c r="JT44" s="278">
        <f t="shared" si="114"/>
        <v>1.0183032115921011</v>
      </c>
      <c r="JU44" s="278">
        <f t="shared" si="115"/>
        <v>1.0222525778859857</v>
      </c>
      <c r="JV44" s="278">
        <f t="shared" si="116"/>
        <v>1.0227300532444885</v>
      </c>
      <c r="JW44" s="278">
        <f t="shared" si="117"/>
        <v>1.0239428523361471</v>
      </c>
      <c r="JX44" s="278">
        <f t="shared" si="118"/>
        <v>1.0204394751596986</v>
      </c>
      <c r="JY44" s="278">
        <f t="shared" si="119"/>
        <v>1.0198079230808355</v>
      </c>
      <c r="JZ44" s="278">
        <f t="shared" si="119"/>
        <v>1.0197244475990817</v>
      </c>
      <c r="KA44" s="278">
        <f t="shared" si="119"/>
        <v>1.021026287059843</v>
      </c>
      <c r="KB44" s="278">
        <f t="shared" si="119"/>
        <v>1.0192821694690624</v>
      </c>
    </row>
    <row r="45" spans="1:288" s="17" customFormat="1">
      <c r="A45" s="175" t="s">
        <v>69</v>
      </c>
      <c r="B45" s="262">
        <f>+'WICHE Public Grads-RE PROJ'!AR48/'WICHE Public Grads-RE PROJ'!B48</f>
        <v>2.3907197228679521E-2</v>
      </c>
      <c r="C45" s="262">
        <f>+'WICHE Public Grads-RE PROJ'!AS48/'WICHE Public Grads-RE PROJ'!C48</f>
        <v>2.7080256031511572E-2</v>
      </c>
      <c r="D45" s="262">
        <f>+'WICHE Public Grads-RE PROJ'!AT48/'WICHE Public Grads-RE PROJ'!D48</f>
        <v>2.9549679198896683E-2</v>
      </c>
      <c r="E45" s="262">
        <f>+'WICHE Public Grads-RE PROJ'!AU48/'WICHE Public Grads-RE PROJ'!E48</f>
        <v>2.6232452616155411E-2</v>
      </c>
      <c r="F45" s="262">
        <f>+'WICHE Public Grads-RE PROJ'!AV48/'WICHE Public Grads-RE PROJ'!F48</f>
        <v>2.8352624810008185E-2</v>
      </c>
      <c r="G45" s="262">
        <f>+'WICHE Public Grads-RE PROJ'!AW48/'WICHE Public Grads-RE PROJ'!G48</f>
        <v>2.546407269078544E-2</v>
      </c>
      <c r="H45" s="267">
        <f>+'WICHE Public Grads-RE PROJ'!AX48/'WICHE Public Grads-RE PROJ'!H48</f>
        <v>2.6107492559202864E-2</v>
      </c>
      <c r="I45" s="267">
        <f>+'WICHE Public Grads-RE PROJ'!AY48/'WICHE Public Grads-RE PROJ'!I48</f>
        <v>2.80796812749004E-2</v>
      </c>
      <c r="J45" s="267">
        <f>+'WICHE Public Grads-RE PROJ'!AZ48/'WICHE Public Grads-RE PROJ'!J48</f>
        <v>2.9781222166484097E-2</v>
      </c>
      <c r="K45" s="267">
        <f>+'WICHE Public Grads-RE PROJ'!BA48/'WICHE Public Grads-RE PROJ'!K48</f>
        <v>2.9674143915453557E-2</v>
      </c>
      <c r="L45" s="262">
        <f>+'WICHE Public Grads-RE PROJ'!BB48/'WICHE Public Grads-RE PROJ'!L48</f>
        <v>3.3168071915032474E-2</v>
      </c>
      <c r="M45" s="267">
        <f>+'WICHE Public Grads-RE PROJ'!BC48/'WICHE Public Grads-RE PROJ'!M48</f>
        <v>3.1046549884846612E-2</v>
      </c>
      <c r="N45" s="267">
        <f>+'WICHE Public Grads-RE PROJ'!BD48/'WICHE Public Grads-RE PROJ'!N48</f>
        <v>3.1500763992188055E-2</v>
      </c>
      <c r="O45" s="267">
        <f>+'WICHE Public Grads-RE PROJ'!BE48/'WICHE Public Grads-RE PROJ'!O48</f>
        <v>3.1688685003248604E-2</v>
      </c>
      <c r="P45" s="267">
        <f>+'WICHE Public Grads-RE PROJ'!BF48/'WICHE Public Grads-RE PROJ'!P48</f>
        <v>3.4362753699479442E-2</v>
      </c>
      <c r="Q45" s="267">
        <f>+'WICHE Public Grads-RE PROJ'!BG48/'WICHE Public Grads-RE PROJ'!Q48</f>
        <v>3.2725907115649419E-2</v>
      </c>
      <c r="R45" s="267">
        <f>+'WICHE Public Grads-RE PROJ'!BH48/'WICHE Public Grads-RE PROJ'!R48</f>
        <v>3.2765251816674335E-2</v>
      </c>
      <c r="S45" s="267">
        <f>+'WICHE Public Grads-RE PROJ'!BI48/'WICHE Public Grads-RE PROJ'!S48</f>
        <v>3.2685245959802024E-2</v>
      </c>
      <c r="T45" s="267">
        <f>+'WICHE Public Grads-RE PROJ'!BJ48/'WICHE Public Grads-RE PROJ'!T48</f>
        <v>3.3420068303789234E-2</v>
      </c>
      <c r="U45" s="267">
        <f>+'WICHE Public Grads-RE PROJ'!BK48/'WICHE Public Grads-RE PROJ'!U48</f>
        <v>3.4465297987507672E-2</v>
      </c>
      <c r="V45" s="267">
        <f>+'WICHE Public Grads-RE PROJ'!BL48/'WICHE Public Grads-RE PROJ'!V48</f>
        <v>3.5893791574614205E-2</v>
      </c>
      <c r="W45" s="267">
        <f>+'WICHE Public Grads-RE PROJ'!BM48/'WICHE Public Grads-RE PROJ'!W48</f>
        <v>3.8519427940331752E-2</v>
      </c>
      <c r="X45" s="268">
        <f>+'WICHE Public Grads-RE PROJ'!BN48/'WICHE Public Grads-RE PROJ'!Y48</f>
        <v>3.9237526487498807E-2</v>
      </c>
      <c r="Y45" s="268">
        <f>+'WICHE Public Grads-RE PROJ'!BO48/'WICHE Public Grads-RE PROJ'!Z48</f>
        <v>4.1292695285437032E-2</v>
      </c>
      <c r="Z45" s="268">
        <f>+'WICHE Public Grads-RE PROJ'!BP48/'WICHE Public Grads-RE PROJ'!AA48</f>
        <v>4.2903834698127363E-2</v>
      </c>
      <c r="AA45" s="268">
        <f>+'WICHE Public Grads-RE PROJ'!BQ48/'WICHE Public Grads-RE PROJ'!AB48</f>
        <v>4.3193370721349593E-2</v>
      </c>
      <c r="AB45" s="266">
        <f>+'WICHE Public Grads-RE PROJ'!BR48/'WICHE Public Grads-RE PROJ'!AC48</f>
        <v>4.4637210896093786E-2</v>
      </c>
      <c r="AC45" s="266">
        <f>+'WICHE Public Grads-RE PROJ'!BS48/'WICHE Public Grads-RE PROJ'!AD48</f>
        <v>4.5359289520680274E-2</v>
      </c>
      <c r="AD45" s="266">
        <f>+'WICHE Public Grads-RE PROJ'!BT48/'WICHE Public Grads-RE PROJ'!AE48</f>
        <v>4.7364645739426489E-2</v>
      </c>
      <c r="AE45" s="266">
        <f>+'WICHE Public Grads-RE PROJ'!BU48/'WICHE Public Grads-RE PROJ'!AF48</f>
        <v>4.9468696170969807E-2</v>
      </c>
      <c r="AF45" s="266">
        <f>+'WICHE Public Grads-RE PROJ'!BV48/'WICHE Public Grads-RE PROJ'!AG48</f>
        <v>5.0311346139181652E-2</v>
      </c>
      <c r="AG45" s="268">
        <f>+'WICHE Public Grads-RE PROJ'!BW48/'WICHE Public Grads-RE PROJ'!AH48</f>
        <v>4.9453123669838901E-2</v>
      </c>
      <c r="AH45" s="266">
        <f>+'WICHE Public Grads-RE PROJ'!BX48/'WICHE Public Grads-RE PROJ'!AI48</f>
        <v>4.848417617267655E-2</v>
      </c>
      <c r="AI45" s="266">
        <f>+'WICHE Public Grads-RE PROJ'!BY48/'WICHE Public Grads-RE PROJ'!AJ48</f>
        <v>4.9356063816144533E-2</v>
      </c>
      <c r="AJ45" s="266">
        <f>+'WICHE Public Grads-RE PROJ'!BZ48/'WICHE Public Grads-RE PROJ'!AK48</f>
        <v>4.9497784488644711E-2</v>
      </c>
      <c r="AK45" s="266">
        <f>+'WICHE Public Grads-RE PROJ'!CA48/'WICHE Public Grads-RE PROJ'!AL48</f>
        <v>5.0416646201380998E-2</v>
      </c>
      <c r="AL45" s="266">
        <f>+'WICHE Public Grads-RE PROJ'!CB48/'WICHE Public Grads-RE PROJ'!AM48</f>
        <v>4.9480979681187483E-2</v>
      </c>
      <c r="AM45" s="266">
        <f>+'WICHE Public Grads-RE PROJ'!CC48/'WICHE Public Grads-RE PROJ'!AN48</f>
        <v>4.9576675782328231E-2</v>
      </c>
      <c r="AN45" s="266">
        <f>+'WICHE Public Grads-RE PROJ'!CD48/'WICHE Public Grads-RE PROJ'!AO48</f>
        <v>5.1840712531317563E-2</v>
      </c>
      <c r="AO45" s="266">
        <f>+'WICHE Public Grads-RE PROJ'!CE48/'WICHE Public Grads-RE PROJ'!AP48</f>
        <v>5.1365313848499017E-2</v>
      </c>
      <c r="AP45" s="282">
        <f>+'WICHE Public Grads-RE PROJ'!CF48/'WICHE Public Grads-RE PROJ'!AQ48</f>
        <v>5.3182189707690238E-2</v>
      </c>
      <c r="AQ45" s="262">
        <f>+'WICHE Public Grads-RE PROJ'!CG48/'WICHE Public Grads-RE PROJ'!B48</f>
        <v>8.7857240530562018E-3</v>
      </c>
      <c r="AR45" s="262">
        <f>+'WICHE Public Grads-RE PROJ'!CH48/'WICHE Public Grads-RE PROJ'!C48</f>
        <v>1.0070103866263393E-2</v>
      </c>
      <c r="AS45" s="262">
        <f>+'WICHE Public Grads-RE PROJ'!CI48/'WICHE Public Grads-RE PROJ'!D48</f>
        <v>9.2942375727049237E-3</v>
      </c>
      <c r="AT45" s="262">
        <f>+'WICHE Public Grads-RE PROJ'!CJ48/'WICHE Public Grads-RE PROJ'!E48</f>
        <v>9.0513777945833533E-3</v>
      </c>
      <c r="AU45" s="262">
        <f>+'WICHE Public Grads-RE PROJ'!CK48/'WICHE Public Grads-RE PROJ'!F48</f>
        <v>1.1645036829182743E-2</v>
      </c>
      <c r="AV45" s="262">
        <f>+'WICHE Public Grads-RE PROJ'!CL48/'WICHE Public Grads-RE PROJ'!G48</f>
        <v>9.465410558002119E-3</v>
      </c>
      <c r="AW45" s="267">
        <f>+'WICHE Public Grads-RE PROJ'!CM48/'WICHE Public Grads-RE PROJ'!H48</f>
        <v>9.0152266747185444E-3</v>
      </c>
      <c r="AX45" s="267">
        <f>+'WICHE Public Grads-RE PROJ'!CN48/'WICHE Public Grads-RE PROJ'!I48</f>
        <v>9.8167330677290839E-3</v>
      </c>
      <c r="AY45" s="267">
        <f>+'WICHE Public Grads-RE PROJ'!CO48/'WICHE Public Grads-RE PROJ'!J48</f>
        <v>8.927200319413589E-3</v>
      </c>
      <c r="AZ45" s="267">
        <f>+'WICHE Public Grads-RE PROJ'!CP48/'WICHE Public Grads-RE PROJ'!K48</f>
        <v>9.065948298191991E-3</v>
      </c>
      <c r="BA45" s="262">
        <f>+'WICHE Public Grads-RE PROJ'!CQ48/'WICHE Public Grads-RE PROJ'!L48</f>
        <v>9.4841106935716468E-3</v>
      </c>
      <c r="BB45" s="267">
        <f>+'WICHE Public Grads-RE PROJ'!CR48/'WICHE Public Grads-RE PROJ'!M48</f>
        <v>8.7835614799453652E-3</v>
      </c>
      <c r="BC45" s="267">
        <f>+'WICHE Public Grads-RE PROJ'!CS48/'WICHE Public Grads-RE PROJ'!N48</f>
        <v>8.9857624237272699E-3</v>
      </c>
      <c r="BD45" s="267">
        <f>+'WICHE Public Grads-RE PROJ'!CT48/'WICHE Public Grads-RE PROJ'!O48</f>
        <v>8.2298044929219744E-3</v>
      </c>
      <c r="BE45" s="267">
        <f>+'WICHE Public Grads-RE PROJ'!CU48/'WICHE Public Grads-RE PROJ'!P48</f>
        <v>8.2763057846405794E-3</v>
      </c>
      <c r="BF45" s="267">
        <f>+'WICHE Public Grads-RE PROJ'!CV48/'WICHE Public Grads-RE PROJ'!Q48</f>
        <v>8.4854879379101921E-3</v>
      </c>
      <c r="BG45" s="267">
        <f>+'WICHE Public Grads-RE PROJ'!CW48/'WICHE Public Grads-RE PROJ'!R48</f>
        <v>8.3953361173089783E-3</v>
      </c>
      <c r="BH45" s="267">
        <f>+'WICHE Public Grads-RE PROJ'!CX48/'WICHE Public Grads-RE PROJ'!S48</f>
        <v>7.7433432083872916E-3</v>
      </c>
      <c r="BI45" s="267">
        <f>+'WICHE Public Grads-RE PROJ'!CY48/'WICHE Public Grads-RE PROJ'!T48</f>
        <v>8.0500894454382833E-3</v>
      </c>
      <c r="BJ45" s="267">
        <f>+'WICHE Public Grads-RE PROJ'!CZ48/'WICHE Public Grads-RE PROJ'!U48</f>
        <v>7.6917409958286486E-3</v>
      </c>
      <c r="BK45" s="267">
        <f>+'WICHE Public Grads-RE PROJ'!DA48/'WICHE Public Grads-RE PROJ'!V48</f>
        <v>8.482756490544802E-3</v>
      </c>
      <c r="BL45" s="267">
        <f>+'WICHE Public Grads-RE PROJ'!DB48/'WICHE Public Grads-RE PROJ'!W48</f>
        <v>8.1954744537643884E-3</v>
      </c>
      <c r="BM45" s="268">
        <f>+'WICHE Public Grads-RE PROJ'!DC48/'WICHE Public Grads-RE PROJ'!Y48</f>
        <v>7.9609934664114611E-3</v>
      </c>
      <c r="BN45" s="268">
        <f>+'WICHE Public Grads-RE PROJ'!DD48/'WICHE Public Grads-RE PROJ'!Z48</f>
        <v>7.3369307415669452E-3</v>
      </c>
      <c r="BO45" s="268">
        <f>+'WICHE Public Grads-RE PROJ'!DE48/'WICHE Public Grads-RE PROJ'!AA48</f>
        <v>7.376119561536376E-3</v>
      </c>
      <c r="BP45" s="268">
        <f>+'WICHE Public Grads-RE PROJ'!DF48/'WICHE Public Grads-RE PROJ'!AB48</f>
        <v>7.4085385935023645E-3</v>
      </c>
      <c r="BQ45" s="266">
        <f>+'WICHE Public Grads-RE PROJ'!DG48/'WICHE Public Grads-RE PROJ'!AC48</f>
        <v>6.7665155828921094E-3</v>
      </c>
      <c r="BR45" s="266">
        <f>+'WICHE Public Grads-RE PROJ'!DH48/'WICHE Public Grads-RE PROJ'!AD48</f>
        <v>6.5067878116401448E-3</v>
      </c>
      <c r="BS45" s="266">
        <f>+'WICHE Public Grads-RE PROJ'!DI48/'WICHE Public Grads-RE PROJ'!AE48</f>
        <v>6.0608665227173172E-3</v>
      </c>
      <c r="BT45" s="266">
        <f>+'WICHE Public Grads-RE PROJ'!DJ48/'WICHE Public Grads-RE PROJ'!AF48</f>
        <v>6.2417891509226877E-3</v>
      </c>
      <c r="BU45" s="266">
        <f>+'WICHE Public Grads-RE PROJ'!DK48/'WICHE Public Grads-RE PROJ'!AG48</f>
        <v>6.0444729448777355E-3</v>
      </c>
      <c r="BV45" s="268">
        <f>+'WICHE Public Grads-RE PROJ'!DL48/'WICHE Public Grads-RE PROJ'!AH48</f>
        <v>5.905867713910844E-3</v>
      </c>
      <c r="BW45" s="266">
        <f>+'WICHE Public Grads-RE PROJ'!DM48/'WICHE Public Grads-RE PROJ'!AI48</f>
        <v>5.5652634721903181E-3</v>
      </c>
      <c r="BX45" s="266">
        <f>+'WICHE Public Grads-RE PROJ'!DN48/'WICHE Public Grads-RE PROJ'!AJ48</f>
        <v>5.5912229710730855E-3</v>
      </c>
      <c r="BY45" s="266">
        <f>+'WICHE Public Grads-RE PROJ'!DO48/'WICHE Public Grads-RE PROJ'!AK48</f>
        <v>6.3568817334085821E-3</v>
      </c>
      <c r="BZ45" s="266">
        <f>+'WICHE Public Grads-RE PROJ'!DP48/'WICHE Public Grads-RE PROJ'!AL48</f>
        <v>6.7827336156539133E-3</v>
      </c>
      <c r="CA45" s="266">
        <f>+'WICHE Public Grads-RE PROJ'!DQ48/'WICHE Public Grads-RE PROJ'!AM48</f>
        <v>7.1740377485552823E-3</v>
      </c>
      <c r="CB45" s="266">
        <f>+'WICHE Public Grads-RE PROJ'!DR48/'WICHE Public Grads-RE PROJ'!AN48</f>
        <v>6.5206068334656125E-3</v>
      </c>
      <c r="CC45" s="266">
        <f>+'WICHE Public Grads-RE PROJ'!DS48/'WICHE Public Grads-RE PROJ'!AO48</f>
        <v>6.3794404113794011E-3</v>
      </c>
      <c r="CD45" s="266">
        <f>+'WICHE Public Grads-RE PROJ'!DT48/'WICHE Public Grads-RE PROJ'!AP48</f>
        <v>6.0549407867086201E-3</v>
      </c>
      <c r="CE45" s="282">
        <f>+'WICHE Public Grads-RE PROJ'!DU48/'WICHE Public Grads-RE PROJ'!AQ48</f>
        <v>6.4773189033486816E-3</v>
      </c>
      <c r="CF45" s="262">
        <f>+'WICHE Public Grads-RE PROJ'!DV48/'WICHE Public Grads-RE PROJ'!B48</f>
        <v>1.512147317562332E-2</v>
      </c>
      <c r="CG45" s="262">
        <f>+'WICHE Public Grads-RE PROJ'!DW48/'WICHE Public Grads-RE PROJ'!C48</f>
        <v>1.7010152165248177E-2</v>
      </c>
      <c r="CH45" s="262">
        <f>+'WICHE Public Grads-RE PROJ'!DX48/'WICHE Public Grads-RE PROJ'!D48</f>
        <v>2.0255441626191761E-2</v>
      </c>
      <c r="CI45" s="262">
        <f>+'WICHE Public Grads-RE PROJ'!DY48/'WICHE Public Grads-RE PROJ'!E48</f>
        <v>1.7181074821572058E-2</v>
      </c>
      <c r="CJ45" s="262">
        <f>+'WICHE Public Grads-RE PROJ'!DZ48/'WICHE Public Grads-RE PROJ'!F48</f>
        <v>1.6707587980825441E-2</v>
      </c>
      <c r="CK45" s="262">
        <f>+'WICHE Public Grads-RE PROJ'!EA48/'WICHE Public Grads-RE PROJ'!G48</f>
        <v>1.5998662132783323E-2</v>
      </c>
      <c r="CL45" s="267">
        <f>+'WICHE Public Grads-RE PROJ'!EB48/'WICHE Public Grads-RE PROJ'!H48</f>
        <v>1.7092265884484321E-2</v>
      </c>
      <c r="CM45" s="267">
        <f>+'WICHE Public Grads-RE PROJ'!EC48/'WICHE Public Grads-RE PROJ'!I48</f>
        <v>1.8262948207171316E-2</v>
      </c>
      <c r="CN45" s="267">
        <f>+'WICHE Public Grads-RE PROJ'!ED48/'WICHE Public Grads-RE PROJ'!J48</f>
        <v>2.0854021847070508E-2</v>
      </c>
      <c r="CO45" s="267">
        <f>+'WICHE Public Grads-RE PROJ'!EE48/'WICHE Public Grads-RE PROJ'!K48</f>
        <v>2.0608195617261564E-2</v>
      </c>
      <c r="CP45" s="262">
        <f>+'WICHE Public Grads-RE PROJ'!EF48/'WICHE Public Grads-RE PROJ'!L48</f>
        <v>2.3683961221460825E-2</v>
      </c>
      <c r="CQ45" s="267">
        <f>+'WICHE Public Grads-RE PROJ'!EG48/'WICHE Public Grads-RE PROJ'!M48</f>
        <v>2.2262988404901249E-2</v>
      </c>
      <c r="CR45" s="267">
        <f>+'WICHE Public Grads-RE PROJ'!EH48/'WICHE Public Grads-RE PROJ'!N48</f>
        <v>2.2515001568460785E-2</v>
      </c>
      <c r="CS45" s="267">
        <f>+'WICHE Public Grads-RE PROJ'!EI48/'WICHE Public Grads-RE PROJ'!O48</f>
        <v>2.3458880510326633E-2</v>
      </c>
      <c r="CT45" s="267">
        <f>+'WICHE Public Grads-RE PROJ'!EJ48/'WICHE Public Grads-RE PROJ'!P48</f>
        <v>2.608644791483886E-2</v>
      </c>
      <c r="CU45" s="267">
        <f>+'WICHE Public Grads-RE PROJ'!EK48/'WICHE Public Grads-RE PROJ'!Q48</f>
        <v>2.4240419177739229E-2</v>
      </c>
      <c r="CV45" s="267">
        <f>+'WICHE Public Grads-RE PROJ'!EL48/'WICHE Public Grads-RE PROJ'!R48</f>
        <v>2.4369915699365356E-2</v>
      </c>
      <c r="CW45" s="267">
        <f>+'WICHE Public Grads-RE PROJ'!EM48/'WICHE Public Grads-RE PROJ'!S48</f>
        <v>2.4941902751414734E-2</v>
      </c>
      <c r="CX45" s="267">
        <f>+'WICHE Public Grads-RE PROJ'!EN48/'WICHE Public Grads-RE PROJ'!T48</f>
        <v>2.5369978858350951E-2</v>
      </c>
      <c r="CY45" s="267">
        <f>+'WICHE Public Grads-RE PROJ'!EO48/'WICHE Public Grads-RE PROJ'!U48</f>
        <v>2.6773556991679024E-2</v>
      </c>
      <c r="CZ45" s="267">
        <f>+'WICHE Public Grads-RE PROJ'!EP48/'WICHE Public Grads-RE PROJ'!V48</f>
        <v>2.7411035084069401E-2</v>
      </c>
      <c r="DA45" s="267">
        <f>+'WICHE Public Grads-RE PROJ'!EQ48/'WICHE Public Grads-RE PROJ'!W48</f>
        <v>3.0323953486567364E-2</v>
      </c>
      <c r="DB45" s="268">
        <f>+'WICHE Public Grads-RE PROJ'!ER48/'WICHE Public Grads-RE PROJ'!Y48</f>
        <v>3.1276533021087349E-2</v>
      </c>
      <c r="DC45" s="268">
        <f>+'WICHE Public Grads-RE PROJ'!ES48/'WICHE Public Grads-RE PROJ'!Z48</f>
        <v>3.3955764543870094E-2</v>
      </c>
      <c r="DD45" s="268">
        <f>+'WICHE Public Grads-RE PROJ'!ET48/'WICHE Public Grads-RE PROJ'!AA48</f>
        <v>3.5527715136590983E-2</v>
      </c>
      <c r="DE45" s="268">
        <f>+'WICHE Public Grads-RE PROJ'!EU48/'WICHE Public Grads-RE PROJ'!AB48</f>
        <v>3.5784832127847228E-2</v>
      </c>
      <c r="DF45" s="266">
        <f>+'WICHE Public Grads-RE PROJ'!EV48/'WICHE Public Grads-RE PROJ'!AC48</f>
        <v>3.7870695313201676E-2</v>
      </c>
      <c r="DG45" s="266">
        <f>+'WICHE Public Grads-RE PROJ'!EW48/'WICHE Public Grads-RE PROJ'!AD48</f>
        <v>3.885250170904013E-2</v>
      </c>
      <c r="DH45" s="266">
        <f>+'WICHE Public Grads-RE PROJ'!EX48/'WICHE Public Grads-RE PROJ'!AE48</f>
        <v>4.130377921670917E-2</v>
      </c>
      <c r="DI45" s="266">
        <f>+'WICHE Public Grads-RE PROJ'!EY48/'WICHE Public Grads-RE PROJ'!AF48</f>
        <v>4.3226907020047126E-2</v>
      </c>
      <c r="DJ45" s="266">
        <f>+'WICHE Public Grads-RE PROJ'!EZ48/'WICHE Public Grads-RE PROJ'!AG48</f>
        <v>4.4266873194303918E-2</v>
      </c>
      <c r="DK45" s="268">
        <f>+'WICHE Public Grads-RE PROJ'!FA48/'WICHE Public Grads-RE PROJ'!AH48</f>
        <v>4.3547255955928052E-2</v>
      </c>
      <c r="DL45" s="266">
        <f>+'WICHE Public Grads-RE PROJ'!FB48/'WICHE Public Grads-RE PROJ'!AI48</f>
        <v>4.2918912700486228E-2</v>
      </c>
      <c r="DM45" s="266">
        <f>+'WICHE Public Grads-RE PROJ'!FC48/'WICHE Public Grads-RE PROJ'!AJ48</f>
        <v>4.3764840845071443E-2</v>
      </c>
      <c r="DN45" s="266">
        <f>+'WICHE Public Grads-RE PROJ'!FD48/'WICHE Public Grads-RE PROJ'!AK48</f>
        <v>4.3140902755236125E-2</v>
      </c>
      <c r="DO45" s="266">
        <f>+'WICHE Public Grads-RE PROJ'!FE48/'WICHE Public Grads-RE PROJ'!AL48</f>
        <v>4.3633912585727082E-2</v>
      </c>
      <c r="DP45" s="266">
        <f>+'WICHE Public Grads-RE PROJ'!FF48/'WICHE Public Grads-RE PROJ'!AM48</f>
        <v>4.2306941932632201E-2</v>
      </c>
      <c r="DQ45" s="266">
        <f>+'WICHE Public Grads-RE PROJ'!FG48/'WICHE Public Grads-RE PROJ'!AN48</f>
        <v>4.3056068948862623E-2</v>
      </c>
      <c r="DR45" s="266">
        <f>+'WICHE Public Grads-RE PROJ'!FH48/'WICHE Public Grads-RE PROJ'!AO48</f>
        <v>4.5461272119938168E-2</v>
      </c>
      <c r="DS45" s="266">
        <f>+'WICHE Public Grads-RE PROJ'!FI48/'WICHE Public Grads-RE PROJ'!AP48</f>
        <v>4.53103730617904E-2</v>
      </c>
      <c r="DT45" s="282">
        <f>+'WICHE Public Grads-RE PROJ'!FJ48/'WICHE Public Grads-RE PROJ'!AQ48</f>
        <v>4.6704870804341561E-2</v>
      </c>
      <c r="DU45" s="262">
        <f>+'WICHE Public Grads-RE PROJ'!FK48/'WICHE Public Grads-RE PROJ'!B48</f>
        <v>0.1234103651032408</v>
      </c>
      <c r="DV45" s="262">
        <f>+'WICHE Public Grads-RE PROJ'!FL48/'WICHE Public Grads-RE PROJ'!C48</f>
        <v>0.13200159433542002</v>
      </c>
      <c r="DW45" s="262">
        <f>+'WICHE Public Grads-RE PROJ'!FM48/'WICHE Public Grads-RE PROJ'!D48</f>
        <v>0.12283983929963423</v>
      </c>
      <c r="DX45" s="262">
        <f>+'WICHE Public Grads-RE PROJ'!FN48/'WICHE Public Grads-RE PROJ'!E48</f>
        <v>0.12475776338800397</v>
      </c>
      <c r="DY45" s="262">
        <f>+'WICHE Public Grads-RE PROJ'!FO48/'WICHE Public Grads-RE PROJ'!F48</f>
        <v>0.12200397521337543</v>
      </c>
      <c r="DZ45" s="262">
        <f>+'WICHE Public Grads-RE PROJ'!FP48/'WICHE Public Grads-RE PROJ'!G48</f>
        <v>0.12666257873906014</v>
      </c>
      <c r="EA45" s="267">
        <f>+'WICHE Public Grads-RE PROJ'!FQ48/'WICHE Public Grads-RE PROJ'!H48</f>
        <v>0.12599749816676012</v>
      </c>
      <c r="EB45" s="267">
        <f>+'WICHE Public Grads-RE PROJ'!FR48/'WICHE Public Grads-RE PROJ'!I48</f>
        <v>0.12378220451527225</v>
      </c>
      <c r="EC45" s="267">
        <f>+'WICHE Public Grads-RE PROJ'!FS48/'WICHE Public Grads-RE PROJ'!J48</f>
        <v>0.12395704296727035</v>
      </c>
      <c r="ED45" s="267">
        <f>+'WICHE Public Grads-RE PROJ'!FT48/'WICHE Public Grads-RE PROJ'!K48</f>
        <v>0.12495467025850904</v>
      </c>
      <c r="EE45" s="262">
        <f>+'WICHE Public Grads-RE PROJ'!FU48/'WICHE Public Grads-RE PROJ'!L48</f>
        <v>0.12230397574762371</v>
      </c>
      <c r="EF45" s="267">
        <f>+'WICHE Public Grads-RE PROJ'!FV48/'WICHE Public Grads-RE PROJ'!M48</f>
        <v>0.12160397204414712</v>
      </c>
      <c r="EG45" s="267">
        <f>+'WICHE Public Grads-RE PROJ'!FW48/'WICHE Public Grads-RE PROJ'!N48</f>
        <v>0.1187678981613592</v>
      </c>
      <c r="EH45" s="267">
        <f>+'WICHE Public Grads-RE PROJ'!FX48/'WICHE Public Grads-RE PROJ'!O48</f>
        <v>0.12924533874111555</v>
      </c>
      <c r="EI45" s="267">
        <f>+'WICHE Public Grads-RE PROJ'!FY48/'WICHE Public Grads-RE PROJ'!P48</f>
        <v>0.13890351133727163</v>
      </c>
      <c r="EJ45" s="267">
        <f>+'WICHE Public Grads-RE PROJ'!FZ48/'WICHE Public Grads-RE PROJ'!Q48</f>
        <v>0.16045530141812264</v>
      </c>
      <c r="EK45" s="267">
        <f>+'WICHE Public Grads-RE PROJ'!GA48/'WICHE Public Grads-RE PROJ'!R48</f>
        <v>0.16632662806143267</v>
      </c>
      <c r="EL45" s="267">
        <f>+'WICHE Public Grads-RE PROJ'!GB48/'WICHE Public Grads-RE PROJ'!S48</f>
        <v>0.17046885810079651</v>
      </c>
      <c r="EM45" s="267">
        <f>+'WICHE Public Grads-RE PROJ'!GC48/'WICHE Public Grads-RE PROJ'!T48</f>
        <v>0.17417466254675557</v>
      </c>
      <c r="EN45" s="267">
        <f>+'WICHE Public Grads-RE PROJ'!GD48/'WICHE Public Grads-RE PROJ'!U48</f>
        <v>0.17460042707315615</v>
      </c>
      <c r="EO45" s="267">
        <f>+'WICHE Public Grads-RE PROJ'!GE48/'WICHE Public Grads-RE PROJ'!V48</f>
        <v>0.17407057090977618</v>
      </c>
      <c r="EP45" s="267">
        <f>+'WICHE Public Grads-RE PROJ'!GF48/'WICHE Public Grads-RE PROJ'!W48</f>
        <v>0.16691393894806664</v>
      </c>
      <c r="EQ45" s="268">
        <f>+'WICHE Public Grads-RE PROJ'!GG48/'WICHE Public Grads-RE PROJ'!Y48</f>
        <v>0.16432701554218115</v>
      </c>
      <c r="ER45" s="268">
        <f>+'WICHE Public Grads-RE PROJ'!GH48/'WICHE Public Grads-RE PROJ'!Z48</f>
        <v>0.16196577154110398</v>
      </c>
      <c r="ES45" s="268">
        <f>+'WICHE Public Grads-RE PROJ'!GI48/'WICHE Public Grads-RE PROJ'!AA48</f>
        <v>0.15613671427487533</v>
      </c>
      <c r="ET45" s="268">
        <f>+'WICHE Public Grads-RE PROJ'!GJ48/'WICHE Public Grads-RE PROJ'!AB48</f>
        <v>0.15201358501335102</v>
      </c>
      <c r="EU45" s="266">
        <f>+'WICHE Public Grads-RE PROJ'!GK48/'WICHE Public Grads-RE PROJ'!AC48</f>
        <v>0.15585614145782717</v>
      </c>
      <c r="EV45" s="266">
        <f>+'WICHE Public Grads-RE PROJ'!GL48/'WICHE Public Grads-RE PROJ'!AD48</f>
        <v>0.15186857751444036</v>
      </c>
      <c r="EW45" s="266">
        <f>+'WICHE Public Grads-RE PROJ'!GM48/'WICHE Public Grads-RE PROJ'!AE48</f>
        <v>0.14743131622940564</v>
      </c>
      <c r="EX45" s="266">
        <f>+'WICHE Public Grads-RE PROJ'!GN48/'WICHE Public Grads-RE PROJ'!AF48</f>
        <v>0.14505507976026244</v>
      </c>
      <c r="EY45" s="266">
        <f>+'WICHE Public Grads-RE PROJ'!GO48/'WICHE Public Grads-RE PROJ'!AG48</f>
        <v>0.14407369460911948</v>
      </c>
      <c r="EZ45" s="268">
        <f>+'WICHE Public Grads-RE PROJ'!GP48/'WICHE Public Grads-RE PROJ'!AH48</f>
        <v>0.14621815438391705</v>
      </c>
      <c r="FA45" s="266">
        <f>+'WICHE Public Grads-RE PROJ'!GQ48/'WICHE Public Grads-RE PROJ'!AI48</f>
        <v>0.14766222029302517</v>
      </c>
      <c r="FB45" s="266">
        <f>+'WICHE Public Grads-RE PROJ'!GR48/'WICHE Public Grads-RE PROJ'!AJ48</f>
        <v>0.1453844828852689</v>
      </c>
      <c r="FC45" s="266">
        <f>+'WICHE Public Grads-RE PROJ'!GS48/'WICHE Public Grads-RE PROJ'!AK48</f>
        <v>0.15357793986838114</v>
      </c>
      <c r="FD45" s="266">
        <f>+'WICHE Public Grads-RE PROJ'!GT48/'WICHE Public Grads-RE PROJ'!AL48</f>
        <v>0.15614658913732102</v>
      </c>
      <c r="FE45" s="266">
        <f>+'WICHE Public Grads-RE PROJ'!GU48/'WICHE Public Grads-RE PROJ'!AM48</f>
        <v>0.1592828674151345</v>
      </c>
      <c r="FF45" s="266">
        <f>+'WICHE Public Grads-RE PROJ'!GV48/'WICHE Public Grads-RE PROJ'!AN48</f>
        <v>0.15707571190968422</v>
      </c>
      <c r="FG45" s="266">
        <f>+'WICHE Public Grads-RE PROJ'!GW48/'WICHE Public Grads-RE PROJ'!AO48</f>
        <v>0.15661638863526703</v>
      </c>
      <c r="FH45" s="266">
        <f>+'WICHE Public Grads-RE PROJ'!GX48/'WICHE Public Grads-RE PROJ'!AP48</f>
        <v>0.16003355897486282</v>
      </c>
      <c r="FI45" s="282">
        <f>+'WICHE Public Grads-RE PROJ'!GY48/'WICHE Public Grads-RE PROJ'!AQ48</f>
        <v>0.15586901545127221</v>
      </c>
      <c r="FJ45" s="262">
        <f>+'WICHE Public Grads-RE PROJ'!GZ48/'WICHE Public Grads-RE PROJ'!B48</f>
        <v>1.8426090523724875E-2</v>
      </c>
      <c r="FK45" s="262">
        <f>+'WICHE Public Grads-RE PROJ'!HA48/'WICHE Public Grads-RE PROJ'!C48</f>
        <v>1.9952638859581252E-2</v>
      </c>
      <c r="FL45" s="262">
        <f>+'WICHE Public Grads-RE PROJ'!HB48/'WICHE Public Grads-RE PROJ'!D48</f>
        <v>1.9763746477184145E-2</v>
      </c>
      <c r="FM45" s="262">
        <f>+'WICHE Public Grads-RE PROJ'!HC48/'WICHE Public Grads-RE PROJ'!E48</f>
        <v>1.9308030439098171E-2</v>
      </c>
      <c r="FN45" s="262">
        <f>+'WICHE Public Grads-RE PROJ'!HD48/'WICHE Public Grads-RE PROJ'!F48</f>
        <v>2.0530807903659534E-2</v>
      </c>
      <c r="FO45" s="262">
        <f>+'WICHE Public Grads-RE PROJ'!HE48/'WICHE Public Grads-RE PROJ'!G48</f>
        <v>2.2119404649088577E-2</v>
      </c>
      <c r="FP45" s="267">
        <f>+'WICHE Public Grads-RE PROJ'!HF48/'WICHE Public Grads-RE PROJ'!H48</f>
        <v>2.0327395073976622E-2</v>
      </c>
      <c r="FQ45" s="267">
        <f>+'WICHE Public Grads-RE PROJ'!HG48/'WICHE Public Grads-RE PROJ'!I48</f>
        <v>2.3373173970783534E-2</v>
      </c>
      <c r="FR45" s="267">
        <f>+'WICHE Public Grads-RE PROJ'!HH48/'WICHE Public Grads-RE PROJ'!J48</f>
        <v>2.2440852179076362E-2</v>
      </c>
      <c r="FS45" s="267">
        <f>+'WICHE Public Grads-RE PROJ'!HI48/'WICHE Public Grads-RE PROJ'!K48</f>
        <v>2.2162358182665907E-2</v>
      </c>
      <c r="FT45" s="262">
        <f>+'WICHE Public Grads-RE PROJ'!HJ48/'WICHE Public Grads-RE PROJ'!L48</f>
        <v>2.404185219102957E-2</v>
      </c>
      <c r="FU45" s="267">
        <f>+'WICHE Public Grads-RE PROJ'!HK48/'WICHE Public Grads-RE PROJ'!M48</f>
        <v>2.2392598279179669E-2</v>
      </c>
      <c r="FV45" s="267">
        <f>+'WICHE Public Grads-RE PROJ'!HL48/'WICHE Public Grads-RE PROJ'!N48</f>
        <v>2.4336439897594691E-2</v>
      </c>
      <c r="FW45" s="267">
        <f>+'WICHE Public Grads-RE PROJ'!HM48/'WICHE Public Grads-RE PROJ'!O48</f>
        <v>2.5348979149849384E-2</v>
      </c>
      <c r="FX45" s="267">
        <f>+'WICHE Public Grads-RE PROJ'!HN48/'WICHE Public Grads-RE PROJ'!P48</f>
        <v>2.6583611159852607E-2</v>
      </c>
      <c r="FY45" s="267">
        <f>+'WICHE Public Grads-RE PROJ'!HO48/'WICHE Public Grads-RE PROJ'!Q48</f>
        <v>2.8729054525295516E-2</v>
      </c>
      <c r="FZ45" s="267">
        <f>+'WICHE Public Grads-RE PROJ'!HP48/'WICHE Public Grads-RE PROJ'!R48</f>
        <v>3.0386428552824637E-2</v>
      </c>
      <c r="GA45" s="267">
        <f>+'WICHE Public Grads-RE PROJ'!HQ48/'WICHE Public Grads-RE PROJ'!S48</f>
        <v>3.1381384044987672E-2</v>
      </c>
      <c r="GB45" s="267">
        <f>+'WICHE Public Grads-RE PROJ'!HR48/'WICHE Public Grads-RE PROJ'!T48</f>
        <v>3.3618835944417343E-2</v>
      </c>
      <c r="GC45" s="267">
        <f>+'WICHE Public Grads-RE PROJ'!HS48/'WICHE Public Grads-RE PROJ'!U48</f>
        <v>2.8504862427723855E-2</v>
      </c>
      <c r="GD45" s="267">
        <f>+'WICHE Public Grads-RE PROJ'!HT48/'WICHE Public Grads-RE PROJ'!V48</f>
        <v>2.83272954877378E-2</v>
      </c>
      <c r="GE45" s="267">
        <f>+'WICHE Public Grads-RE PROJ'!HU48/'WICHE Public Grads-RE PROJ'!W48</f>
        <v>3.1897130793589863E-2</v>
      </c>
      <c r="GF45" s="268">
        <f>+'WICHE Public Grads-RE PROJ'!HV48/'WICHE Public Grads-RE PROJ'!Y48</f>
        <v>3.7365616784988454E-2</v>
      </c>
      <c r="GG45" s="268">
        <f>+'WICHE Public Grads-RE PROJ'!HW48/'WICHE Public Grads-RE PROJ'!Z48</f>
        <v>4.0715790260994152E-2</v>
      </c>
      <c r="GH45" s="268">
        <f>+'WICHE Public Grads-RE PROJ'!HX48/'WICHE Public Grads-RE PROJ'!AA48</f>
        <v>4.1705353125160091E-2</v>
      </c>
      <c r="GI45" s="268">
        <f>+'WICHE Public Grads-RE PROJ'!HY48/'WICHE Public Grads-RE PROJ'!AB48</f>
        <v>4.3517552485626887E-2</v>
      </c>
      <c r="GJ45" s="266">
        <f>+'WICHE Public Grads-RE PROJ'!HZ48/'WICHE Public Grads-RE PROJ'!AC48</f>
        <v>4.8234697698231702E-2</v>
      </c>
      <c r="GK45" s="266">
        <f>+'WICHE Public Grads-RE PROJ'!IA48/'WICHE Public Grads-RE PROJ'!AD48</f>
        <v>5.1778044858767372E-2</v>
      </c>
      <c r="GL45" s="266">
        <f>+'WICHE Public Grads-RE PROJ'!IB48/'WICHE Public Grads-RE PROJ'!AE48</f>
        <v>5.5453335468156346E-2</v>
      </c>
      <c r="GM45" s="266">
        <f>+'WICHE Public Grads-RE PROJ'!IC48/'WICHE Public Grads-RE PROJ'!AF48</f>
        <v>5.7912976960570288E-2</v>
      </c>
      <c r="GN45" s="266">
        <f>+'WICHE Public Grads-RE PROJ'!ID48/'WICHE Public Grads-RE PROJ'!AG48</f>
        <v>6.0643581315698275E-2</v>
      </c>
      <c r="GO45" s="268">
        <f>+'WICHE Public Grads-RE PROJ'!IE48/'WICHE Public Grads-RE PROJ'!AH48</f>
        <v>6.7021851973296326E-2</v>
      </c>
      <c r="GP45" s="266">
        <f>+'WICHE Public Grads-RE PROJ'!IF48/'WICHE Public Grads-RE PROJ'!AI48</f>
        <v>6.7062994206560214E-2</v>
      </c>
      <c r="GQ45" s="266">
        <f>+'WICHE Public Grads-RE PROJ'!IG48/'WICHE Public Grads-RE PROJ'!AJ48</f>
        <v>7.2598189715687308E-2</v>
      </c>
      <c r="GR45" s="266">
        <f>+'WICHE Public Grads-RE PROJ'!IH48/'WICHE Public Grads-RE PROJ'!AK48</f>
        <v>7.4583188030457062E-2</v>
      </c>
      <c r="GS45" s="266">
        <f>+'WICHE Public Grads-RE PROJ'!II48/'WICHE Public Grads-RE PROJ'!AL48</f>
        <v>6.819528478053076E-2</v>
      </c>
      <c r="GT45" s="266">
        <f>+'WICHE Public Grads-RE PROJ'!IJ48/'WICHE Public Grads-RE PROJ'!AM48</f>
        <v>6.8867374047250143E-2</v>
      </c>
      <c r="GU45" s="266">
        <f>+'WICHE Public Grads-RE PROJ'!IK48/'WICHE Public Grads-RE PROJ'!AN48</f>
        <v>6.7738522965713144E-2</v>
      </c>
      <c r="GV45" s="266">
        <f>+'WICHE Public Grads-RE PROJ'!IL48/'WICHE Public Grads-RE PROJ'!AO48</f>
        <v>6.637171885676206E-2</v>
      </c>
      <c r="GW45" s="266">
        <f>+'WICHE Public Grads-RE PROJ'!IM48/'WICHE Public Grads-RE PROJ'!AP48</f>
        <v>6.5399129367097672E-2</v>
      </c>
      <c r="GX45" s="282">
        <f>+'WICHE Public Grads-RE PROJ'!IN48/'WICHE Public Grads-RE PROJ'!AQ48</f>
        <v>6.5132818689183941E-2</v>
      </c>
      <c r="GY45" s="262">
        <f>+'WICHE Public Grads-RE PROJ'!IO48/'WICHE Public Grads-RE PROJ'!B48</f>
        <v>0.83425634714435482</v>
      </c>
      <c r="GZ45" s="262">
        <f>+'WICHE Public Grads-RE PROJ'!IP48/'WICHE Public Grads-RE PROJ'!C48</f>
        <v>0.82096551077348712</v>
      </c>
      <c r="HA45" s="262">
        <f>+'WICHE Public Grads-RE PROJ'!IQ48/'WICHE Public Grads-RE PROJ'!D48</f>
        <v>0.82784673502428496</v>
      </c>
      <c r="HB45" s="262">
        <f>+'WICHE Public Grads-RE PROJ'!IR48/'WICHE Public Grads-RE PROJ'!E48</f>
        <v>0.82970175355674247</v>
      </c>
      <c r="HC45" s="262">
        <f>+'WICHE Public Grads-RE PROJ'!IS48/'WICHE Public Grads-RE PROJ'!F48</f>
        <v>0.82911259207295684</v>
      </c>
      <c r="HD45" s="262">
        <f>+'WICHE Public Grads-RE PROJ'!IT48/'WICHE Public Grads-RE PROJ'!G48</f>
        <v>0.82575394392106582</v>
      </c>
      <c r="HE45" s="267">
        <f>+'WICHE Public Grads-RE PROJ'!IU48/'WICHE Public Grads-RE PROJ'!H48</f>
        <v>0.82756761420006042</v>
      </c>
      <c r="HF45" s="267">
        <f>+'WICHE Public Grads-RE PROJ'!IV48/'WICHE Public Grads-RE PROJ'!I48</f>
        <v>0.82476494023904379</v>
      </c>
      <c r="HG45" s="267">
        <f>+'WICHE Public Grads-RE PROJ'!IW48/'WICHE Public Grads-RE PROJ'!J48</f>
        <v>0.82382088268716924</v>
      </c>
      <c r="HH45" s="267">
        <f>+'WICHE Public Grads-RE PROJ'!IX48/'WICHE Public Grads-RE PROJ'!K48</f>
        <v>0.82320882764337144</v>
      </c>
      <c r="HI45" s="262">
        <f>+'WICHE Public Grads-RE PROJ'!IY48/'WICHE Public Grads-RE PROJ'!L48</f>
        <v>0.82048610014631429</v>
      </c>
      <c r="HJ45" s="267">
        <f>+'WICHE Public Grads-RE PROJ'!IZ48/'WICHE Public Grads-RE PROJ'!M48</f>
        <v>0.82495687979182664</v>
      </c>
      <c r="HK45" s="267">
        <f>+'WICHE Public Grads-RE PROJ'!JA48/'WICHE Public Grads-RE PROJ'!N48</f>
        <v>0.82539489794885801</v>
      </c>
      <c r="HL45" s="267">
        <f>+'WICHE Public Grads-RE PROJ'!JB48/'WICHE Public Grads-RE PROJ'!O48</f>
        <v>0.80977929160678075</v>
      </c>
      <c r="HM45" s="267">
        <f>+'WICHE Public Grads-RE PROJ'!JC48/'WICHE Public Grads-RE PROJ'!P48</f>
        <v>0.79736211031175064</v>
      </c>
      <c r="HN45" s="267">
        <f>+'WICHE Public Grads-RE PROJ'!JD48/'WICHE Public Grads-RE PROJ'!Q48</f>
        <v>0.77339544698581875</v>
      </c>
      <c r="HO45" s="267">
        <f>+'WICHE Public Grads-RE PROJ'!JE48/'WICHE Public Grads-RE PROJ'!R48</f>
        <v>0.76595504544941528</v>
      </c>
      <c r="HP45" s="267">
        <f>+'WICHE Public Grads-RE PROJ'!JF48/'WICHE Public Grads-RE PROJ'!S48</f>
        <v>0.75962817760905432</v>
      </c>
      <c r="HQ45" s="267">
        <f>+'WICHE Public Grads-RE PROJ'!JG48/'WICHE Public Grads-RE PROJ'!T48</f>
        <v>0.75159465857140273</v>
      </c>
      <c r="HR45" s="267">
        <f>+'WICHE Public Grads-RE PROJ'!JH48/'WICHE Public Grads-RE PROJ'!U48</f>
        <v>0.76242941251161234</v>
      </c>
      <c r="HS45" s="267">
        <f>+'WICHE Public Grads-RE PROJ'!JI48/'WICHE Public Grads-RE PROJ'!V48</f>
        <v>0.76170834202787174</v>
      </c>
      <c r="HT45" s="267">
        <f>+'WICHE Public Grads-RE PROJ'!JJ48/'WICHE Public Grads-RE PROJ'!W48</f>
        <v>0.76266950231801178</v>
      </c>
      <c r="HU45" s="268">
        <f>+'WICHE Public Grads-RE PROJ'!JK48/'WICHE Public Grads-RE PROJ'!Y48</f>
        <v>0.75807114304755574</v>
      </c>
      <c r="HV45" s="268">
        <f>+'WICHE Public Grads-RE PROJ'!JL48/'WICHE Public Grads-RE PROJ'!Z48</f>
        <v>0.7561204629550945</v>
      </c>
      <c r="HW45" s="268">
        <f>+'WICHE Public Grads-RE PROJ'!JM48/'WICHE Public Grads-RE PROJ'!AA48</f>
        <v>0.76201698043591193</v>
      </c>
      <c r="HX45" s="268">
        <f>+'WICHE Public Grads-RE PROJ'!JN48/'WICHE Public Grads-RE PROJ'!AB48</f>
        <v>0.76730323866356798</v>
      </c>
      <c r="HY45" s="266">
        <f>+'WICHE Public Grads-RE PROJ'!JO48/'WICHE Public Grads-RE PROJ'!AC48</f>
        <v>0.75542624560674176</v>
      </c>
      <c r="HZ45" s="266">
        <f>+'WICHE Public Grads-RE PROJ'!JP48/'WICHE Public Grads-RE PROJ'!AD48</f>
        <v>0.75728471916866291</v>
      </c>
      <c r="IA45" s="266">
        <f>+'WICHE Public Grads-RE PROJ'!JQ48/'WICHE Public Grads-RE PROJ'!AE48</f>
        <v>0.75874051809866383</v>
      </c>
      <c r="IB45" s="266">
        <f>+'WICHE Public Grads-RE PROJ'!JR48/'WICHE Public Grads-RE PROJ'!AF48</f>
        <v>0.75864786921384597</v>
      </c>
      <c r="IC45" s="266">
        <f>+'WICHE Public Grads-RE PROJ'!JS48/'WICHE Public Grads-RE PROJ'!AG48</f>
        <v>0.75809184524208739</v>
      </c>
      <c r="ID45" s="268">
        <f>+'WICHE Public Grads-RE PROJ'!JT48/'WICHE Public Grads-RE PROJ'!AH48</f>
        <v>0.75002647940797262</v>
      </c>
      <c r="IE45" s="266">
        <f>+'WICHE Public Grads-RE PROJ'!JU48/'WICHE Public Grads-RE PROJ'!AI48</f>
        <v>0.751305159359554</v>
      </c>
      <c r="IF45" s="266">
        <f>+'WICHE Public Grads-RE PROJ'!JV48/'WICHE Public Grads-RE PROJ'!AJ48</f>
        <v>0.74974033920003214</v>
      </c>
      <c r="IG45" s="266">
        <f>+'WICHE Public Grads-RE PROJ'!JW48/'WICHE Public Grads-RE PROJ'!AK48</f>
        <v>0.73468079395928199</v>
      </c>
      <c r="IH45" s="266">
        <f>+'WICHE Public Grads-RE PROJ'!JX48/'WICHE Public Grads-RE PROJ'!AL48</f>
        <v>0.73698322866340171</v>
      </c>
      <c r="II45" s="266">
        <f>+'WICHE Public Grads-RE PROJ'!JY48/'WICHE Public Grads-RE PROJ'!AM48</f>
        <v>0.73321418694818041</v>
      </c>
      <c r="IJ45" s="266">
        <f>+'WICHE Public Grads-RE PROJ'!JZ48/'WICHE Public Grads-RE PROJ'!AN48</f>
        <v>0.73393670169904146</v>
      </c>
      <c r="IK45" s="266">
        <f>+'WICHE Public Grads-RE PROJ'!KA48/'WICHE Public Grads-RE PROJ'!AO48</f>
        <v>0.73438446432412041</v>
      </c>
      <c r="IL45" s="266">
        <f>+'WICHE Public Grads-RE PROJ'!KB48/'WICHE Public Grads-RE PROJ'!AP48</f>
        <v>0.73197715331927515</v>
      </c>
      <c r="IM45" s="282">
        <f>+'WICHE Public Grads-RE PROJ'!KC48/'WICHE Public Grads-RE PROJ'!AQ48</f>
        <v>0.73733739386964947</v>
      </c>
      <c r="IN45" s="278">
        <f t="shared" si="82"/>
        <v>1</v>
      </c>
      <c r="IO45" s="278">
        <f t="shared" si="83"/>
        <v>1</v>
      </c>
      <c r="IP45" s="278">
        <f t="shared" si="84"/>
        <v>1</v>
      </c>
      <c r="IQ45" s="278">
        <f t="shared" si="85"/>
        <v>1</v>
      </c>
      <c r="IR45" s="278">
        <f t="shared" si="86"/>
        <v>1</v>
      </c>
      <c r="IS45" s="278">
        <f t="shared" si="87"/>
        <v>1</v>
      </c>
      <c r="IT45" s="278">
        <f t="shared" si="88"/>
        <v>1</v>
      </c>
      <c r="IU45" s="278">
        <f t="shared" si="89"/>
        <v>1</v>
      </c>
      <c r="IV45" s="278">
        <f t="shared" si="90"/>
        <v>1</v>
      </c>
      <c r="IW45" s="278">
        <f t="shared" si="91"/>
        <v>1</v>
      </c>
      <c r="IX45" s="278">
        <f t="shared" si="92"/>
        <v>1</v>
      </c>
      <c r="IY45" s="278">
        <f t="shared" si="93"/>
        <v>1</v>
      </c>
      <c r="IZ45" s="278">
        <f t="shared" si="94"/>
        <v>1</v>
      </c>
      <c r="JA45" s="278">
        <f t="shared" si="95"/>
        <v>0.99606229450099426</v>
      </c>
      <c r="JB45" s="278">
        <f t="shared" si="96"/>
        <v>0.9972119865083543</v>
      </c>
      <c r="JC45" s="278">
        <f t="shared" si="97"/>
        <v>0.99530571004488633</v>
      </c>
      <c r="JD45" s="278">
        <f t="shared" si="98"/>
        <v>0.99543335388034693</v>
      </c>
      <c r="JE45" s="278">
        <f t="shared" si="99"/>
        <v>0.99416366571464054</v>
      </c>
      <c r="JF45" s="278">
        <f t="shared" si="100"/>
        <v>0.99280822536636482</v>
      </c>
      <c r="JG45" s="278">
        <f t="shared" si="101"/>
        <v>1</v>
      </c>
      <c r="JH45" s="278">
        <f t="shared" si="102"/>
        <v>0.99999999999999989</v>
      </c>
      <c r="JI45" s="278">
        <f t="shared" si="103"/>
        <v>1</v>
      </c>
      <c r="JJ45" s="278">
        <f t="shared" si="104"/>
        <v>0.99900130186222413</v>
      </c>
      <c r="JK45" s="278">
        <f t="shared" si="105"/>
        <v>1.0000947200426296</v>
      </c>
      <c r="JL45" s="278">
        <f t="shared" si="106"/>
        <v>1.0027628825340746</v>
      </c>
      <c r="JM45" s="278">
        <f t="shared" si="107"/>
        <v>1.0060277468838954</v>
      </c>
      <c r="JN45" s="278">
        <f t="shared" si="108"/>
        <v>1.0041542956588945</v>
      </c>
      <c r="JO45" s="278">
        <f t="shared" si="109"/>
        <v>1.006290631062551</v>
      </c>
      <c r="JP45" s="278">
        <f t="shared" si="110"/>
        <v>1.0089898155356523</v>
      </c>
      <c r="JQ45" s="278">
        <f t="shared" si="111"/>
        <v>1.0110846221056484</v>
      </c>
      <c r="JR45" s="278">
        <f t="shared" si="112"/>
        <v>1.0131204673060867</v>
      </c>
      <c r="JS45" s="278">
        <f t="shared" si="113"/>
        <v>1.0127196094350248</v>
      </c>
      <c r="JT45" s="278">
        <f t="shared" si="114"/>
        <v>1.014514550031816</v>
      </c>
      <c r="JU45" s="278">
        <f t="shared" si="115"/>
        <v>1.0170790756171328</v>
      </c>
      <c r="JV45" s="278">
        <f t="shared" si="116"/>
        <v>1.012339706346765</v>
      </c>
      <c r="JW45" s="278">
        <f t="shared" si="117"/>
        <v>1.0117417487826346</v>
      </c>
      <c r="JX45" s="278">
        <f t="shared" si="118"/>
        <v>1.0108454080917526</v>
      </c>
      <c r="JY45" s="278">
        <f t="shared" si="119"/>
        <v>1.008327612356767</v>
      </c>
      <c r="JZ45" s="278">
        <f t="shared" si="119"/>
        <v>1.009213284347467</v>
      </c>
      <c r="KA45" s="278">
        <f t="shared" si="119"/>
        <v>1.0087751555097346</v>
      </c>
      <c r="KB45" s="278">
        <f t="shared" si="119"/>
        <v>1.0115214177177958</v>
      </c>
    </row>
    <row r="46" spans="1:288" s="17" customFormat="1">
      <c r="A46" s="175" t="s">
        <v>70</v>
      </c>
      <c r="B46" s="262">
        <f>+'WICHE Public Grads-RE PROJ'!AR49/'WICHE Public Grads-RE PROJ'!B49</f>
        <v>4.2787920740676645E-2</v>
      </c>
      <c r="C46" s="262">
        <f>+'WICHE Public Grads-RE PROJ'!AS49/'WICHE Public Grads-RE PROJ'!C49</f>
        <v>4.3695484730520227E-2</v>
      </c>
      <c r="D46" s="262">
        <f>+'WICHE Public Grads-RE PROJ'!AT49/'WICHE Public Grads-RE PROJ'!D49</f>
        <v>4.4829182093571188E-2</v>
      </c>
      <c r="E46" s="262">
        <f>+'WICHE Public Grads-RE PROJ'!AU49/'WICHE Public Grads-RE PROJ'!E49</f>
        <v>4.2022936337480242E-2</v>
      </c>
      <c r="F46" s="262">
        <f>+'WICHE Public Grads-RE PROJ'!AV49/'WICHE Public Grads-RE PROJ'!F49</f>
        <v>4.0193340068540639E-2</v>
      </c>
      <c r="G46" s="262">
        <f>+'WICHE Public Grads-RE PROJ'!AW49/'WICHE Public Grads-RE PROJ'!G49</f>
        <v>4.0875940280270341E-2</v>
      </c>
      <c r="H46" s="267">
        <f>+'WICHE Public Grads-RE PROJ'!AX49/'WICHE Public Grads-RE PROJ'!H49</f>
        <v>4.4116570257011059E-2</v>
      </c>
      <c r="I46" s="267">
        <f>+'WICHE Public Grads-RE PROJ'!AY49/'WICHE Public Grads-RE PROJ'!I49</f>
        <v>4.7240370636352488E-2</v>
      </c>
      <c r="J46" s="267">
        <f>+'WICHE Public Grads-RE PROJ'!AZ49/'WICHE Public Grads-RE PROJ'!J49</f>
        <v>5.070417625322457E-2</v>
      </c>
      <c r="K46" s="267">
        <f>+'WICHE Public Grads-RE PROJ'!BA49/'WICHE Public Grads-RE PROJ'!K49</f>
        <v>5.4983121542567293E-2</v>
      </c>
      <c r="L46" s="262">
        <f>+'WICHE Public Grads-RE PROJ'!BB49/'WICHE Public Grads-RE PROJ'!L49</f>
        <v>5.6302228412256267E-2</v>
      </c>
      <c r="M46" s="267">
        <f>+'WICHE Public Grads-RE PROJ'!BC49/'WICHE Public Grads-RE PROJ'!M49</f>
        <v>5.7797146318481624E-2</v>
      </c>
      <c r="N46" s="267">
        <f>+'WICHE Public Grads-RE PROJ'!BD49/'WICHE Public Grads-RE PROJ'!N49</f>
        <v>6.1933125761472856E-2</v>
      </c>
      <c r="O46" s="267">
        <f>+'WICHE Public Grads-RE PROJ'!BE49/'WICHE Public Grads-RE PROJ'!O49</f>
        <v>6.3109040776832048E-2</v>
      </c>
      <c r="P46" s="267">
        <f>+'WICHE Public Grads-RE PROJ'!BF49/'WICHE Public Grads-RE PROJ'!P49</f>
        <v>6.5757750687629457E-2</v>
      </c>
      <c r="Q46" s="267">
        <f>+'WICHE Public Grads-RE PROJ'!BG49/'WICHE Public Grads-RE PROJ'!Q49</f>
        <v>6.6389902011866148E-2</v>
      </c>
      <c r="R46" s="267">
        <f>+'WICHE Public Grads-RE PROJ'!BH49/'WICHE Public Grads-RE PROJ'!R49</f>
        <v>6.9211541326623521E-2</v>
      </c>
      <c r="S46" s="267">
        <f>+'WICHE Public Grads-RE PROJ'!BI49/'WICHE Public Grads-RE PROJ'!S49</f>
        <v>7.2125768052369865E-2</v>
      </c>
      <c r="T46" s="267">
        <f>+'WICHE Public Grads-RE PROJ'!BJ49/'WICHE Public Grads-RE PROJ'!T49</f>
        <v>7.1211892670990665E-2</v>
      </c>
      <c r="U46" s="267">
        <f>+'WICHE Public Grads-RE PROJ'!BK49/'WICHE Public Grads-RE PROJ'!U49</f>
        <v>7.0637936441128313E-2</v>
      </c>
      <c r="V46" s="267">
        <f>+'WICHE Public Grads-RE PROJ'!BL49/'WICHE Public Grads-RE PROJ'!V49</f>
        <v>7.4079909902129357E-2</v>
      </c>
      <c r="W46" s="267">
        <f>+'WICHE Public Grads-RE PROJ'!BM49/'WICHE Public Grads-RE PROJ'!W49</f>
        <v>7.5519934766812596E-2</v>
      </c>
      <c r="X46" s="268">
        <f>+'WICHE Public Grads-RE PROJ'!BN49/'WICHE Public Grads-RE PROJ'!Y49</f>
        <v>7.5417506686768984E-2</v>
      </c>
      <c r="Y46" s="268">
        <f>+'WICHE Public Grads-RE PROJ'!BO49/'WICHE Public Grads-RE PROJ'!Z49</f>
        <v>7.6605508126209351E-2</v>
      </c>
      <c r="Z46" s="268">
        <f>+'WICHE Public Grads-RE PROJ'!BP49/'WICHE Public Grads-RE PROJ'!AA49</f>
        <v>7.5075608327270185E-2</v>
      </c>
      <c r="AA46" s="268">
        <f>+'WICHE Public Grads-RE PROJ'!BQ49/'WICHE Public Grads-RE PROJ'!AB49</f>
        <v>7.6555853774032886E-2</v>
      </c>
      <c r="AB46" s="266">
        <f>+'WICHE Public Grads-RE PROJ'!BR49/'WICHE Public Grads-RE PROJ'!AC49</f>
        <v>8.2145607445036128E-2</v>
      </c>
      <c r="AC46" s="266">
        <f>+'WICHE Public Grads-RE PROJ'!BS49/'WICHE Public Grads-RE PROJ'!AD49</f>
        <v>8.1498267418342207E-2</v>
      </c>
      <c r="AD46" s="266">
        <f>+'WICHE Public Grads-RE PROJ'!BT49/'WICHE Public Grads-RE PROJ'!AE49</f>
        <v>8.3839855853189565E-2</v>
      </c>
      <c r="AE46" s="266">
        <f>+'WICHE Public Grads-RE PROJ'!BU49/'WICHE Public Grads-RE PROJ'!AF49</f>
        <v>8.386194180489541E-2</v>
      </c>
      <c r="AF46" s="266">
        <f>+'WICHE Public Grads-RE PROJ'!BV49/'WICHE Public Grads-RE PROJ'!AG49</f>
        <v>8.2420695541125549E-2</v>
      </c>
      <c r="AG46" s="268">
        <f>+'WICHE Public Grads-RE PROJ'!BW49/'WICHE Public Grads-RE PROJ'!AH49</f>
        <v>8.2858061899805102E-2</v>
      </c>
      <c r="AH46" s="266">
        <f>+'WICHE Public Grads-RE PROJ'!BX49/'WICHE Public Grads-RE PROJ'!AI49</f>
        <v>8.0607733373817991E-2</v>
      </c>
      <c r="AI46" s="266">
        <f>+'WICHE Public Grads-RE PROJ'!BY49/'WICHE Public Grads-RE PROJ'!AJ49</f>
        <v>8.3741786452789443E-2</v>
      </c>
      <c r="AJ46" s="266">
        <f>+'WICHE Public Grads-RE PROJ'!BZ49/'WICHE Public Grads-RE PROJ'!AK49</f>
        <v>9.2451783383248415E-2</v>
      </c>
      <c r="AK46" s="266">
        <f>+'WICHE Public Grads-RE PROJ'!CA49/'WICHE Public Grads-RE PROJ'!AL49</f>
        <v>9.2277969808922444E-2</v>
      </c>
      <c r="AL46" s="266">
        <f>+'WICHE Public Grads-RE PROJ'!CB49/'WICHE Public Grads-RE PROJ'!AM49</f>
        <v>9.21066258093476E-2</v>
      </c>
      <c r="AM46" s="266">
        <f>+'WICHE Public Grads-RE PROJ'!CC49/'WICHE Public Grads-RE PROJ'!AN49</f>
        <v>9.2811553950299663E-2</v>
      </c>
      <c r="AN46" s="266">
        <f>+'WICHE Public Grads-RE PROJ'!CD49/'WICHE Public Grads-RE PROJ'!AO49</f>
        <v>9.8279428640249106E-2</v>
      </c>
      <c r="AO46" s="266">
        <f>+'WICHE Public Grads-RE PROJ'!CE49/'WICHE Public Grads-RE PROJ'!AP49</f>
        <v>9.7100985961950603E-2</v>
      </c>
      <c r="AP46" s="282">
        <f>+'WICHE Public Grads-RE PROJ'!CF49/'WICHE Public Grads-RE PROJ'!AQ49</f>
        <v>0.10036240190077816</v>
      </c>
      <c r="AQ46" s="262">
        <f>+'WICHE Public Grads-RE PROJ'!CG49/'WICHE Public Grads-RE PROJ'!B49</f>
        <v>1.0448213204118716E-2</v>
      </c>
      <c r="AR46" s="262">
        <f>+'WICHE Public Grads-RE PROJ'!CH49/'WICHE Public Grads-RE PROJ'!C49</f>
        <v>1.0346191477402835E-2</v>
      </c>
      <c r="AS46" s="262">
        <f>+'WICHE Public Grads-RE PROJ'!CI49/'WICHE Public Grads-RE PROJ'!D49</f>
        <v>1.1107371255469539E-2</v>
      </c>
      <c r="AT46" s="262">
        <f>+'WICHE Public Grads-RE PROJ'!CJ49/'WICHE Public Grads-RE PROJ'!E49</f>
        <v>1.019167645986141E-2</v>
      </c>
      <c r="AU46" s="262">
        <f>+'WICHE Public Grads-RE PROJ'!CK49/'WICHE Public Grads-RE PROJ'!F49</f>
        <v>9.9641449258136717E-3</v>
      </c>
      <c r="AV46" s="262">
        <f>+'WICHE Public Grads-RE PROJ'!CL49/'WICHE Public Grads-RE PROJ'!G49</f>
        <v>1.1035167436710069E-2</v>
      </c>
      <c r="AW46" s="267">
        <f>+'WICHE Public Grads-RE PROJ'!CM49/'WICHE Public Grads-RE PROJ'!H49</f>
        <v>1.1495936149959727E-2</v>
      </c>
      <c r="AX46" s="267">
        <f>+'WICHE Public Grads-RE PROJ'!CN49/'WICHE Public Grads-RE PROJ'!I49</f>
        <v>1.1052530171130301E-2</v>
      </c>
      <c r="AY46" s="267">
        <f>+'WICHE Public Grads-RE PROJ'!CO49/'WICHE Public Grads-RE PROJ'!J49</f>
        <v>1.0963536219758768E-2</v>
      </c>
      <c r="AZ46" s="267">
        <f>+'WICHE Public Grads-RE PROJ'!CP49/'WICHE Public Grads-RE PROJ'!K49</f>
        <v>1.1364238878775561E-2</v>
      </c>
      <c r="BA46" s="262">
        <f>+'WICHE Public Grads-RE PROJ'!CQ49/'WICHE Public Grads-RE PROJ'!L49</f>
        <v>1.150766016713092E-2</v>
      </c>
      <c r="BB46" s="267">
        <f>+'WICHE Public Grads-RE PROJ'!CR49/'WICHE Public Grads-RE PROJ'!M49</f>
        <v>1.238390092879257E-2</v>
      </c>
      <c r="BC46" s="267">
        <f>+'WICHE Public Grads-RE PROJ'!CS49/'WICHE Public Grads-RE PROJ'!N49</f>
        <v>1.3520373629348856E-2</v>
      </c>
      <c r="BD46" s="267">
        <f>+'WICHE Public Grads-RE PROJ'!CT49/'WICHE Public Grads-RE PROJ'!O49</f>
        <v>1.4522786045794728E-2</v>
      </c>
      <c r="BE46" s="267">
        <f>+'WICHE Public Grads-RE PROJ'!CU49/'WICHE Public Grads-RE PROJ'!P49</f>
        <v>1.3209277055248056E-2</v>
      </c>
      <c r="BF46" s="267">
        <f>+'WICHE Public Grads-RE PROJ'!CV49/'WICHE Public Grads-RE PROJ'!Q49</f>
        <v>1.4958737415331866E-2</v>
      </c>
      <c r="BG46" s="267">
        <f>+'WICHE Public Grads-RE PROJ'!CW49/'WICHE Public Grads-RE PROJ'!R49</f>
        <v>1.3739674551805194E-2</v>
      </c>
      <c r="BH46" s="267">
        <f>+'WICHE Public Grads-RE PROJ'!CX49/'WICHE Public Grads-RE PROJ'!S49</f>
        <v>1.5084799678548109E-2</v>
      </c>
      <c r="BI46" s="267">
        <f>+'WICHE Public Grads-RE PROJ'!CY49/'WICHE Public Grads-RE PROJ'!T49</f>
        <v>1.5117233981933062E-2</v>
      </c>
      <c r="BJ46" s="267">
        <f>+'WICHE Public Grads-RE PROJ'!CZ49/'WICHE Public Grads-RE PROJ'!U49</f>
        <v>1.1753176246208575E-2</v>
      </c>
      <c r="BK46" s="267">
        <f>+'WICHE Public Grads-RE PROJ'!DA49/'WICHE Public Grads-RE PROJ'!V49</f>
        <v>1.1665594984147305E-2</v>
      </c>
      <c r="BL46" s="267">
        <f>+'WICHE Public Grads-RE PROJ'!DB49/'WICHE Public Grads-RE PROJ'!W49</f>
        <v>1.1576370413736202E-2</v>
      </c>
      <c r="BM46" s="268">
        <f>+'WICHE Public Grads-RE PROJ'!DC49/'WICHE Public Grads-RE PROJ'!Y49</f>
        <v>1.1523029907380907E-2</v>
      </c>
      <c r="BN46" s="268">
        <f>+'WICHE Public Grads-RE PROJ'!DD49/'WICHE Public Grads-RE PROJ'!Z49</f>
        <v>1.1089167231049846E-2</v>
      </c>
      <c r="BO46" s="268">
        <f>+'WICHE Public Grads-RE PROJ'!DE49/'WICHE Public Grads-RE PROJ'!AA49</f>
        <v>1.0856359536332554E-2</v>
      </c>
      <c r="BP46" s="268">
        <f>+'WICHE Public Grads-RE PROJ'!DF49/'WICHE Public Grads-RE PROJ'!AB49</f>
        <v>1.0275958642795242E-2</v>
      </c>
      <c r="BQ46" s="266">
        <f>+'WICHE Public Grads-RE PROJ'!DG49/'WICHE Public Grads-RE PROJ'!AC49</f>
        <v>1.0156051646253725E-2</v>
      </c>
      <c r="BR46" s="266">
        <f>+'WICHE Public Grads-RE PROJ'!DH49/'WICHE Public Grads-RE PROJ'!AD49</f>
        <v>1.0143981780118758E-2</v>
      </c>
      <c r="BS46" s="266">
        <f>+'WICHE Public Grads-RE PROJ'!DI49/'WICHE Public Grads-RE PROJ'!AE49</f>
        <v>1.0015883283323255E-2</v>
      </c>
      <c r="BT46" s="266">
        <f>+'WICHE Public Grads-RE PROJ'!DJ49/'WICHE Public Grads-RE PROJ'!AF49</f>
        <v>9.5490245631695107E-3</v>
      </c>
      <c r="BU46" s="266">
        <f>+'WICHE Public Grads-RE PROJ'!DK49/'WICHE Public Grads-RE PROJ'!AG49</f>
        <v>9.1285281403679173E-3</v>
      </c>
      <c r="BV46" s="268">
        <f>+'WICHE Public Grads-RE PROJ'!DL49/'WICHE Public Grads-RE PROJ'!AH49</f>
        <v>8.1662932376663135E-3</v>
      </c>
      <c r="BW46" s="266">
        <f>+'WICHE Public Grads-RE PROJ'!DM49/'WICHE Public Grads-RE PROJ'!AI49</f>
        <v>8.0384079504191071E-3</v>
      </c>
      <c r="BX46" s="266">
        <f>+'WICHE Public Grads-RE PROJ'!DN49/'WICHE Public Grads-RE PROJ'!AJ49</f>
        <v>8.1301149452149488E-3</v>
      </c>
      <c r="BY46" s="266">
        <f>+'WICHE Public Grads-RE PROJ'!DO49/'WICHE Public Grads-RE PROJ'!AK49</f>
        <v>8.8251130180678102E-3</v>
      </c>
      <c r="BZ46" s="266">
        <f>+'WICHE Public Grads-RE PROJ'!DP49/'WICHE Public Grads-RE PROJ'!AL49</f>
        <v>8.7642669056759905E-3</v>
      </c>
      <c r="CA46" s="266">
        <f>+'WICHE Public Grads-RE PROJ'!DQ49/'WICHE Public Grads-RE PROJ'!AM49</f>
        <v>8.1707451036128458E-3</v>
      </c>
      <c r="CB46" s="266">
        <f>+'WICHE Public Grads-RE PROJ'!DR49/'WICHE Public Grads-RE PROJ'!AN49</f>
        <v>8.3671315664401759E-3</v>
      </c>
      <c r="CC46" s="266">
        <f>+'WICHE Public Grads-RE PROJ'!DS49/'WICHE Public Grads-RE PROJ'!AO49</f>
        <v>7.6932760150113834E-3</v>
      </c>
      <c r="CD46" s="266">
        <f>+'WICHE Public Grads-RE PROJ'!DT49/'WICHE Public Grads-RE PROJ'!AP49</f>
        <v>8.0893141015419036E-3</v>
      </c>
      <c r="CE46" s="282">
        <f>+'WICHE Public Grads-RE PROJ'!DU49/'WICHE Public Grads-RE PROJ'!AQ49</f>
        <v>7.6755588916727381E-3</v>
      </c>
      <c r="CF46" s="262">
        <f>+'WICHE Public Grads-RE PROJ'!DV49/'WICHE Public Grads-RE PROJ'!B49</f>
        <v>3.2339707536557932E-2</v>
      </c>
      <c r="CG46" s="262">
        <f>+'WICHE Public Grads-RE PROJ'!DW49/'WICHE Public Grads-RE PROJ'!C49</f>
        <v>3.334929325311739E-2</v>
      </c>
      <c r="CH46" s="262">
        <f>+'WICHE Public Grads-RE PROJ'!DX49/'WICHE Public Grads-RE PROJ'!D49</f>
        <v>3.3721810838101648E-2</v>
      </c>
      <c r="CI46" s="262">
        <f>+'WICHE Public Grads-RE PROJ'!DY49/'WICHE Public Grads-RE PROJ'!E49</f>
        <v>3.1831259877618832E-2</v>
      </c>
      <c r="CJ46" s="262">
        <f>+'WICHE Public Grads-RE PROJ'!DZ49/'WICHE Public Grads-RE PROJ'!F49</f>
        <v>3.0229195142726966E-2</v>
      </c>
      <c r="CK46" s="262">
        <f>+'WICHE Public Grads-RE PROJ'!EA49/'WICHE Public Grads-RE PROJ'!G49</f>
        <v>2.9840772843560272E-2</v>
      </c>
      <c r="CL46" s="267">
        <f>+'WICHE Public Grads-RE PROJ'!EB49/'WICHE Public Grads-RE PROJ'!H49</f>
        <v>3.2620634107051329E-2</v>
      </c>
      <c r="CM46" s="267">
        <f>+'WICHE Public Grads-RE PROJ'!EC49/'WICHE Public Grads-RE PROJ'!I49</f>
        <v>3.6187840465222186E-2</v>
      </c>
      <c r="CN46" s="267">
        <f>+'WICHE Public Grads-RE PROJ'!ED49/'WICHE Public Grads-RE PROJ'!J49</f>
        <v>3.97406400334658E-2</v>
      </c>
      <c r="CO46" s="267">
        <f>+'WICHE Public Grads-RE PROJ'!EE49/'WICHE Public Grads-RE PROJ'!K49</f>
        <v>4.3618882663791735E-2</v>
      </c>
      <c r="CP46" s="262">
        <f>+'WICHE Public Grads-RE PROJ'!EF49/'WICHE Public Grads-RE PROJ'!L49</f>
        <v>4.479456824512535E-2</v>
      </c>
      <c r="CQ46" s="267">
        <f>+'WICHE Public Grads-RE PROJ'!EG49/'WICHE Public Grads-RE PROJ'!M49</f>
        <v>4.5413245389689057E-2</v>
      </c>
      <c r="CR46" s="267">
        <f>+'WICHE Public Grads-RE PROJ'!EH49/'WICHE Public Grads-RE PROJ'!N49</f>
        <v>4.8412752132124003E-2</v>
      </c>
      <c r="CS46" s="267">
        <f>+'WICHE Public Grads-RE PROJ'!EI49/'WICHE Public Grads-RE PROJ'!O49</f>
        <v>4.8586254731037316E-2</v>
      </c>
      <c r="CT46" s="267">
        <f>+'WICHE Public Grads-RE PROJ'!EJ49/'WICHE Public Grads-RE PROJ'!P49</f>
        <v>5.2548473632381403E-2</v>
      </c>
      <c r="CU46" s="267">
        <f>+'WICHE Public Grads-RE PROJ'!EK49/'WICHE Public Grads-RE PROJ'!Q49</f>
        <v>5.1431164596534282E-2</v>
      </c>
      <c r="CV46" s="267">
        <f>+'WICHE Public Grads-RE PROJ'!EL49/'WICHE Public Grads-RE PROJ'!R49</f>
        <v>5.5471866774818322E-2</v>
      </c>
      <c r="CW46" s="267">
        <f>+'WICHE Public Grads-RE PROJ'!EM49/'WICHE Public Grads-RE PROJ'!S49</f>
        <v>5.7040968373821763E-2</v>
      </c>
      <c r="CX46" s="267">
        <f>+'WICHE Public Grads-RE PROJ'!EN49/'WICHE Public Grads-RE PROJ'!T49</f>
        <v>5.6094658689057601E-2</v>
      </c>
      <c r="CY46" s="267">
        <f>+'WICHE Public Grads-RE PROJ'!EO49/'WICHE Public Grads-RE PROJ'!U49</f>
        <v>5.8884760194919734E-2</v>
      </c>
      <c r="CZ46" s="267">
        <f>+'WICHE Public Grads-RE PROJ'!EP49/'WICHE Public Grads-RE PROJ'!V49</f>
        <v>6.241431491798205E-2</v>
      </c>
      <c r="DA46" s="267">
        <f>+'WICHE Public Grads-RE PROJ'!EQ49/'WICHE Public Grads-RE PROJ'!W49</f>
        <v>6.3943564353076382E-2</v>
      </c>
      <c r="DB46" s="268">
        <f>+'WICHE Public Grads-RE PROJ'!ER49/'WICHE Public Grads-RE PROJ'!Y49</f>
        <v>6.3894476779388074E-2</v>
      </c>
      <c r="DC46" s="268">
        <f>+'WICHE Public Grads-RE PROJ'!ES49/'WICHE Public Grads-RE PROJ'!Z49</f>
        <v>6.5516340895159508E-2</v>
      </c>
      <c r="DD46" s="268">
        <f>+'WICHE Public Grads-RE PROJ'!ET49/'WICHE Public Grads-RE PROJ'!AA49</f>
        <v>6.4219248790937641E-2</v>
      </c>
      <c r="DE46" s="268">
        <f>+'WICHE Public Grads-RE PROJ'!EU49/'WICHE Public Grads-RE PROJ'!AB49</f>
        <v>6.6279895131237637E-2</v>
      </c>
      <c r="DF46" s="266">
        <f>+'WICHE Public Grads-RE PROJ'!EV49/'WICHE Public Grads-RE PROJ'!AC49</f>
        <v>7.1989555798782398E-2</v>
      </c>
      <c r="DG46" s="266">
        <f>+'WICHE Public Grads-RE PROJ'!EW49/'WICHE Public Grads-RE PROJ'!AD49</f>
        <v>7.135428563822345E-2</v>
      </c>
      <c r="DH46" s="266">
        <f>+'WICHE Public Grads-RE PROJ'!EX49/'WICHE Public Grads-RE PROJ'!AE49</f>
        <v>7.3823972569866309E-2</v>
      </c>
      <c r="DI46" s="266">
        <f>+'WICHE Public Grads-RE PROJ'!EY49/'WICHE Public Grads-RE PROJ'!AF49</f>
        <v>7.4312917241725895E-2</v>
      </c>
      <c r="DJ46" s="266">
        <f>+'WICHE Public Grads-RE PROJ'!EZ49/'WICHE Public Grads-RE PROJ'!AG49</f>
        <v>7.3292167400757627E-2</v>
      </c>
      <c r="DK46" s="268">
        <f>+'WICHE Public Grads-RE PROJ'!FA49/'WICHE Public Grads-RE PROJ'!AH49</f>
        <v>7.4691768662138794E-2</v>
      </c>
      <c r="DL46" s="266">
        <f>+'WICHE Public Grads-RE PROJ'!FB49/'WICHE Public Grads-RE PROJ'!AI49</f>
        <v>7.2569325423398889E-2</v>
      </c>
      <c r="DM46" s="266">
        <f>+'WICHE Public Grads-RE PROJ'!FC49/'WICHE Public Grads-RE PROJ'!AJ49</f>
        <v>7.5611671507574502E-2</v>
      </c>
      <c r="DN46" s="266">
        <f>+'WICHE Public Grads-RE PROJ'!FD49/'WICHE Public Grads-RE PROJ'!AK49</f>
        <v>8.3626670365180608E-2</v>
      </c>
      <c r="DO46" s="266">
        <f>+'WICHE Public Grads-RE PROJ'!FE49/'WICHE Public Grads-RE PROJ'!AL49</f>
        <v>8.3513702903246445E-2</v>
      </c>
      <c r="DP46" s="266">
        <f>+'WICHE Public Grads-RE PROJ'!FF49/'WICHE Public Grads-RE PROJ'!AM49</f>
        <v>8.3935880705734753E-2</v>
      </c>
      <c r="DQ46" s="266">
        <f>+'WICHE Public Grads-RE PROJ'!FG49/'WICHE Public Grads-RE PROJ'!AN49</f>
        <v>8.4444422383859491E-2</v>
      </c>
      <c r="DR46" s="266">
        <f>+'WICHE Public Grads-RE PROJ'!FH49/'WICHE Public Grads-RE PROJ'!AO49</f>
        <v>9.0586152625237726E-2</v>
      </c>
      <c r="DS46" s="266">
        <f>+'WICHE Public Grads-RE PROJ'!FI49/'WICHE Public Grads-RE PROJ'!AP49</f>
        <v>8.9011671860408689E-2</v>
      </c>
      <c r="DT46" s="282">
        <f>+'WICHE Public Grads-RE PROJ'!FJ49/'WICHE Public Grads-RE PROJ'!AQ49</f>
        <v>9.268684300910543E-2</v>
      </c>
      <c r="DU46" s="262">
        <f>+'WICHE Public Grads-RE PROJ'!FK49/'WICHE Public Grads-RE PROJ'!B49</f>
        <v>1.1616336419486025E-2</v>
      </c>
      <c r="DV46" s="262">
        <f>+'WICHE Public Grads-RE PROJ'!FL49/'WICHE Public Grads-RE PROJ'!C49</f>
        <v>1.8985365447467577E-2</v>
      </c>
      <c r="DW46" s="262">
        <f>+'WICHE Public Grads-RE PROJ'!FM49/'WICHE Public Grads-RE PROJ'!D49</f>
        <v>2.11208347357792E-2</v>
      </c>
      <c r="DX46" s="262">
        <f>+'WICHE Public Grads-RE PROJ'!FN49/'WICHE Public Grads-RE PROJ'!E49</f>
        <v>2.1295133119909226E-2</v>
      </c>
      <c r="DY46" s="262">
        <f>+'WICHE Public Grads-RE PROJ'!FO49/'WICHE Public Grads-RE PROJ'!F49</f>
        <v>2.258275390741071E-2</v>
      </c>
      <c r="DZ46" s="262">
        <f>+'WICHE Public Grads-RE PROJ'!FP49/'WICHE Public Grads-RE PROJ'!G49</f>
        <v>2.4475925006682196E-2</v>
      </c>
      <c r="EA46" s="267">
        <f>+'WICHE Public Grads-RE PROJ'!FQ49/'WICHE Public Grads-RE PROJ'!H49</f>
        <v>2.7787947572673354E-2</v>
      </c>
      <c r="EB46" s="267">
        <f>+'WICHE Public Grads-RE PROJ'!FR49/'WICHE Public Grads-RE PROJ'!I49</f>
        <v>2.8918743759962166E-2</v>
      </c>
      <c r="EC46" s="267">
        <f>+'WICHE Public Grads-RE PROJ'!FS49/'WICHE Public Grads-RE PROJ'!J49</f>
        <v>2.9334867182597781E-2</v>
      </c>
      <c r="ED46" s="267">
        <f>+'WICHE Public Grads-RE PROJ'!FT49/'WICHE Public Grads-RE PROJ'!K49</f>
        <v>3.2519750446262881E-2</v>
      </c>
      <c r="EE46" s="262">
        <f>+'WICHE Public Grads-RE PROJ'!FU49/'WICHE Public Grads-RE PROJ'!L49</f>
        <v>3.6942896935933146E-2</v>
      </c>
      <c r="EF46" s="267">
        <f>+'WICHE Public Grads-RE PROJ'!FV49/'WICHE Public Grads-RE PROJ'!M49</f>
        <v>4.1980751110512853E-2</v>
      </c>
      <c r="EG46" s="267">
        <f>+'WICHE Public Grads-RE PROJ'!FW49/'WICHE Public Grads-RE PROJ'!N49</f>
        <v>4.2473263841884393E-2</v>
      </c>
      <c r="EH46" s="267">
        <f>+'WICHE Public Grads-RE PROJ'!FX49/'WICHE Public Grads-RE PROJ'!O49</f>
        <v>4.5161069342878182E-2</v>
      </c>
      <c r="EI46" s="267">
        <f>+'WICHE Public Grads-RE PROJ'!FY49/'WICHE Public Grads-RE PROJ'!P49</f>
        <v>5.047709599646847E-2</v>
      </c>
      <c r="EJ46" s="267">
        <f>+'WICHE Public Grads-RE PROJ'!FZ49/'WICHE Public Grads-RE PROJ'!Q49</f>
        <v>5.5851555540615494E-2</v>
      </c>
      <c r="EK46" s="267">
        <f>+'WICHE Public Grads-RE PROJ'!GA49/'WICHE Public Grads-RE PROJ'!R49</f>
        <v>6.0884967471734344E-2</v>
      </c>
      <c r="EL46" s="267">
        <f>+'WICHE Public Grads-RE PROJ'!GB49/'WICHE Public Grads-RE PROJ'!S49</f>
        <v>6.6450133101173633E-2</v>
      </c>
      <c r="EM46" s="267">
        <f>+'WICHE Public Grads-RE PROJ'!GC49/'WICHE Public Grads-RE PROJ'!T49</f>
        <v>7.0290110111116702E-2</v>
      </c>
      <c r="EN46" s="267">
        <f>+'WICHE Public Grads-RE PROJ'!GD49/'WICHE Public Grads-RE PROJ'!U49</f>
        <v>6.9387244108036358E-2</v>
      </c>
      <c r="EO46" s="267">
        <f>+'WICHE Public Grads-RE PROJ'!GE49/'WICHE Public Grads-RE PROJ'!V49</f>
        <v>6.7283101000539094E-2</v>
      </c>
      <c r="EP46" s="267">
        <f>+'WICHE Public Grads-RE PROJ'!GF49/'WICHE Public Grads-RE PROJ'!W49</f>
        <v>7.3701549864938043E-2</v>
      </c>
      <c r="EQ46" s="268">
        <f>+'WICHE Public Grads-RE PROJ'!GG49/'WICHE Public Grads-RE PROJ'!Y49</f>
        <v>7.2153551723068504E-2</v>
      </c>
      <c r="ER46" s="268">
        <f>+'WICHE Public Grads-RE PROJ'!GH49/'WICHE Public Grads-RE PROJ'!Z49</f>
        <v>7.2442283557862003E-2</v>
      </c>
      <c r="ES46" s="268">
        <f>+'WICHE Public Grads-RE PROJ'!GI49/'WICHE Public Grads-RE PROJ'!AA49</f>
        <v>7.3155826930846726E-2</v>
      </c>
      <c r="ET46" s="268">
        <f>+'WICHE Public Grads-RE PROJ'!GJ49/'WICHE Public Grads-RE PROJ'!AB49</f>
        <v>7.6964162875104339E-2</v>
      </c>
      <c r="EU46" s="266">
        <f>+'WICHE Public Grads-RE PROJ'!GK49/'WICHE Public Grads-RE PROJ'!AC49</f>
        <v>8.0672366852544683E-2</v>
      </c>
      <c r="EV46" s="266">
        <f>+'WICHE Public Grads-RE PROJ'!GL49/'WICHE Public Grads-RE PROJ'!AD49</f>
        <v>8.2547417008950921E-2</v>
      </c>
      <c r="EW46" s="266">
        <f>+'WICHE Public Grads-RE PROJ'!GM49/'WICHE Public Grads-RE PROJ'!AE49</f>
        <v>8.2480615164553628E-2</v>
      </c>
      <c r="EX46" s="266">
        <f>+'WICHE Public Grads-RE PROJ'!GN49/'WICHE Public Grads-RE PROJ'!AF49</f>
        <v>8.102793133648252E-2</v>
      </c>
      <c r="EY46" s="266">
        <f>+'WICHE Public Grads-RE PROJ'!GO49/'WICHE Public Grads-RE PROJ'!AG49</f>
        <v>8.4555078706999354E-2</v>
      </c>
      <c r="EZ46" s="268">
        <f>+'WICHE Public Grads-RE PROJ'!GP49/'WICHE Public Grads-RE PROJ'!AH49</f>
        <v>8.5548188246744483E-2</v>
      </c>
      <c r="FA46" s="266">
        <f>+'WICHE Public Grads-RE PROJ'!GQ49/'WICHE Public Grads-RE PROJ'!AI49</f>
        <v>8.8842602288254025E-2</v>
      </c>
      <c r="FB46" s="266">
        <f>+'WICHE Public Grads-RE PROJ'!GR49/'WICHE Public Grads-RE PROJ'!AJ49</f>
        <v>9.2784307014606812E-2</v>
      </c>
      <c r="FC46" s="266">
        <f>+'WICHE Public Grads-RE PROJ'!GS49/'WICHE Public Grads-RE PROJ'!AK49</f>
        <v>9.6873602025379479E-2</v>
      </c>
      <c r="FD46" s="266">
        <f>+'WICHE Public Grads-RE PROJ'!GT49/'WICHE Public Grads-RE PROJ'!AL49</f>
        <v>9.582521508066795E-2</v>
      </c>
      <c r="FE46" s="266">
        <f>+'WICHE Public Grads-RE PROJ'!GU49/'WICHE Public Grads-RE PROJ'!AM49</f>
        <v>9.8937856519984713E-2</v>
      </c>
      <c r="FF46" s="266">
        <f>+'WICHE Public Grads-RE PROJ'!GV49/'WICHE Public Grads-RE PROJ'!AN49</f>
        <v>9.7657573743013662E-2</v>
      </c>
      <c r="FG46" s="266">
        <f>+'WICHE Public Grads-RE PROJ'!GW49/'WICHE Public Grads-RE PROJ'!AO49</f>
        <v>0.10471857037695884</v>
      </c>
      <c r="FH46" s="266">
        <f>+'WICHE Public Grads-RE PROJ'!GX49/'WICHE Public Grads-RE PROJ'!AP49</f>
        <v>0.11048256406224116</v>
      </c>
      <c r="FI46" s="282">
        <f>+'WICHE Public Grads-RE PROJ'!GY49/'WICHE Public Grads-RE PROJ'!AQ49</f>
        <v>0.11462596466787893</v>
      </c>
      <c r="FJ46" s="262">
        <f>+'WICHE Public Grads-RE PROJ'!GZ49/'WICHE Public Grads-RE PROJ'!B49</f>
        <v>1.8105909838193303E-2</v>
      </c>
      <c r="FK46" s="262">
        <f>+'WICHE Public Grads-RE PROJ'!HA49/'WICHE Public Grads-RE PROJ'!C49</f>
        <v>1.3385515331931636E-2</v>
      </c>
      <c r="FL46" s="262">
        <f>+'WICHE Public Grads-RE PROJ'!HB49/'WICHE Public Grads-RE PROJ'!D49</f>
        <v>1.3842140693369236E-2</v>
      </c>
      <c r="FM46" s="262">
        <f>+'WICHE Public Grads-RE PROJ'!HC49/'WICHE Public Grads-RE PROJ'!E49</f>
        <v>1.3980629736191595E-2</v>
      </c>
      <c r="FN46" s="262">
        <f>+'WICHE Public Grads-RE PROJ'!HD49/'WICHE Public Grads-RE PROJ'!F49</f>
        <v>1.3212891979160476E-2</v>
      </c>
      <c r="FO46" s="262">
        <f>+'WICHE Public Grads-RE PROJ'!HE49/'WICHE Public Grads-RE PROJ'!G49</f>
        <v>1.4548092710680057E-2</v>
      </c>
      <c r="FP46" s="267">
        <f>+'WICHE Public Grads-RE PROJ'!HF49/'WICHE Public Grads-RE PROJ'!H49</f>
        <v>1.5395035512923776E-2</v>
      </c>
      <c r="FQ46" s="267">
        <f>+'WICHE Public Grads-RE PROJ'!HG49/'WICHE Public Grads-RE PROJ'!I49</f>
        <v>1.4433098036468094E-2</v>
      </c>
      <c r="FR46" s="267">
        <f>+'WICHE Public Grads-RE PROJ'!HH49/'WICHE Public Grads-RE PROJ'!J49</f>
        <v>1.5425643170884752E-2</v>
      </c>
      <c r="FS46" s="267">
        <f>+'WICHE Public Grads-RE PROJ'!HI49/'WICHE Public Grads-RE PROJ'!K49</f>
        <v>1.6189180113465651E-2</v>
      </c>
      <c r="FT46" s="262">
        <f>+'WICHE Public Grads-RE PROJ'!HJ49/'WICHE Public Grads-RE PROJ'!L49</f>
        <v>1.796657381615599E-2</v>
      </c>
      <c r="FU46" s="267">
        <f>+'WICHE Public Grads-RE PROJ'!HK49/'WICHE Public Grads-RE PROJ'!M49</f>
        <v>1.9164759725400458E-2</v>
      </c>
      <c r="FV46" s="267">
        <f>+'WICHE Public Grads-RE PROJ'!HL49/'WICHE Public Grads-RE PROJ'!N49</f>
        <v>2.0948964396913496E-2</v>
      </c>
      <c r="FW46" s="267">
        <f>+'WICHE Public Grads-RE PROJ'!HM49/'WICHE Public Grads-RE PROJ'!O49</f>
        <v>2.2640475415731876E-2</v>
      </c>
      <c r="FX46" s="267">
        <f>+'WICHE Public Grads-RE PROJ'!HN49/'WICHE Public Grads-RE PROJ'!P49</f>
        <v>2.5484736323814053E-2</v>
      </c>
      <c r="FY46" s="267">
        <f>+'WICHE Public Grads-RE PROJ'!HO49/'WICHE Public Grads-RE PROJ'!Q49</f>
        <v>2.8404793519000958E-2</v>
      </c>
      <c r="FZ46" s="267">
        <f>+'WICHE Public Grads-RE PROJ'!HP49/'WICHE Public Grads-RE PROJ'!R49</f>
        <v>2.9598238673045407E-2</v>
      </c>
      <c r="GA46" s="267">
        <f>+'WICHE Public Grads-RE PROJ'!HQ49/'WICHE Public Grads-RE PROJ'!S49</f>
        <v>3.3434345125483433E-2</v>
      </c>
      <c r="GB46" s="267">
        <f>+'WICHE Public Grads-RE PROJ'!HR49/'WICHE Public Grads-RE PROJ'!T49</f>
        <v>3.6469070005195503E-2</v>
      </c>
      <c r="GC46" s="267">
        <f>+'WICHE Public Grads-RE PROJ'!HS49/'WICHE Public Grads-RE PROJ'!U49</f>
        <v>4.1865323382246404E-2</v>
      </c>
      <c r="GD46" s="267">
        <f>+'WICHE Public Grads-RE PROJ'!HT49/'WICHE Public Grads-RE PROJ'!V49</f>
        <v>4.3425331733361161E-2</v>
      </c>
      <c r="GE46" s="267">
        <f>+'WICHE Public Grads-RE PROJ'!HU49/'WICHE Public Grads-RE PROJ'!W49</f>
        <v>4.8528023345635565E-2</v>
      </c>
      <c r="GF46" s="268">
        <f>+'WICHE Public Grads-RE PROJ'!HV49/'WICHE Public Grads-RE PROJ'!Y49</f>
        <v>4.9805332583605873E-2</v>
      </c>
      <c r="GG46" s="268">
        <f>+'WICHE Public Grads-RE PROJ'!HW49/'WICHE Public Grads-RE PROJ'!Z49</f>
        <v>5.5811134364770636E-2</v>
      </c>
      <c r="GH46" s="268">
        <f>+'WICHE Public Grads-RE PROJ'!HX49/'WICHE Public Grads-RE PROJ'!AA49</f>
        <v>5.6154776018538889E-2</v>
      </c>
      <c r="GI46" s="268">
        <f>+'WICHE Public Grads-RE PROJ'!HY49/'WICHE Public Grads-RE PROJ'!AB49</f>
        <v>6.2099345955399593E-2</v>
      </c>
      <c r="GJ46" s="266">
        <f>+'WICHE Public Grads-RE PROJ'!HZ49/'WICHE Public Grads-RE PROJ'!AC49</f>
        <v>6.1851674294395656E-2</v>
      </c>
      <c r="GK46" s="266">
        <f>+'WICHE Public Grads-RE PROJ'!IA49/'WICHE Public Grads-RE PROJ'!AD49</f>
        <v>6.7916218586459298E-2</v>
      </c>
      <c r="GL46" s="266">
        <f>+'WICHE Public Grads-RE PROJ'!IB49/'WICHE Public Grads-RE PROJ'!AE49</f>
        <v>7.1011595094013974E-2</v>
      </c>
      <c r="GM46" s="266">
        <f>+'WICHE Public Grads-RE PROJ'!IC49/'WICHE Public Grads-RE PROJ'!AF49</f>
        <v>7.0896500749536906E-2</v>
      </c>
      <c r="GN46" s="266">
        <f>+'WICHE Public Grads-RE PROJ'!ID49/'WICHE Public Grads-RE PROJ'!AG49</f>
        <v>7.7816603320629188E-2</v>
      </c>
      <c r="GO46" s="268">
        <f>+'WICHE Public Grads-RE PROJ'!IE49/'WICHE Public Grads-RE PROJ'!AH49</f>
        <v>7.7552999710417764E-2</v>
      </c>
      <c r="GP46" s="266">
        <f>+'WICHE Public Grads-RE PROJ'!IF49/'WICHE Public Grads-RE PROJ'!AI49</f>
        <v>8.1830234507375768E-2</v>
      </c>
      <c r="GQ46" s="266">
        <f>+'WICHE Public Grads-RE PROJ'!IG49/'WICHE Public Grads-RE PROJ'!AJ49</f>
        <v>8.4851301899260892E-2</v>
      </c>
      <c r="GR46" s="266">
        <f>+'WICHE Public Grads-RE PROJ'!IH49/'WICHE Public Grads-RE PROJ'!AK49</f>
        <v>8.1302707027488971E-2</v>
      </c>
      <c r="GS46" s="266">
        <f>+'WICHE Public Grads-RE PROJ'!II49/'WICHE Public Grads-RE PROJ'!AL49</f>
        <v>8.1501090620384326E-2</v>
      </c>
      <c r="GT46" s="266">
        <f>+'WICHE Public Grads-RE PROJ'!IJ49/'WICHE Public Grads-RE PROJ'!AM49</f>
        <v>7.6512110412231854E-2</v>
      </c>
      <c r="GU46" s="266">
        <f>+'WICHE Public Grads-RE PROJ'!IK49/'WICHE Public Grads-RE PROJ'!AN49</f>
        <v>6.9319143692361626E-2</v>
      </c>
      <c r="GV46" s="266">
        <f>+'WICHE Public Grads-RE PROJ'!IL49/'WICHE Public Grads-RE PROJ'!AO49</f>
        <v>7.2264294023352355E-2</v>
      </c>
      <c r="GW46" s="266">
        <f>+'WICHE Public Grads-RE PROJ'!IM49/'WICHE Public Grads-RE PROJ'!AP49</f>
        <v>6.9311878538494076E-2</v>
      </c>
      <c r="GX46" s="282">
        <f>+'WICHE Public Grads-RE PROJ'!IN49/'WICHE Public Grads-RE PROJ'!AQ49</f>
        <v>6.8603359544490136E-2</v>
      </c>
      <c r="GY46" s="262">
        <f>+'WICHE Public Grads-RE PROJ'!IO49/'WICHE Public Grads-RE PROJ'!B49</f>
        <v>0.927489833001644</v>
      </c>
      <c r="GZ46" s="262">
        <f>+'WICHE Public Grads-RE PROJ'!IP49/'WICHE Public Grads-RE PROJ'!C49</f>
        <v>0.92393363449008059</v>
      </c>
      <c r="HA46" s="262">
        <f>+'WICHE Public Grads-RE PROJ'!IQ49/'WICHE Public Grads-RE PROJ'!D49</f>
        <v>0.92020784247728038</v>
      </c>
      <c r="HB46" s="262">
        <f>+'WICHE Public Grads-RE PROJ'!IR49/'WICHE Public Grads-RE PROJ'!E49</f>
        <v>0.92270130080641888</v>
      </c>
      <c r="HC46" s="262">
        <f>+'WICHE Public Grads-RE PROJ'!IS49/'WICHE Public Grads-RE PROJ'!F49</f>
        <v>0.92401101404488817</v>
      </c>
      <c r="HD46" s="262">
        <f>+'WICHE Public Grads-RE PROJ'!IT49/'WICHE Public Grads-RE PROJ'!G49</f>
        <v>0.92010004200236739</v>
      </c>
      <c r="HE46" s="267">
        <f>+'WICHE Public Grads-RE PROJ'!IU49/'WICHE Public Grads-RE PROJ'!H49</f>
        <v>0.91270044665739181</v>
      </c>
      <c r="HF46" s="267">
        <f>+'WICHE Public Grads-RE PROJ'!IV49/'WICHE Public Grads-RE PROJ'!I49</f>
        <v>0.9094077875672173</v>
      </c>
      <c r="HG46" s="267">
        <f>+'WICHE Public Grads-RE PROJ'!IW49/'WICHE Public Grads-RE PROJ'!J49</f>
        <v>0.90453531339329285</v>
      </c>
      <c r="HH46" s="267">
        <f>+'WICHE Public Grads-RE PROJ'!IX49/'WICHE Public Grads-RE PROJ'!K49</f>
        <v>0.89630794789770418</v>
      </c>
      <c r="HI46" s="262">
        <f>+'WICHE Public Grads-RE PROJ'!IY49/'WICHE Public Grads-RE PROJ'!L49</f>
        <v>0.88878830083565463</v>
      </c>
      <c r="HJ46" s="267">
        <f>+'WICHE Public Grads-RE PROJ'!IZ49/'WICHE Public Grads-RE PROJ'!M49</f>
        <v>0.88105734284560511</v>
      </c>
      <c r="HK46" s="267">
        <f>+'WICHE Public Grads-RE PROJ'!JA49/'WICHE Public Grads-RE PROJ'!N49</f>
        <v>0.87464464599972924</v>
      </c>
      <c r="HL46" s="267">
        <f>+'WICHE Public Grads-RE PROJ'!JB49/'WICHE Public Grads-RE PROJ'!O49</f>
        <v>0.86912366631843951</v>
      </c>
      <c r="HM46" s="267">
        <f>+'WICHE Public Grads-RE PROJ'!JC49/'WICHE Public Grads-RE PROJ'!P49</f>
        <v>0.85828041699208801</v>
      </c>
      <c r="HN46" s="267">
        <f>+'WICHE Public Grads-RE PROJ'!JD49/'WICHE Public Grads-RE PROJ'!Q49</f>
        <v>0.84935374892851745</v>
      </c>
      <c r="HO46" s="267">
        <f>+'WICHE Public Grads-RE PROJ'!JE49/'WICHE Public Grads-RE PROJ'!R49</f>
        <v>0.84030525252859678</v>
      </c>
      <c r="HP46" s="267">
        <f>+'WICHE Public Grads-RE PROJ'!JF49/'WICHE Public Grads-RE PROJ'!S49</f>
        <v>0.82798975372097305</v>
      </c>
      <c r="HQ46" s="267">
        <f>+'WICHE Public Grads-RE PROJ'!JG49/'WICHE Public Grads-RE PROJ'!T49</f>
        <v>0.82202892721269716</v>
      </c>
      <c r="HR46" s="267">
        <f>+'WICHE Public Grads-RE PROJ'!JH49/'WICHE Public Grads-RE PROJ'!U49</f>
        <v>0.81810949606858896</v>
      </c>
      <c r="HS46" s="267">
        <f>+'WICHE Public Grads-RE PROJ'!JI49/'WICHE Public Grads-RE PROJ'!V49</f>
        <v>0.81521165736397039</v>
      </c>
      <c r="HT46" s="267">
        <f>+'WICHE Public Grads-RE PROJ'!JJ49/'WICHE Public Grads-RE PROJ'!W49</f>
        <v>0.80225049202261389</v>
      </c>
      <c r="HU46" s="268">
        <f>+'WICHE Public Grads-RE PROJ'!JK49/'WICHE Public Grads-RE PROJ'!Y49</f>
        <v>0.79934243301557573</v>
      </c>
      <c r="HV46" s="268">
        <f>+'WICHE Public Grads-RE PROJ'!JL49/'WICHE Public Grads-RE PROJ'!Z49</f>
        <v>0.79120306474207447</v>
      </c>
      <c r="HW46" s="268">
        <f>+'WICHE Public Grads-RE PROJ'!JM49/'WICHE Public Grads-RE PROJ'!AA49</f>
        <v>0.79178739305474022</v>
      </c>
      <c r="HX46" s="268">
        <f>+'WICHE Public Grads-RE PROJ'!JN49/'WICHE Public Grads-RE PROJ'!AB49</f>
        <v>0.77864987094356686</v>
      </c>
      <c r="HY46" s="266">
        <f>+'WICHE Public Grads-RE PROJ'!JO49/'WICHE Public Grads-RE PROJ'!AC49</f>
        <v>0.76940003193633588</v>
      </c>
      <c r="HZ46" s="266">
        <f>+'WICHE Public Grads-RE PROJ'!JP49/'WICHE Public Grads-RE PROJ'!AD49</f>
        <v>0.75997987821131596</v>
      </c>
      <c r="IA46" s="266">
        <f>+'WICHE Public Grads-RE PROJ'!JQ49/'WICHE Public Grads-RE PROJ'!AE49</f>
        <v>0.75398122135220746</v>
      </c>
      <c r="IB46" s="266">
        <f>+'WICHE Public Grads-RE PROJ'!JR49/'WICHE Public Grads-RE PROJ'!AF49</f>
        <v>0.75641229117445485</v>
      </c>
      <c r="IC46" s="266">
        <f>+'WICHE Public Grads-RE PROJ'!JS49/'WICHE Public Grads-RE PROJ'!AG49</f>
        <v>0.74553318699201632</v>
      </c>
      <c r="ID46" s="268">
        <f>+'WICHE Public Grads-RE PROJ'!JT49/'WICHE Public Grads-RE PROJ'!AH49</f>
        <v>0.74543749706847096</v>
      </c>
      <c r="IE46" s="266">
        <f>+'WICHE Public Grads-RE PROJ'!JU49/'WICHE Public Grads-RE PROJ'!AI49</f>
        <v>0.73872753231342991</v>
      </c>
      <c r="IF46" s="266">
        <f>+'WICHE Public Grads-RE PROJ'!JV49/'WICHE Public Grads-RE PROJ'!AJ49</f>
        <v>0.72767004975211991</v>
      </c>
      <c r="IG46" s="266">
        <f>+'WICHE Public Grads-RE PROJ'!JW49/'WICHE Public Grads-RE PROJ'!AK49</f>
        <v>0.72220340376475911</v>
      </c>
      <c r="IH46" s="266">
        <f>+'WICHE Public Grads-RE PROJ'!JX49/'WICHE Public Grads-RE PROJ'!AL49</f>
        <v>0.72281315286810088</v>
      </c>
      <c r="II46" s="266">
        <f>+'WICHE Public Grads-RE PROJ'!JY49/'WICHE Public Grads-RE PROJ'!AM49</f>
        <v>0.72518889805105358</v>
      </c>
      <c r="IJ46" s="266">
        <f>+'WICHE Public Grads-RE PROJ'!JZ49/'WICHE Public Grads-RE PROJ'!AN49</f>
        <v>0.72217643462199277</v>
      </c>
      <c r="IK46" s="266">
        <f>+'WICHE Public Grads-RE PROJ'!KA49/'WICHE Public Grads-RE PROJ'!AO49</f>
        <v>0.7145335927037515</v>
      </c>
      <c r="IL46" s="266">
        <f>+'WICHE Public Grads-RE PROJ'!KB49/'WICHE Public Grads-RE PROJ'!AP49</f>
        <v>0.71279544983079413</v>
      </c>
      <c r="IM46" s="282">
        <f>+'WICHE Public Grads-RE PROJ'!KC49/'WICHE Public Grads-RE PROJ'!AQ49</f>
        <v>0.70664519851804031</v>
      </c>
      <c r="IN46" s="278">
        <f t="shared" si="82"/>
        <v>1</v>
      </c>
      <c r="IO46" s="278">
        <f t="shared" si="83"/>
        <v>1</v>
      </c>
      <c r="IP46" s="278">
        <f t="shared" si="84"/>
        <v>1</v>
      </c>
      <c r="IQ46" s="278">
        <f t="shared" si="85"/>
        <v>1</v>
      </c>
      <c r="IR46" s="278">
        <f t="shared" si="86"/>
        <v>1</v>
      </c>
      <c r="IS46" s="278">
        <f t="shared" si="87"/>
        <v>1</v>
      </c>
      <c r="IT46" s="278">
        <f t="shared" si="88"/>
        <v>1</v>
      </c>
      <c r="IU46" s="278">
        <f t="shared" si="89"/>
        <v>1</v>
      </c>
      <c r="IV46" s="278">
        <f t="shared" si="90"/>
        <v>1</v>
      </c>
      <c r="IW46" s="278">
        <f t="shared" si="91"/>
        <v>1</v>
      </c>
      <c r="IX46" s="278">
        <f t="shared" si="92"/>
        <v>1</v>
      </c>
      <c r="IY46" s="278">
        <f t="shared" si="93"/>
        <v>1</v>
      </c>
      <c r="IZ46" s="278">
        <f t="shared" si="94"/>
        <v>1</v>
      </c>
      <c r="JA46" s="278">
        <f t="shared" si="95"/>
        <v>1.0000342518538816</v>
      </c>
      <c r="JB46" s="278">
        <f t="shared" si="96"/>
        <v>1</v>
      </c>
      <c r="JC46" s="278">
        <f t="shared" si="97"/>
        <v>1</v>
      </c>
      <c r="JD46" s="278">
        <f t="shared" si="98"/>
        <v>1</v>
      </c>
      <c r="JE46" s="278">
        <f t="shared" si="99"/>
        <v>1</v>
      </c>
      <c r="JF46" s="278">
        <f t="shared" si="100"/>
        <v>1</v>
      </c>
      <c r="JG46" s="278">
        <f t="shared" si="101"/>
        <v>1</v>
      </c>
      <c r="JH46" s="278">
        <f t="shared" si="102"/>
        <v>1</v>
      </c>
      <c r="JI46" s="278">
        <f t="shared" si="103"/>
        <v>1</v>
      </c>
      <c r="JJ46" s="278">
        <f t="shared" si="104"/>
        <v>0.99671882400901901</v>
      </c>
      <c r="JK46" s="278">
        <f t="shared" si="105"/>
        <v>0.99606199079091651</v>
      </c>
      <c r="JL46" s="278">
        <f t="shared" si="106"/>
        <v>0.99617360433139601</v>
      </c>
      <c r="JM46" s="278">
        <f t="shared" si="107"/>
        <v>0.9942692335481037</v>
      </c>
      <c r="JN46" s="278">
        <f t="shared" si="108"/>
        <v>0.99406968052831235</v>
      </c>
      <c r="JO46" s="278">
        <f t="shared" si="109"/>
        <v>0.99194178122506838</v>
      </c>
      <c r="JP46" s="278">
        <f t="shared" si="110"/>
        <v>0.99131328746396463</v>
      </c>
      <c r="JQ46" s="278">
        <f t="shared" si="111"/>
        <v>0.99219866506536969</v>
      </c>
      <c r="JR46" s="278">
        <f t="shared" si="112"/>
        <v>0.99032556456077048</v>
      </c>
      <c r="JS46" s="278">
        <f t="shared" si="113"/>
        <v>0.99139674692543833</v>
      </c>
      <c r="JT46" s="278">
        <f t="shared" si="114"/>
        <v>0.99000810248287774</v>
      </c>
      <c r="JU46" s="278">
        <f t="shared" si="115"/>
        <v>0.98904744511877707</v>
      </c>
      <c r="JV46" s="278">
        <f t="shared" si="116"/>
        <v>0.99283149620087596</v>
      </c>
      <c r="JW46" s="278">
        <f t="shared" si="117"/>
        <v>0.99241742837807556</v>
      </c>
      <c r="JX46" s="278">
        <f t="shared" si="118"/>
        <v>0.99274549079261776</v>
      </c>
      <c r="JY46" s="278">
        <f t="shared" si="119"/>
        <v>0.98196470600766772</v>
      </c>
      <c r="JZ46" s="278">
        <f t="shared" si="119"/>
        <v>0.98979588574431177</v>
      </c>
      <c r="KA46" s="278">
        <f t="shared" si="119"/>
        <v>0.98969087839347991</v>
      </c>
      <c r="KB46" s="278">
        <f t="shared" si="119"/>
        <v>0.99023692463118751</v>
      </c>
    </row>
    <row r="47" spans="1:288" s="17" customFormat="1">
      <c r="A47" s="175" t="s">
        <v>71</v>
      </c>
      <c r="B47" s="262">
        <f>+'WICHE Public Grads-RE PROJ'!AR50/'WICHE Public Grads-RE PROJ'!B50</f>
        <v>1.3940201048200018E-2</v>
      </c>
      <c r="C47" s="262">
        <f>+'WICHE Public Grads-RE PROJ'!AS50/'WICHE Public Grads-RE PROJ'!C50</f>
        <v>1.4638101741208604E-2</v>
      </c>
      <c r="D47" s="262">
        <f>+'WICHE Public Grads-RE PROJ'!AT50/'WICHE Public Grads-RE PROJ'!D50</f>
        <v>1.3679508654383027E-2</v>
      </c>
      <c r="E47" s="262">
        <f>+'WICHE Public Grads-RE PROJ'!AU50/'WICHE Public Grads-RE PROJ'!E50</f>
        <v>1.3343702672833696E-2</v>
      </c>
      <c r="F47" s="262">
        <f>+'WICHE Public Grads-RE PROJ'!AV50/'WICHE Public Grads-RE PROJ'!F50</f>
        <v>1.4262104425537124E-2</v>
      </c>
      <c r="G47" s="262">
        <f>+'WICHE Public Grads-RE PROJ'!AW50/'WICHE Public Grads-RE PROJ'!G50</f>
        <v>1.4819064954593118E-2</v>
      </c>
      <c r="H47" s="267">
        <f>+'WICHE Public Grads-RE PROJ'!AX50/'WICHE Public Grads-RE PROJ'!H50</f>
        <v>1.4550340723677896E-2</v>
      </c>
      <c r="I47" s="267">
        <f>+'WICHE Public Grads-RE PROJ'!AY50/'WICHE Public Grads-RE PROJ'!I50</f>
        <v>1.467704783841922E-2</v>
      </c>
      <c r="J47" s="267">
        <f>+'WICHE Public Grads-RE PROJ'!AZ50/'WICHE Public Grads-RE PROJ'!J50</f>
        <v>1.8032848925219499E-2</v>
      </c>
      <c r="K47" s="267">
        <f>+'WICHE Public Grads-RE PROJ'!BA50/'WICHE Public Grads-RE PROJ'!K50</f>
        <v>1.6384055561712661E-2</v>
      </c>
      <c r="L47" s="262">
        <f>+'WICHE Public Grads-RE PROJ'!BB50/'WICHE Public Grads-RE PROJ'!L50</f>
        <v>1.7784058582781214E-2</v>
      </c>
      <c r="M47" s="267">
        <f>+'WICHE Public Grads-RE PROJ'!BC50/'WICHE Public Grads-RE PROJ'!M50</f>
        <v>1.6741326306543697E-2</v>
      </c>
      <c r="N47" s="267">
        <f>+'WICHE Public Grads-RE PROJ'!BD50/'WICHE Public Grads-RE PROJ'!N50</f>
        <v>1.8194988186192505E-2</v>
      </c>
      <c r="O47" s="267">
        <f>+'WICHE Public Grads-RE PROJ'!BE50/'WICHE Public Grads-RE PROJ'!O50</f>
        <v>1.8101346795525664E-2</v>
      </c>
      <c r="P47" s="267">
        <f>+'WICHE Public Grads-RE PROJ'!BF50/'WICHE Public Grads-RE PROJ'!P50</f>
        <v>2.0969923138812331E-2</v>
      </c>
      <c r="Q47" s="267">
        <f>+'WICHE Public Grads-RE PROJ'!BG50/'WICHE Public Grads-RE PROJ'!Q50</f>
        <v>2.0854417254251349E-2</v>
      </c>
      <c r="R47" s="267">
        <f>+'WICHE Public Grads-RE PROJ'!BH50/'WICHE Public Grads-RE PROJ'!R50</f>
        <v>2.101527942058104E-2</v>
      </c>
      <c r="S47" s="267">
        <f>+'WICHE Public Grads-RE PROJ'!BI50/'WICHE Public Grads-RE PROJ'!S50</f>
        <v>2.1105623401991454E-2</v>
      </c>
      <c r="T47" s="267">
        <f>+'WICHE Public Grads-RE PROJ'!BJ50/'WICHE Public Grads-RE PROJ'!T50</f>
        <v>2.2564615432696816E-2</v>
      </c>
      <c r="U47" s="267">
        <f>+'WICHE Public Grads-RE PROJ'!BK50/'WICHE Public Grads-RE PROJ'!U50</f>
        <v>2.2390083133990164E-2</v>
      </c>
      <c r="V47" s="267">
        <f>+'WICHE Public Grads-RE PROJ'!BL50/'WICHE Public Grads-RE PROJ'!V50</f>
        <v>2.4461169893833182E-2</v>
      </c>
      <c r="W47" s="267">
        <f>+'WICHE Public Grads-RE PROJ'!BM50/'WICHE Public Grads-RE PROJ'!W50</f>
        <v>2.5645493195333387E-2</v>
      </c>
      <c r="X47" s="268">
        <f>+'WICHE Public Grads-RE PROJ'!BN50/'WICHE Public Grads-RE PROJ'!Y50</f>
        <v>2.6387862790553974E-2</v>
      </c>
      <c r="Y47" s="268">
        <f>+'WICHE Public Grads-RE PROJ'!BO50/'WICHE Public Grads-RE PROJ'!Z50</f>
        <v>2.6326605536967366E-2</v>
      </c>
      <c r="Z47" s="268">
        <f>+'WICHE Public Grads-RE PROJ'!BP50/'WICHE Public Grads-RE PROJ'!AA50</f>
        <v>2.6360197900916895E-2</v>
      </c>
      <c r="AA47" s="268">
        <f>+'WICHE Public Grads-RE PROJ'!BQ50/'WICHE Public Grads-RE PROJ'!AB50</f>
        <v>2.7356154904913527E-2</v>
      </c>
      <c r="AB47" s="266">
        <f>+'WICHE Public Grads-RE PROJ'!BR50/'WICHE Public Grads-RE PROJ'!AC50</f>
        <v>2.8601788175712219E-2</v>
      </c>
      <c r="AC47" s="266">
        <f>+'WICHE Public Grads-RE PROJ'!BS50/'WICHE Public Grads-RE PROJ'!AD50</f>
        <v>2.913943619219532E-2</v>
      </c>
      <c r="AD47" s="266">
        <f>+'WICHE Public Grads-RE PROJ'!BT50/'WICHE Public Grads-RE PROJ'!AE50</f>
        <v>3.0755672290327135E-2</v>
      </c>
      <c r="AE47" s="266">
        <f>+'WICHE Public Grads-RE PROJ'!BU50/'WICHE Public Grads-RE PROJ'!AF50</f>
        <v>3.159524887927824E-2</v>
      </c>
      <c r="AF47" s="266">
        <f>+'WICHE Public Grads-RE PROJ'!BV50/'WICHE Public Grads-RE PROJ'!AG50</f>
        <v>3.0826799341269619E-2</v>
      </c>
      <c r="AG47" s="268">
        <f>+'WICHE Public Grads-RE PROJ'!BW50/'WICHE Public Grads-RE PROJ'!AH50</f>
        <v>3.1778767837651004E-2</v>
      </c>
      <c r="AH47" s="266">
        <f>+'WICHE Public Grads-RE PROJ'!BX50/'WICHE Public Grads-RE PROJ'!AI50</f>
        <v>3.0886613465074483E-2</v>
      </c>
      <c r="AI47" s="266">
        <f>+'WICHE Public Grads-RE PROJ'!BY50/'WICHE Public Grads-RE PROJ'!AJ50</f>
        <v>2.9660758983610726E-2</v>
      </c>
      <c r="AJ47" s="266">
        <f>+'WICHE Public Grads-RE PROJ'!BZ50/'WICHE Public Grads-RE PROJ'!AK50</f>
        <v>3.3567051714055697E-2</v>
      </c>
      <c r="AK47" s="266">
        <f>+'WICHE Public Grads-RE PROJ'!CA50/'WICHE Public Grads-RE PROJ'!AL50</f>
        <v>3.2999079703935327E-2</v>
      </c>
      <c r="AL47" s="266">
        <f>+'WICHE Public Grads-RE PROJ'!CB50/'WICHE Public Grads-RE PROJ'!AM50</f>
        <v>3.1883526108309961E-2</v>
      </c>
      <c r="AM47" s="266">
        <f>+'WICHE Public Grads-RE PROJ'!CC50/'WICHE Public Grads-RE PROJ'!AN50</f>
        <v>3.2415141974482538E-2</v>
      </c>
      <c r="AN47" s="266">
        <f>+'WICHE Public Grads-RE PROJ'!CD50/'WICHE Public Grads-RE PROJ'!AO50</f>
        <v>3.4297628236455976E-2</v>
      </c>
      <c r="AO47" s="266">
        <f>+'WICHE Public Grads-RE PROJ'!CE50/'WICHE Public Grads-RE PROJ'!AP50</f>
        <v>3.3889704332202439E-2</v>
      </c>
      <c r="AP47" s="282">
        <f>+'WICHE Public Grads-RE PROJ'!CF50/'WICHE Public Grads-RE PROJ'!AQ50</f>
        <v>3.6019881418018568E-2</v>
      </c>
      <c r="AQ47" s="262">
        <f>+'WICHE Public Grads-RE PROJ'!CG50/'WICHE Public Grads-RE PROJ'!B50</f>
        <v>2.0190738035913737E-3</v>
      </c>
      <c r="AR47" s="262">
        <f>+'WICHE Public Grads-RE PROJ'!CH50/'WICHE Public Grads-RE PROJ'!C50</f>
        <v>1.707067258449983E-3</v>
      </c>
      <c r="AS47" s="262">
        <f>+'WICHE Public Grads-RE PROJ'!CI50/'WICHE Public Grads-RE PROJ'!D50</f>
        <v>2.1045397929820042E-3</v>
      </c>
      <c r="AT47" s="262">
        <f>+'WICHE Public Grads-RE PROJ'!CJ50/'WICHE Public Grads-RE PROJ'!E50</f>
        <v>1.8009905447996398E-3</v>
      </c>
      <c r="AU47" s="262">
        <f>+'WICHE Public Grads-RE PROJ'!CK50/'WICHE Public Grads-RE PROJ'!F50</f>
        <v>1.8363224582236641E-3</v>
      </c>
      <c r="AV47" s="262">
        <f>+'WICHE Public Grads-RE PROJ'!CL50/'WICHE Public Grads-RE PROJ'!G50</f>
        <v>2.0774390123261383E-3</v>
      </c>
      <c r="AW47" s="267">
        <f>+'WICHE Public Grads-RE PROJ'!CM50/'WICHE Public Grads-RE PROJ'!H50</f>
        <v>2.2842883194164505E-3</v>
      </c>
      <c r="AX47" s="267">
        <f>+'WICHE Public Grads-RE PROJ'!CN50/'WICHE Public Grads-RE PROJ'!I50</f>
        <v>1.9797833660124497E-3</v>
      </c>
      <c r="AY47" s="267">
        <f>+'WICHE Public Grads-RE PROJ'!CO50/'WICHE Public Grads-RE PROJ'!J50</f>
        <v>2.3463518013926731E-3</v>
      </c>
      <c r="AZ47" s="267">
        <f>+'WICHE Public Grads-RE PROJ'!CP50/'WICHE Public Grads-RE PROJ'!K50</f>
        <v>2.4751560826037165E-3</v>
      </c>
      <c r="BA47" s="262">
        <f>+'WICHE Public Grads-RE PROJ'!CQ50/'WICHE Public Grads-RE PROJ'!L50</f>
        <v>2.7162442417457376E-3</v>
      </c>
      <c r="BB47" s="267">
        <f>+'WICHE Public Grads-RE PROJ'!CR50/'WICHE Public Grads-RE PROJ'!M50</f>
        <v>2.6877470355731225E-3</v>
      </c>
      <c r="BC47" s="267">
        <f>+'WICHE Public Grads-RE PROJ'!CS50/'WICHE Public Grads-RE PROJ'!N50</f>
        <v>3.2595760826449132E-3</v>
      </c>
      <c r="BD47" s="267">
        <f>+'WICHE Public Grads-RE PROJ'!CT50/'WICHE Public Grads-RE PROJ'!O50</f>
        <v>3.3713110077626595E-3</v>
      </c>
      <c r="BE47" s="267">
        <f>+'WICHE Public Grads-RE PROJ'!CU50/'WICHE Public Grads-RE PROJ'!P50</f>
        <v>3.3723060068130851E-3</v>
      </c>
      <c r="BF47" s="267">
        <f>+'WICHE Public Grads-RE PROJ'!CV50/'WICHE Public Grads-RE PROJ'!Q50</f>
        <v>3.6831190377436748E-3</v>
      </c>
      <c r="BG47" s="267">
        <f>+'WICHE Public Grads-RE PROJ'!CW50/'WICHE Public Grads-RE PROJ'!R50</f>
        <v>4.423416562697474E-3</v>
      </c>
      <c r="BH47" s="267">
        <f>+'WICHE Public Grads-RE PROJ'!CX50/'WICHE Public Grads-RE PROJ'!S50</f>
        <v>4.30370499769728E-3</v>
      </c>
      <c r="BI47" s="267">
        <f>+'WICHE Public Grads-RE PROJ'!CY50/'WICHE Public Grads-RE PROJ'!T50</f>
        <v>4.9692158639872488E-3</v>
      </c>
      <c r="BJ47" s="267">
        <f>+'WICHE Public Grads-RE PROJ'!CZ50/'WICHE Public Grads-RE PROJ'!U50</f>
        <v>4.7407563126567985E-3</v>
      </c>
      <c r="BK47" s="267">
        <f>+'WICHE Public Grads-RE PROJ'!DA50/'WICHE Public Grads-RE PROJ'!V50</f>
        <v>5.594905437655593E-3</v>
      </c>
      <c r="BL47" s="267">
        <f>+'WICHE Public Grads-RE PROJ'!DB50/'WICHE Public Grads-RE PROJ'!W50</f>
        <v>4.6719800720731314E-3</v>
      </c>
      <c r="BM47" s="268">
        <f>+'WICHE Public Grads-RE PROJ'!DC50/'WICHE Public Grads-RE PROJ'!Y50</f>
        <v>4.9201420028237844E-3</v>
      </c>
      <c r="BN47" s="268">
        <f>+'WICHE Public Grads-RE PROJ'!DD50/'WICHE Public Grads-RE PROJ'!Z50</f>
        <v>4.7720543213303759E-3</v>
      </c>
      <c r="BO47" s="268">
        <f>+'WICHE Public Grads-RE PROJ'!DE50/'WICHE Public Grads-RE PROJ'!AA50</f>
        <v>4.8152631427263613E-3</v>
      </c>
      <c r="BP47" s="268">
        <f>+'WICHE Public Grads-RE PROJ'!DF50/'WICHE Public Grads-RE PROJ'!AB50</f>
        <v>5.1016832508716699E-3</v>
      </c>
      <c r="BQ47" s="266">
        <f>+'WICHE Public Grads-RE PROJ'!DG50/'WICHE Public Grads-RE PROJ'!AC50</f>
        <v>4.7313670073781018E-3</v>
      </c>
      <c r="BR47" s="266">
        <f>+'WICHE Public Grads-RE PROJ'!DH50/'WICHE Public Grads-RE PROJ'!AD50</f>
        <v>4.668535335573769E-3</v>
      </c>
      <c r="BS47" s="266">
        <f>+'WICHE Public Grads-RE PROJ'!DI50/'WICHE Public Grads-RE PROJ'!AE50</f>
        <v>4.9500164412983666E-3</v>
      </c>
      <c r="BT47" s="266">
        <f>+'WICHE Public Grads-RE PROJ'!DJ50/'WICHE Public Grads-RE PROJ'!AF50</f>
        <v>4.6092599843583406E-3</v>
      </c>
      <c r="BU47" s="266">
        <f>+'WICHE Public Grads-RE PROJ'!DK50/'WICHE Public Grads-RE PROJ'!AG50</f>
        <v>5.0957792973318353E-3</v>
      </c>
      <c r="BV47" s="268">
        <f>+'WICHE Public Grads-RE PROJ'!DL50/'WICHE Public Grads-RE PROJ'!AH50</f>
        <v>5.3114478613479369E-3</v>
      </c>
      <c r="BW47" s="266">
        <f>+'WICHE Public Grads-RE PROJ'!DM50/'WICHE Public Grads-RE PROJ'!AI50</f>
        <v>4.3484735265395362E-3</v>
      </c>
      <c r="BX47" s="266">
        <f>+'WICHE Public Grads-RE PROJ'!DN50/'WICHE Public Grads-RE PROJ'!AJ50</f>
        <v>4.4483064913759312E-3</v>
      </c>
      <c r="BY47" s="266">
        <f>+'WICHE Public Grads-RE PROJ'!DO50/'WICHE Public Grads-RE PROJ'!AK50</f>
        <v>4.8646493868790041E-3</v>
      </c>
      <c r="BZ47" s="266">
        <f>+'WICHE Public Grads-RE PROJ'!DP50/'WICHE Public Grads-RE PROJ'!AL50</f>
        <v>4.3948680969528777E-3</v>
      </c>
      <c r="CA47" s="266">
        <f>+'WICHE Public Grads-RE PROJ'!DQ50/'WICHE Public Grads-RE PROJ'!AM50</f>
        <v>4.113888938063681E-3</v>
      </c>
      <c r="CB47" s="266">
        <f>+'WICHE Public Grads-RE PROJ'!DR50/'WICHE Public Grads-RE PROJ'!AN50</f>
        <v>4.2076043914646127E-3</v>
      </c>
      <c r="CC47" s="266">
        <f>+'WICHE Public Grads-RE PROJ'!DS50/'WICHE Public Grads-RE PROJ'!AO50</f>
        <v>4.1851729201860671E-3</v>
      </c>
      <c r="CD47" s="266">
        <f>+'WICHE Public Grads-RE PROJ'!DT50/'WICHE Public Grads-RE PROJ'!AP50</f>
        <v>4.256768645918685E-3</v>
      </c>
      <c r="CE47" s="282">
        <f>+'WICHE Public Grads-RE PROJ'!DU50/'WICHE Public Grads-RE PROJ'!AQ50</f>
        <v>4.4527484799777219E-3</v>
      </c>
      <c r="CF47" s="262">
        <f>+'WICHE Public Grads-RE PROJ'!DV50/'WICHE Public Grads-RE PROJ'!B50</f>
        <v>1.1921127244608644E-2</v>
      </c>
      <c r="CG47" s="262">
        <f>+'WICHE Public Grads-RE PROJ'!DW50/'WICHE Public Grads-RE PROJ'!C50</f>
        <v>1.2931034482758621E-2</v>
      </c>
      <c r="CH47" s="262">
        <f>+'WICHE Public Grads-RE PROJ'!DX50/'WICHE Public Grads-RE PROJ'!D50</f>
        <v>1.1574968861401021E-2</v>
      </c>
      <c r="CI47" s="262">
        <f>+'WICHE Public Grads-RE PROJ'!DY50/'WICHE Public Grads-RE PROJ'!E50</f>
        <v>1.1542712128034056E-2</v>
      </c>
      <c r="CJ47" s="262">
        <f>+'WICHE Public Grads-RE PROJ'!DZ50/'WICHE Public Grads-RE PROJ'!F50</f>
        <v>1.2425781967313461E-2</v>
      </c>
      <c r="CK47" s="262">
        <f>+'WICHE Public Grads-RE PROJ'!EA50/'WICHE Public Grads-RE PROJ'!G50</f>
        <v>1.2741625942266981E-2</v>
      </c>
      <c r="CL47" s="267">
        <f>+'WICHE Public Grads-RE PROJ'!EB50/'WICHE Public Grads-RE PROJ'!H50</f>
        <v>1.2266052404261445E-2</v>
      </c>
      <c r="CM47" s="267">
        <f>+'WICHE Public Grads-RE PROJ'!EC50/'WICHE Public Grads-RE PROJ'!I50</f>
        <v>1.269726447240677E-2</v>
      </c>
      <c r="CN47" s="267">
        <f>+'WICHE Public Grads-RE PROJ'!ED50/'WICHE Public Grads-RE PROJ'!J50</f>
        <v>1.5686497123826824E-2</v>
      </c>
      <c r="CO47" s="267">
        <f>+'WICHE Public Grads-RE PROJ'!EE50/'WICHE Public Grads-RE PROJ'!K50</f>
        <v>1.3908899479108944E-2</v>
      </c>
      <c r="CP47" s="262">
        <f>+'WICHE Public Grads-RE PROJ'!EF50/'WICHE Public Grads-RE PROJ'!L50</f>
        <v>1.5067814341035476E-2</v>
      </c>
      <c r="CQ47" s="267">
        <f>+'WICHE Public Grads-RE PROJ'!EG50/'WICHE Public Grads-RE PROJ'!M50</f>
        <v>1.4053579270970576E-2</v>
      </c>
      <c r="CR47" s="267">
        <f>+'WICHE Public Grads-RE PROJ'!EH50/'WICHE Public Grads-RE PROJ'!N50</f>
        <v>1.4935412103547591E-2</v>
      </c>
      <c r="CS47" s="267">
        <f>+'WICHE Public Grads-RE PROJ'!EI50/'WICHE Public Grads-RE PROJ'!O50</f>
        <v>1.4730035787763005E-2</v>
      </c>
      <c r="CT47" s="267">
        <f>+'WICHE Public Grads-RE PROJ'!EJ50/'WICHE Public Grads-RE PROJ'!P50</f>
        <v>1.7597617131999248E-2</v>
      </c>
      <c r="CU47" s="267">
        <f>+'WICHE Public Grads-RE PROJ'!EK50/'WICHE Public Grads-RE PROJ'!Q50</f>
        <v>1.7171298216507674E-2</v>
      </c>
      <c r="CV47" s="267">
        <f>+'WICHE Public Grads-RE PROJ'!EL50/'WICHE Public Grads-RE PROJ'!R50</f>
        <v>1.6591862857883565E-2</v>
      </c>
      <c r="CW47" s="267">
        <f>+'WICHE Public Grads-RE PROJ'!EM50/'WICHE Public Grads-RE PROJ'!S50</f>
        <v>1.6801918404294177E-2</v>
      </c>
      <c r="CX47" s="267">
        <f>+'WICHE Public Grads-RE PROJ'!EN50/'WICHE Public Grads-RE PROJ'!T50</f>
        <v>1.7595399568709567E-2</v>
      </c>
      <c r="CY47" s="267">
        <f>+'WICHE Public Grads-RE PROJ'!EO50/'WICHE Public Grads-RE PROJ'!U50</f>
        <v>1.7649326821333366E-2</v>
      </c>
      <c r="CZ47" s="267">
        <f>+'WICHE Public Grads-RE PROJ'!EP50/'WICHE Public Grads-RE PROJ'!V50</f>
        <v>1.8866264456177593E-2</v>
      </c>
      <c r="DA47" s="267">
        <f>+'WICHE Public Grads-RE PROJ'!EQ50/'WICHE Public Grads-RE PROJ'!W50</f>
        <v>2.0973513123260255E-2</v>
      </c>
      <c r="DB47" s="268">
        <f>+'WICHE Public Grads-RE PROJ'!ER50/'WICHE Public Grads-RE PROJ'!Y50</f>
        <v>2.1467720787730189E-2</v>
      </c>
      <c r="DC47" s="268">
        <f>+'WICHE Public Grads-RE PROJ'!ES50/'WICHE Public Grads-RE PROJ'!Z50</f>
        <v>2.1554551215636993E-2</v>
      </c>
      <c r="DD47" s="268">
        <f>+'WICHE Public Grads-RE PROJ'!ET50/'WICHE Public Grads-RE PROJ'!AA50</f>
        <v>2.1544934758190533E-2</v>
      </c>
      <c r="DE47" s="268">
        <f>+'WICHE Public Grads-RE PROJ'!EU50/'WICHE Public Grads-RE PROJ'!AB50</f>
        <v>2.2254471654041857E-2</v>
      </c>
      <c r="DF47" s="266">
        <f>+'WICHE Public Grads-RE PROJ'!EV50/'WICHE Public Grads-RE PROJ'!AC50</f>
        <v>2.3870421168334117E-2</v>
      </c>
      <c r="DG47" s="266">
        <f>+'WICHE Public Grads-RE PROJ'!EW50/'WICHE Public Grads-RE PROJ'!AD50</f>
        <v>2.4470900856621548E-2</v>
      </c>
      <c r="DH47" s="266">
        <f>+'WICHE Public Grads-RE PROJ'!EX50/'WICHE Public Grads-RE PROJ'!AE50</f>
        <v>2.5805655849028768E-2</v>
      </c>
      <c r="DI47" s="266">
        <f>+'WICHE Public Grads-RE PROJ'!EY50/'WICHE Public Grads-RE PROJ'!AF50</f>
        <v>2.6985988894919901E-2</v>
      </c>
      <c r="DJ47" s="266">
        <f>+'WICHE Public Grads-RE PROJ'!EZ50/'WICHE Public Grads-RE PROJ'!AG50</f>
        <v>2.5731020043937784E-2</v>
      </c>
      <c r="DK47" s="268">
        <f>+'WICHE Public Grads-RE PROJ'!FA50/'WICHE Public Grads-RE PROJ'!AH50</f>
        <v>2.6467319976303069E-2</v>
      </c>
      <c r="DL47" s="266">
        <f>+'WICHE Public Grads-RE PROJ'!FB50/'WICHE Public Grads-RE PROJ'!AI50</f>
        <v>2.6538139938534946E-2</v>
      </c>
      <c r="DM47" s="266">
        <f>+'WICHE Public Grads-RE PROJ'!FC50/'WICHE Public Grads-RE PROJ'!AJ50</f>
        <v>2.5212452492234798E-2</v>
      </c>
      <c r="DN47" s="266">
        <f>+'WICHE Public Grads-RE PROJ'!FD50/'WICHE Public Grads-RE PROJ'!AK50</f>
        <v>2.870240232717669E-2</v>
      </c>
      <c r="DO47" s="266">
        <f>+'WICHE Public Grads-RE PROJ'!FE50/'WICHE Public Grads-RE PROJ'!AL50</f>
        <v>2.8604211606982448E-2</v>
      </c>
      <c r="DP47" s="266">
        <f>+'WICHE Public Grads-RE PROJ'!FF50/'WICHE Public Grads-RE PROJ'!AM50</f>
        <v>2.7769637170246275E-2</v>
      </c>
      <c r="DQ47" s="266">
        <f>+'WICHE Public Grads-RE PROJ'!FG50/'WICHE Public Grads-RE PROJ'!AN50</f>
        <v>2.820753758301793E-2</v>
      </c>
      <c r="DR47" s="266">
        <f>+'WICHE Public Grads-RE PROJ'!FH50/'WICHE Public Grads-RE PROJ'!AO50</f>
        <v>3.0112455316269909E-2</v>
      </c>
      <c r="DS47" s="266">
        <f>+'WICHE Public Grads-RE PROJ'!FI50/'WICHE Public Grads-RE PROJ'!AP50</f>
        <v>2.9632935686283751E-2</v>
      </c>
      <c r="DT47" s="282">
        <f>+'WICHE Public Grads-RE PROJ'!FJ50/'WICHE Public Grads-RE PROJ'!AQ50</f>
        <v>3.1567132938040844E-2</v>
      </c>
      <c r="DU47" s="262">
        <f>+'WICHE Public Grads-RE PROJ'!FK50/'WICHE Public Grads-RE PROJ'!B50</f>
        <v>0.13626600223386889</v>
      </c>
      <c r="DV47" s="262">
        <f>+'WICHE Public Grads-RE PROJ'!FL50/'WICHE Public Grads-RE PROJ'!C50</f>
        <v>0.11326391259815637</v>
      </c>
      <c r="DW47" s="262">
        <f>+'WICHE Public Grads-RE PROJ'!FM50/'WICHE Public Grads-RE PROJ'!D50</f>
        <v>0.11529871580122836</v>
      </c>
      <c r="DX47" s="262">
        <f>+'WICHE Public Grads-RE PROJ'!FN50/'WICHE Public Grads-RE PROJ'!E50</f>
        <v>0.11092464491834145</v>
      </c>
      <c r="DY47" s="262">
        <f>+'WICHE Public Grads-RE PROJ'!FO50/'WICHE Public Grads-RE PROJ'!F50</f>
        <v>0.10905715043561649</v>
      </c>
      <c r="DZ47" s="262">
        <f>+'WICHE Public Grads-RE PROJ'!FP50/'WICHE Public Grads-RE PROJ'!G50</f>
        <v>0.11526818748392458</v>
      </c>
      <c r="EA47" s="267">
        <f>+'WICHE Public Grads-RE PROJ'!FQ50/'WICHE Public Grads-RE PROJ'!H50</f>
        <v>0.11976197331797678</v>
      </c>
      <c r="EB47" s="267">
        <f>+'WICHE Public Grads-RE PROJ'!FR50/'WICHE Public Grads-RE PROJ'!I50</f>
        <v>0.12729626315889664</v>
      </c>
      <c r="EC47" s="267">
        <f>+'WICHE Public Grads-RE PROJ'!FS50/'WICHE Public Grads-RE PROJ'!J50</f>
        <v>0.12645700877989707</v>
      </c>
      <c r="ED47" s="267">
        <f>+'WICHE Public Grads-RE PROJ'!FT50/'WICHE Public Grads-RE PROJ'!K50</f>
        <v>0.12604824707229673</v>
      </c>
      <c r="EE47" s="262">
        <f>+'WICHE Public Grads-RE PROJ'!FU50/'WICHE Public Grads-RE PROJ'!L50</f>
        <v>0.13204984675243636</v>
      </c>
      <c r="EF47" s="267">
        <f>+'WICHE Public Grads-RE PROJ'!FV50/'WICHE Public Grads-RE PROJ'!M50</f>
        <v>0.13238471673254282</v>
      </c>
      <c r="EG47" s="267">
        <f>+'WICHE Public Grads-RE PROJ'!FW50/'WICHE Public Grads-RE PROJ'!N50</f>
        <v>0.13560871289860821</v>
      </c>
      <c r="EH47" s="267">
        <f>+'WICHE Public Grads-RE PROJ'!FX50/'WICHE Public Grads-RE PROJ'!O50</f>
        <v>0.14235576839957814</v>
      </c>
      <c r="EI47" s="267">
        <f>+'WICHE Public Grads-RE PROJ'!FY50/'WICHE Public Grads-RE PROJ'!P50</f>
        <v>0.14381087697074482</v>
      </c>
      <c r="EJ47" s="267">
        <f>+'WICHE Public Grads-RE PROJ'!FZ50/'WICHE Public Grads-RE PROJ'!Q50</f>
        <v>0.14881791787639984</v>
      </c>
      <c r="EK47" s="267">
        <f>+'WICHE Public Grads-RE PROJ'!GA50/'WICHE Public Grads-RE PROJ'!R50</f>
        <v>0.14871105206021032</v>
      </c>
      <c r="EL47" s="267">
        <f>+'WICHE Public Grads-RE PROJ'!GB50/'WICHE Public Grads-RE PROJ'!S50</f>
        <v>0.16057107465578299</v>
      </c>
      <c r="EM47" s="267">
        <f>+'WICHE Public Grads-RE PROJ'!GC50/'WICHE Public Grads-RE PROJ'!T50</f>
        <v>0.16035878363596587</v>
      </c>
      <c r="EN47" s="267">
        <f>+'WICHE Public Grads-RE PROJ'!GD50/'WICHE Public Grads-RE PROJ'!U50</f>
        <v>0.16921154780665856</v>
      </c>
      <c r="EO47" s="267">
        <f>+'WICHE Public Grads-RE PROJ'!GE50/'WICHE Public Grads-RE PROJ'!V50</f>
        <v>0.16304574481528161</v>
      </c>
      <c r="EP47" s="267">
        <f>+'WICHE Public Grads-RE PROJ'!GF50/'WICHE Public Grads-RE PROJ'!W50</f>
        <v>0.15956707645899876</v>
      </c>
      <c r="EQ47" s="268">
        <f>+'WICHE Public Grads-RE PROJ'!GG50/'WICHE Public Grads-RE PROJ'!Y50</f>
        <v>0.15548798488207266</v>
      </c>
      <c r="ER47" s="268">
        <f>+'WICHE Public Grads-RE PROJ'!GH50/'WICHE Public Grads-RE PROJ'!Z50</f>
        <v>0.1542862717734208</v>
      </c>
      <c r="ES47" s="268">
        <f>+'WICHE Public Grads-RE PROJ'!GI50/'WICHE Public Grads-RE PROJ'!AA50</f>
        <v>0.15620999369729044</v>
      </c>
      <c r="ET47" s="268">
        <f>+'WICHE Public Grads-RE PROJ'!GJ50/'WICHE Public Grads-RE PROJ'!AB50</f>
        <v>0.14759309376782867</v>
      </c>
      <c r="EU47" s="266">
        <f>+'WICHE Public Grads-RE PROJ'!GK50/'WICHE Public Grads-RE PROJ'!AC50</f>
        <v>0.15103253584469697</v>
      </c>
      <c r="EV47" s="266">
        <f>+'WICHE Public Grads-RE PROJ'!GL50/'WICHE Public Grads-RE PROJ'!AD50</f>
        <v>0.14720964339534204</v>
      </c>
      <c r="EW47" s="266">
        <f>+'WICHE Public Grads-RE PROJ'!GM50/'WICHE Public Grads-RE PROJ'!AE50</f>
        <v>0.14657724987403339</v>
      </c>
      <c r="EX47" s="266">
        <f>+'WICHE Public Grads-RE PROJ'!GN50/'WICHE Public Grads-RE PROJ'!AF50</f>
        <v>0.14308165755597388</v>
      </c>
      <c r="EY47" s="266">
        <f>+'WICHE Public Grads-RE PROJ'!GO50/'WICHE Public Grads-RE PROJ'!AG50</f>
        <v>0.14301856322520842</v>
      </c>
      <c r="EZ47" s="268">
        <f>+'WICHE Public Grads-RE PROJ'!GP50/'WICHE Public Grads-RE PROJ'!AH50</f>
        <v>0.14078004672426714</v>
      </c>
      <c r="FA47" s="266">
        <f>+'WICHE Public Grads-RE PROJ'!GQ50/'WICHE Public Grads-RE PROJ'!AI50</f>
        <v>0.14349163457313713</v>
      </c>
      <c r="FB47" s="266">
        <f>+'WICHE Public Grads-RE PROJ'!GR50/'WICHE Public Grads-RE PROJ'!AJ50</f>
        <v>0.14639673809373846</v>
      </c>
      <c r="FC47" s="266">
        <f>+'WICHE Public Grads-RE PROJ'!GS50/'WICHE Public Grads-RE PROJ'!AK50</f>
        <v>0.14884877690990453</v>
      </c>
      <c r="FD47" s="266">
        <f>+'WICHE Public Grads-RE PROJ'!GT50/'WICHE Public Grads-RE PROJ'!AL50</f>
        <v>0.1468210506388293</v>
      </c>
      <c r="FE47" s="266">
        <f>+'WICHE Public Grads-RE PROJ'!GU50/'WICHE Public Grads-RE PROJ'!AM50</f>
        <v>0.14357347722006289</v>
      </c>
      <c r="FF47" s="266">
        <f>+'WICHE Public Grads-RE PROJ'!GV50/'WICHE Public Grads-RE PROJ'!AN50</f>
        <v>0.14384581183422182</v>
      </c>
      <c r="FG47" s="266">
        <f>+'WICHE Public Grads-RE PROJ'!GW50/'WICHE Public Grads-RE PROJ'!AO50</f>
        <v>0.14387034332763388</v>
      </c>
      <c r="FH47" s="266">
        <f>+'WICHE Public Grads-RE PROJ'!GX50/'WICHE Public Grads-RE PROJ'!AP50</f>
        <v>0.14521375595518549</v>
      </c>
      <c r="FI47" s="282">
        <f>+'WICHE Public Grads-RE PROJ'!GY50/'WICHE Public Grads-RE PROJ'!AQ50</f>
        <v>0.145901549595993</v>
      </c>
      <c r="FJ47" s="262">
        <f>+'WICHE Public Grads-RE PROJ'!GZ50/'WICHE Public Grads-RE PROJ'!B50</f>
        <v>9.0643526076123384E-3</v>
      </c>
      <c r="FK47" s="262">
        <f>+'WICHE Public Grads-RE PROJ'!HA50/'WICHE Public Grads-RE PROJ'!C50</f>
        <v>8.7700580402867868E-3</v>
      </c>
      <c r="FL47" s="262">
        <f>+'WICHE Public Grads-RE PROJ'!HB50/'WICHE Public Grads-RE PROJ'!D50</f>
        <v>8.3966842760812618E-3</v>
      </c>
      <c r="FM47" s="262">
        <f>+'WICHE Public Grads-RE PROJ'!HC50/'WICHE Public Grads-RE PROJ'!E50</f>
        <v>8.2681838647619826E-3</v>
      </c>
      <c r="FN47" s="262">
        <f>+'WICHE Public Grads-RE PROJ'!HD50/'WICHE Public Grads-RE PROJ'!F50</f>
        <v>9.6100875313705082E-3</v>
      </c>
      <c r="FO47" s="262">
        <f>+'WICHE Public Grads-RE PROJ'!HE50/'WICHE Public Grads-RE PROJ'!G50</f>
        <v>9.5166491897987846E-3</v>
      </c>
      <c r="FP47" s="267">
        <f>+'WICHE Public Grads-RE PROJ'!HF50/'WICHE Public Grads-RE PROJ'!H50</f>
        <v>1.0269699587292446E-2</v>
      </c>
      <c r="FQ47" s="267">
        <f>+'WICHE Public Grads-RE PROJ'!HG50/'WICHE Public Grads-RE PROJ'!I50</f>
        <v>1.1174354190858731E-2</v>
      </c>
      <c r="FR47" s="267">
        <f>+'WICHE Public Grads-RE PROJ'!HH50/'WICHE Public Grads-RE PROJ'!J50</f>
        <v>1.2166969421737815E-2</v>
      </c>
      <c r="FS47" s="267">
        <f>+'WICHE Public Grads-RE PROJ'!HI50/'WICHE Public Grads-RE PROJ'!K50</f>
        <v>1.3133104289039122E-2</v>
      </c>
      <c r="FT47" s="262">
        <f>+'WICHE Public Grads-RE PROJ'!HJ50/'WICHE Public Grads-RE PROJ'!L50</f>
        <v>1.2773689136858333E-2</v>
      </c>
      <c r="FU47" s="267">
        <f>+'WICHE Public Grads-RE PROJ'!HK50/'WICHE Public Grads-RE PROJ'!M50</f>
        <v>1.523056653491436E-2</v>
      </c>
      <c r="FV47" s="267">
        <f>+'WICHE Public Grads-RE PROJ'!HL50/'WICHE Public Grads-RE PROJ'!N50</f>
        <v>1.6332373281823982E-2</v>
      </c>
      <c r="FW47" s="267">
        <f>+'WICHE Public Grads-RE PROJ'!HM50/'WICHE Public Grads-RE PROJ'!O50</f>
        <v>1.8585432478691585E-2</v>
      </c>
      <c r="FX47" s="267">
        <f>+'WICHE Public Grads-RE PROJ'!HN50/'WICHE Public Grads-RE PROJ'!P50</f>
        <v>2.151770888611192E-2</v>
      </c>
      <c r="FY47" s="267">
        <f>+'WICHE Public Grads-RE PROJ'!HO50/'WICHE Public Grads-RE PROJ'!Q50</f>
        <v>2.2745748652011614E-2</v>
      </c>
      <c r="FZ47" s="267">
        <f>+'WICHE Public Grads-RE PROJ'!HP50/'WICHE Public Grads-RE PROJ'!R50</f>
        <v>2.4272080626083575E-2</v>
      </c>
      <c r="GA47" s="267">
        <f>+'WICHE Public Grads-RE PROJ'!HQ50/'WICHE Public Grads-RE PROJ'!S50</f>
        <v>2.5266400927440487E-2</v>
      </c>
      <c r="GB47" s="267">
        <f>+'WICHE Public Grads-RE PROJ'!HR50/'WICHE Public Grads-RE PROJ'!T50</f>
        <v>2.7690095946494984E-2</v>
      </c>
      <c r="GC47" s="267">
        <f>+'WICHE Public Grads-RE PROJ'!HS50/'WICHE Public Grads-RE PROJ'!U50</f>
        <v>3.1526812077340698E-2</v>
      </c>
      <c r="GD47" s="267">
        <f>+'WICHE Public Grads-RE PROJ'!HT50/'WICHE Public Grads-RE PROJ'!V50</f>
        <v>3.4756087616003128E-2</v>
      </c>
      <c r="GE47" s="267">
        <f>+'WICHE Public Grads-RE PROJ'!HU50/'WICHE Public Grads-RE PROJ'!W50</f>
        <v>3.7731854674548503E-2</v>
      </c>
      <c r="GF47" s="268">
        <f>+'WICHE Public Grads-RE PROJ'!HV50/'WICHE Public Grads-RE PROJ'!Y50</f>
        <v>3.7077730392945006E-2</v>
      </c>
      <c r="GG47" s="268">
        <f>+'WICHE Public Grads-RE PROJ'!HW50/'WICHE Public Grads-RE PROJ'!Z50</f>
        <v>4.2088518842273728E-2</v>
      </c>
      <c r="GH47" s="268">
        <f>+'WICHE Public Grads-RE PROJ'!HX50/'WICHE Public Grads-RE PROJ'!AA50</f>
        <v>4.5808802950882493E-2</v>
      </c>
      <c r="GI47" s="268">
        <f>+'WICHE Public Grads-RE PROJ'!HY50/'WICHE Public Grads-RE PROJ'!AB50</f>
        <v>4.9239097619009381E-2</v>
      </c>
      <c r="GJ47" s="266">
        <f>+'WICHE Public Grads-RE PROJ'!HZ50/'WICHE Public Grads-RE PROJ'!AC50</f>
        <v>5.1994546063172525E-2</v>
      </c>
      <c r="GK47" s="266">
        <f>+'WICHE Public Grads-RE PROJ'!IA50/'WICHE Public Grads-RE PROJ'!AD50</f>
        <v>5.5810314115124098E-2</v>
      </c>
      <c r="GL47" s="266">
        <f>+'WICHE Public Grads-RE PROJ'!IB50/'WICHE Public Grads-RE PROJ'!AE50</f>
        <v>6.052485298542136E-2</v>
      </c>
      <c r="GM47" s="266">
        <f>+'WICHE Public Grads-RE PROJ'!IC50/'WICHE Public Grads-RE PROJ'!AF50</f>
        <v>6.2608449547859976E-2</v>
      </c>
      <c r="GN47" s="266">
        <f>+'WICHE Public Grads-RE PROJ'!ID50/'WICHE Public Grads-RE PROJ'!AG50</f>
        <v>6.576322350255609E-2</v>
      </c>
      <c r="GO47" s="268">
        <f>+'WICHE Public Grads-RE PROJ'!IE50/'WICHE Public Grads-RE PROJ'!AH50</f>
        <v>7.1175269311863479E-2</v>
      </c>
      <c r="GP47" s="266">
        <f>+'WICHE Public Grads-RE PROJ'!IF50/'WICHE Public Grads-RE PROJ'!AI50</f>
        <v>7.3339107011687929E-2</v>
      </c>
      <c r="GQ47" s="266">
        <f>+'WICHE Public Grads-RE PROJ'!IG50/'WICHE Public Grads-RE PROJ'!AJ50</f>
        <v>7.4768646279036483E-2</v>
      </c>
      <c r="GR47" s="266">
        <f>+'WICHE Public Grads-RE PROJ'!IH50/'WICHE Public Grads-RE PROJ'!AK50</f>
        <v>7.4128259201989677E-2</v>
      </c>
      <c r="GS47" s="266">
        <f>+'WICHE Public Grads-RE PROJ'!II50/'WICHE Public Grads-RE PROJ'!AL50</f>
        <v>7.1731884660368908E-2</v>
      </c>
      <c r="GT47" s="266">
        <f>+'WICHE Public Grads-RE PROJ'!IJ50/'WICHE Public Grads-RE PROJ'!AM50</f>
        <v>7.4339042957343782E-2</v>
      </c>
      <c r="GU47" s="266">
        <f>+'WICHE Public Grads-RE PROJ'!IK50/'WICHE Public Grads-RE PROJ'!AN50</f>
        <v>7.115350529673127E-2</v>
      </c>
      <c r="GV47" s="266">
        <f>+'WICHE Public Grads-RE PROJ'!IL50/'WICHE Public Grads-RE PROJ'!AO50</f>
        <v>7.0777351631713031E-2</v>
      </c>
      <c r="GW47" s="266">
        <f>+'WICHE Public Grads-RE PROJ'!IM50/'WICHE Public Grads-RE PROJ'!AP50</f>
        <v>6.8857035350739421E-2</v>
      </c>
      <c r="GX47" s="282">
        <f>+'WICHE Public Grads-RE PROJ'!IN50/'WICHE Public Grads-RE PROJ'!AQ50</f>
        <v>6.925113905025411E-2</v>
      </c>
      <c r="GY47" s="262">
        <f>+'WICHE Public Grads-RE PROJ'!IO50/'WICHE Public Grads-RE PROJ'!B50</f>
        <v>0.8407294441103188</v>
      </c>
      <c r="GZ47" s="262">
        <f>+'WICHE Public Grads-RE PROJ'!IP50/'WICHE Public Grads-RE PROJ'!C50</f>
        <v>0.86332792762034827</v>
      </c>
      <c r="HA47" s="262">
        <f>+'WICHE Public Grads-RE PROJ'!IQ50/'WICHE Public Grads-RE PROJ'!D50</f>
        <v>0.86262509126830733</v>
      </c>
      <c r="HB47" s="262">
        <f>+'WICHE Public Grads-RE PROJ'!IR50/'WICHE Public Grads-RE PROJ'!E50</f>
        <v>0.86746346854406287</v>
      </c>
      <c r="HC47" s="262">
        <f>+'WICHE Public Grads-RE PROJ'!IS50/'WICHE Public Grads-RE PROJ'!F50</f>
        <v>0.86707065760747593</v>
      </c>
      <c r="HD47" s="262">
        <f>+'WICHE Public Grads-RE PROJ'!IT50/'WICHE Public Grads-RE PROJ'!G50</f>
        <v>0.86039609837168352</v>
      </c>
      <c r="HE47" s="267">
        <f>+'WICHE Public Grads-RE PROJ'!IU50/'WICHE Public Grads-RE PROJ'!H50</f>
        <v>0.85541798637105293</v>
      </c>
      <c r="HF47" s="267">
        <f>+'WICHE Public Grads-RE PROJ'!IV50/'WICHE Public Grads-RE PROJ'!I50</f>
        <v>0.84685233481182542</v>
      </c>
      <c r="HG47" s="267">
        <f>+'WICHE Public Grads-RE PROJ'!IW50/'WICHE Public Grads-RE PROJ'!J50</f>
        <v>0.84334317287314564</v>
      </c>
      <c r="HH47" s="267">
        <f>+'WICHE Public Grads-RE PROJ'!IX50/'WICHE Public Grads-RE PROJ'!K50</f>
        <v>0.84443459307695146</v>
      </c>
      <c r="HI47" s="262">
        <f>+'WICHE Public Grads-RE PROJ'!IY50/'WICHE Public Grads-RE PROJ'!L50</f>
        <v>0.83739240552792404</v>
      </c>
      <c r="HJ47" s="267">
        <f>+'WICHE Public Grads-RE PROJ'!IZ50/'WICHE Public Grads-RE PROJ'!M50</f>
        <v>0.83564339042599911</v>
      </c>
      <c r="HK47" s="267">
        <f>+'WICHE Public Grads-RE PROJ'!JA50/'WICHE Public Grads-RE PROJ'!N50</f>
        <v>0.8298639256333753</v>
      </c>
      <c r="HL47" s="267">
        <f>+'WICHE Public Grads-RE PROJ'!JB50/'WICHE Public Grads-RE PROJ'!O50</f>
        <v>0.82095745232620465</v>
      </c>
      <c r="HM47" s="267">
        <f>+'WICHE Public Grads-RE PROJ'!JC50/'WICHE Public Grads-RE PROJ'!P50</f>
        <v>0.81370149100433098</v>
      </c>
      <c r="HN47" s="267">
        <f>+'WICHE Public Grads-RE PROJ'!JD50/'WICHE Public Grads-RE PROJ'!Q50</f>
        <v>0.80758191621733721</v>
      </c>
      <c r="HO47" s="267">
        <f>+'WICHE Public Grads-RE PROJ'!JE50/'WICHE Public Grads-RE PROJ'!R50</f>
        <v>0.80600158789312504</v>
      </c>
      <c r="HP47" s="267">
        <f>+'WICHE Public Grads-RE PROJ'!JF50/'WICHE Public Grads-RE PROJ'!S50</f>
        <v>0.7930569010147851</v>
      </c>
      <c r="HQ47" s="267">
        <f>+'WICHE Public Grads-RE PROJ'!JG50/'WICHE Public Grads-RE PROJ'!T50</f>
        <v>0.78938650498484231</v>
      </c>
      <c r="HR47" s="267">
        <f>+'WICHE Public Grads-RE PROJ'!JH50/'WICHE Public Grads-RE PROJ'!U50</f>
        <v>0.77687155698201049</v>
      </c>
      <c r="HS47" s="267">
        <f>+'WICHE Public Grads-RE PROJ'!JI50/'WICHE Public Grads-RE PROJ'!V50</f>
        <v>0.77773699767488202</v>
      </c>
      <c r="HT47" s="267">
        <f>+'WICHE Public Grads-RE PROJ'!JJ50/'WICHE Public Grads-RE PROJ'!W50</f>
        <v>0.77705557567111938</v>
      </c>
      <c r="HU47" s="268">
        <f>+'WICHE Public Grads-RE PROJ'!JK50/'WICHE Public Grads-RE PROJ'!Y50</f>
        <v>0.78088735375566665</v>
      </c>
      <c r="HV47" s="268">
        <f>+'WICHE Public Grads-RE PROJ'!JL50/'WICHE Public Grads-RE PROJ'!Z50</f>
        <v>0.77739532007753864</v>
      </c>
      <c r="HW47" s="268">
        <f>+'WICHE Public Grads-RE PROJ'!JM50/'WICHE Public Grads-RE PROJ'!AA50</f>
        <v>0.77207314658541282</v>
      </c>
      <c r="HX47" s="268">
        <f>+'WICHE Public Grads-RE PROJ'!JN50/'WICHE Public Grads-RE PROJ'!AB50</f>
        <v>0.77867139166945243</v>
      </c>
      <c r="HY47" s="266">
        <f>+'WICHE Public Grads-RE PROJ'!JO50/'WICHE Public Grads-RE PROJ'!AC50</f>
        <v>0.77039162183440713</v>
      </c>
      <c r="HZ47" s="266">
        <f>+'WICHE Public Grads-RE PROJ'!JP50/'WICHE Public Grads-RE PROJ'!AD50</f>
        <v>0.77048543686287085</v>
      </c>
      <c r="IA47" s="266">
        <f>+'WICHE Public Grads-RE PROJ'!JQ50/'WICHE Public Grads-RE PROJ'!AE50</f>
        <v>0.76562688209427288</v>
      </c>
      <c r="IB47" s="266">
        <f>+'WICHE Public Grads-RE PROJ'!JR50/'WICHE Public Grads-RE PROJ'!AF50</f>
        <v>0.76746308127946816</v>
      </c>
      <c r="IC47" s="266">
        <f>+'WICHE Public Grads-RE PROJ'!JS50/'WICHE Public Grads-RE PROJ'!AG50</f>
        <v>0.76552032273528681</v>
      </c>
      <c r="ID47" s="268">
        <f>+'WICHE Public Grads-RE PROJ'!JT50/'WICHE Public Grads-RE PROJ'!AH50</f>
        <v>0.76255100919931873</v>
      </c>
      <c r="IE47" s="266">
        <f>+'WICHE Public Grads-RE PROJ'!JU50/'WICHE Public Grads-RE PROJ'!AI50</f>
        <v>0.75818753139599016</v>
      </c>
      <c r="IF47" s="266">
        <f>+'WICHE Public Grads-RE PROJ'!JV50/'WICHE Public Grads-RE PROJ'!AJ50</f>
        <v>0.75446328228636661</v>
      </c>
      <c r="IG47" s="266">
        <f>+'WICHE Public Grads-RE PROJ'!JW50/'WICHE Public Grads-RE PROJ'!AK50</f>
        <v>0.75030153518605114</v>
      </c>
      <c r="IH47" s="266">
        <f>+'WICHE Public Grads-RE PROJ'!JX50/'WICHE Public Grads-RE PROJ'!AL50</f>
        <v>0.75465918152157685</v>
      </c>
      <c r="II47" s="266">
        <f>+'WICHE Public Grads-RE PROJ'!JY50/'WICHE Public Grads-RE PROJ'!AM50</f>
        <v>0.75687208328901334</v>
      </c>
      <c r="IJ47" s="266">
        <f>+'WICHE Public Grads-RE PROJ'!JZ50/'WICHE Public Grads-RE PROJ'!AN50</f>
        <v>0.75154552589250734</v>
      </c>
      <c r="IK47" s="266">
        <f>+'WICHE Public Grads-RE PROJ'!KA50/'WICHE Public Grads-RE PROJ'!AO50</f>
        <v>0.75198628899370235</v>
      </c>
      <c r="IL47" s="266">
        <f>+'WICHE Public Grads-RE PROJ'!KB50/'WICHE Public Grads-RE PROJ'!AP50</f>
        <v>0.75328837736092169</v>
      </c>
      <c r="IM47" s="282">
        <f>+'WICHE Public Grads-RE PROJ'!KC50/'WICHE Public Grads-RE PROJ'!AQ50</f>
        <v>0.74993905285770179</v>
      </c>
      <c r="IN47" s="278">
        <f t="shared" si="82"/>
        <v>1</v>
      </c>
      <c r="IO47" s="278">
        <f t="shared" si="83"/>
        <v>1</v>
      </c>
      <c r="IP47" s="278">
        <f t="shared" si="84"/>
        <v>1</v>
      </c>
      <c r="IQ47" s="278">
        <f t="shared" si="85"/>
        <v>1</v>
      </c>
      <c r="IR47" s="278">
        <f t="shared" si="86"/>
        <v>1</v>
      </c>
      <c r="IS47" s="278">
        <f t="shared" si="87"/>
        <v>1</v>
      </c>
      <c r="IT47" s="278">
        <f t="shared" si="88"/>
        <v>1</v>
      </c>
      <c r="IU47" s="278">
        <f t="shared" si="89"/>
        <v>1</v>
      </c>
      <c r="IV47" s="278">
        <f t="shared" si="90"/>
        <v>1</v>
      </c>
      <c r="IW47" s="278">
        <f t="shared" si="91"/>
        <v>1</v>
      </c>
      <c r="IX47" s="278">
        <f t="shared" si="92"/>
        <v>1</v>
      </c>
      <c r="IY47" s="278">
        <f t="shared" si="93"/>
        <v>1</v>
      </c>
      <c r="IZ47" s="278">
        <f t="shared" si="94"/>
        <v>1</v>
      </c>
      <c r="JA47" s="278">
        <f t="shared" si="95"/>
        <v>1</v>
      </c>
      <c r="JB47" s="278">
        <f t="shared" si="96"/>
        <v>1</v>
      </c>
      <c r="JC47" s="278">
        <f t="shared" si="97"/>
        <v>1</v>
      </c>
      <c r="JD47" s="278">
        <f t="shared" si="98"/>
        <v>1</v>
      </c>
      <c r="JE47" s="278">
        <f t="shared" si="99"/>
        <v>1</v>
      </c>
      <c r="JF47" s="278">
        <f t="shared" si="100"/>
        <v>1</v>
      </c>
      <c r="JG47" s="278">
        <f t="shared" si="101"/>
        <v>0.99999999999999989</v>
      </c>
      <c r="JH47" s="278">
        <f t="shared" si="102"/>
        <v>1</v>
      </c>
      <c r="JI47" s="278">
        <f t="shared" si="103"/>
        <v>1</v>
      </c>
      <c r="JJ47" s="278">
        <f t="shared" si="104"/>
        <v>0.99984093182123823</v>
      </c>
      <c r="JK47" s="278">
        <f t="shared" si="105"/>
        <v>1.0000967162302006</v>
      </c>
      <c r="JL47" s="278">
        <f t="shared" si="106"/>
        <v>1.0004521411345026</v>
      </c>
      <c r="JM47" s="278">
        <f t="shared" si="107"/>
        <v>1.0028597379612041</v>
      </c>
      <c r="JN47" s="278">
        <f t="shared" si="108"/>
        <v>1.0020204919179889</v>
      </c>
      <c r="JO47" s="278">
        <f t="shared" si="109"/>
        <v>1.0026448305655324</v>
      </c>
      <c r="JP47" s="278">
        <f t="shared" si="110"/>
        <v>1.0034846572440548</v>
      </c>
      <c r="JQ47" s="278">
        <f t="shared" si="111"/>
        <v>1.0047484372625803</v>
      </c>
      <c r="JR47" s="278">
        <f t="shared" si="112"/>
        <v>1.0051289088043209</v>
      </c>
      <c r="JS47" s="278">
        <f t="shared" si="113"/>
        <v>1.0062850930731004</v>
      </c>
      <c r="JT47" s="278">
        <f t="shared" si="114"/>
        <v>1.0059048864458897</v>
      </c>
      <c r="JU47" s="278">
        <f t="shared" si="115"/>
        <v>1.0052894256427523</v>
      </c>
      <c r="JV47" s="278">
        <f t="shared" si="116"/>
        <v>1.0068456230120011</v>
      </c>
      <c r="JW47" s="278">
        <f t="shared" si="117"/>
        <v>1.0062111965247102</v>
      </c>
      <c r="JX47" s="278">
        <f t="shared" si="118"/>
        <v>1.00666812957473</v>
      </c>
      <c r="JY47" s="278">
        <f t="shared" si="119"/>
        <v>0.99895998499794292</v>
      </c>
      <c r="JZ47" s="278">
        <f t="shared" si="119"/>
        <v>1.0009316121895053</v>
      </c>
      <c r="KA47" s="278">
        <f t="shared" si="119"/>
        <v>1.001248872999049</v>
      </c>
      <c r="KB47" s="278">
        <f t="shared" si="119"/>
        <v>1.0011116229219674</v>
      </c>
    </row>
    <row r="48" spans="1:288" s="17" customFormat="1">
      <c r="A48" s="175" t="s">
        <v>72</v>
      </c>
      <c r="B48" s="262">
        <f>+'WICHE Public Grads-RE PROJ'!AR51/'WICHE Public Grads-RE PROJ'!B51</f>
        <v>1.8720657276995307E-2</v>
      </c>
      <c r="C48" s="262">
        <f>+'WICHE Public Grads-RE PROJ'!AS51/'WICHE Public Grads-RE PROJ'!C51</f>
        <v>1.9238431327907108E-2</v>
      </c>
      <c r="D48" s="262">
        <f>+'WICHE Public Grads-RE PROJ'!AT51/'WICHE Public Grads-RE PROJ'!D51</f>
        <v>2.1027353130674165E-2</v>
      </c>
      <c r="E48" s="262">
        <f>+'WICHE Public Grads-RE PROJ'!AU51/'WICHE Public Grads-RE PROJ'!E51</f>
        <v>1.903277867438366E-2</v>
      </c>
      <c r="F48" s="262">
        <f>+'WICHE Public Grads-RE PROJ'!AV51/'WICHE Public Grads-RE PROJ'!F51</f>
        <v>1.8097035638947486E-2</v>
      </c>
      <c r="G48" s="262">
        <f>+'WICHE Public Grads-RE PROJ'!AW51/'WICHE Public Grads-RE PROJ'!G51</f>
        <v>1.8834513844172569E-2</v>
      </c>
      <c r="H48" s="267">
        <f>+'WICHE Public Grads-RE PROJ'!AX51/'WICHE Public Grads-RE PROJ'!H51</f>
        <v>1.7901516304072215E-2</v>
      </c>
      <c r="I48" s="267">
        <f>+'WICHE Public Grads-RE PROJ'!AY51/'WICHE Public Grads-RE PROJ'!I51</f>
        <v>1.9464720194647202E-2</v>
      </c>
      <c r="J48" s="267">
        <f>+'WICHE Public Grads-RE PROJ'!AZ51/'WICHE Public Grads-RE PROJ'!J51</f>
        <v>2.2482505335252371E-2</v>
      </c>
      <c r="K48" s="267">
        <f>+'WICHE Public Grads-RE PROJ'!BA51/'WICHE Public Grads-RE PROJ'!K51</f>
        <v>2.289144368704853E-2</v>
      </c>
      <c r="L48" s="262">
        <f>+'WICHE Public Grads-RE PROJ'!BB51/'WICHE Public Grads-RE PROJ'!L51</f>
        <v>2.5464590657960823E-2</v>
      </c>
      <c r="M48" s="267">
        <f>+'WICHE Public Grads-RE PROJ'!BC51/'WICHE Public Grads-RE PROJ'!M51</f>
        <v>2.4006745697138038E-2</v>
      </c>
      <c r="N48" s="267">
        <f>+'WICHE Public Grads-RE PROJ'!BD51/'WICHE Public Grads-RE PROJ'!N51</f>
        <v>2.5752129597715299E-2</v>
      </c>
      <c r="O48" s="267">
        <f>+'WICHE Public Grads-RE PROJ'!BE51/'WICHE Public Grads-RE PROJ'!O51</f>
        <v>2.7231695085255768E-2</v>
      </c>
      <c r="P48" s="267">
        <f>+'WICHE Public Grads-RE PROJ'!BF51/'WICHE Public Grads-RE PROJ'!P51</f>
        <v>2.8587330499898807E-2</v>
      </c>
      <c r="Q48" s="267">
        <f>+'WICHE Public Grads-RE PROJ'!BG51/'WICHE Public Grads-RE PROJ'!Q51</f>
        <v>2.802797765812912E-2</v>
      </c>
      <c r="R48" s="267">
        <f>+'WICHE Public Grads-RE PROJ'!BH51/'WICHE Public Grads-RE PROJ'!R51</f>
        <v>2.9099076615922138E-2</v>
      </c>
      <c r="S48" s="267">
        <f>+'WICHE Public Grads-RE PROJ'!BI51/'WICHE Public Grads-RE PROJ'!S51</f>
        <v>2.8460078970309215E-2</v>
      </c>
      <c r="T48" s="267">
        <f>+'WICHE Public Grads-RE PROJ'!BJ51/'WICHE Public Grads-RE PROJ'!T51</f>
        <v>2.8084667010841509E-2</v>
      </c>
      <c r="U48" s="267">
        <f>+'WICHE Public Grads-RE PROJ'!BK51/'WICHE Public Grads-RE PROJ'!U51</f>
        <v>3.1175746023187605E-2</v>
      </c>
      <c r="V48" s="267">
        <f>+'WICHE Public Grads-RE PROJ'!BL51/'WICHE Public Grads-RE PROJ'!V51</f>
        <v>3.6749461918210671E-2</v>
      </c>
      <c r="W48" s="267">
        <f>+'WICHE Public Grads-RE PROJ'!BM51/'WICHE Public Grads-RE PROJ'!W51</f>
        <v>3.2464962362049835E-2</v>
      </c>
      <c r="X48" s="268">
        <f>+'WICHE Public Grads-RE PROJ'!BN51/'WICHE Public Grads-RE PROJ'!Y51</f>
        <v>3.541215517610706E-2</v>
      </c>
      <c r="Y48" s="268">
        <f>+'WICHE Public Grads-RE PROJ'!BO51/'WICHE Public Grads-RE PROJ'!Z51</f>
        <v>3.7112489507867844E-2</v>
      </c>
      <c r="Z48" s="268">
        <f>+'WICHE Public Grads-RE PROJ'!BP51/'WICHE Public Grads-RE PROJ'!AA51</f>
        <v>3.3781127556325792E-2</v>
      </c>
      <c r="AA48" s="268">
        <f>+'WICHE Public Grads-RE PROJ'!BQ51/'WICHE Public Grads-RE PROJ'!AB51</f>
        <v>3.911164319178155E-2</v>
      </c>
      <c r="AB48" s="266">
        <f>+'WICHE Public Grads-RE PROJ'!BR51/'WICHE Public Grads-RE PROJ'!AC51</f>
        <v>3.74169303365183E-2</v>
      </c>
      <c r="AC48" s="266">
        <f>+'WICHE Public Grads-RE PROJ'!BS51/'WICHE Public Grads-RE PROJ'!AD51</f>
        <v>4.18599927133331E-2</v>
      </c>
      <c r="AD48" s="266">
        <f>+'WICHE Public Grads-RE PROJ'!BT51/'WICHE Public Grads-RE PROJ'!AE51</f>
        <v>3.9859395904178807E-2</v>
      </c>
      <c r="AE48" s="266">
        <f>+'WICHE Public Grads-RE PROJ'!BU51/'WICHE Public Grads-RE PROJ'!AF51</f>
        <v>4.1287070635898579E-2</v>
      </c>
      <c r="AF48" s="266">
        <f>+'WICHE Public Grads-RE PROJ'!BV51/'WICHE Public Grads-RE PROJ'!AG51</f>
        <v>4.2207699592400054E-2</v>
      </c>
      <c r="AG48" s="268">
        <f>+'WICHE Public Grads-RE PROJ'!BW51/'WICHE Public Grads-RE PROJ'!AH51</f>
        <v>4.3669401980630934E-2</v>
      </c>
      <c r="AH48" s="266">
        <f>+'WICHE Public Grads-RE PROJ'!BX51/'WICHE Public Grads-RE PROJ'!AI51</f>
        <v>4.4702947463051139E-2</v>
      </c>
      <c r="AI48" s="266">
        <f>+'WICHE Public Grads-RE PROJ'!BY51/'WICHE Public Grads-RE PROJ'!AJ51</f>
        <v>4.2195400359787791E-2</v>
      </c>
      <c r="AJ48" s="266">
        <f>+'WICHE Public Grads-RE PROJ'!BZ51/'WICHE Public Grads-RE PROJ'!AK51</f>
        <v>4.2419424990115452E-2</v>
      </c>
      <c r="AK48" s="266">
        <f>+'WICHE Public Grads-RE PROJ'!CA51/'WICHE Public Grads-RE PROJ'!AL51</f>
        <v>4.7220181191068668E-2</v>
      </c>
      <c r="AL48" s="266">
        <f>+'WICHE Public Grads-RE PROJ'!CB51/'WICHE Public Grads-RE PROJ'!AM51</f>
        <v>4.7029756955093469E-2</v>
      </c>
      <c r="AM48" s="266">
        <f>+'WICHE Public Grads-RE PROJ'!CC51/'WICHE Public Grads-RE PROJ'!AN51</f>
        <v>4.7315842967499716E-2</v>
      </c>
      <c r="AN48" s="266">
        <f>+'WICHE Public Grads-RE PROJ'!CD51/'WICHE Public Grads-RE PROJ'!AO51</f>
        <v>5.181571542499832E-2</v>
      </c>
      <c r="AO48" s="266">
        <f>+'WICHE Public Grads-RE PROJ'!CE51/'WICHE Public Grads-RE PROJ'!AP51</f>
        <v>5.2629021614716505E-2</v>
      </c>
      <c r="AP48" s="282">
        <f>+'WICHE Public Grads-RE PROJ'!CF51/'WICHE Public Grads-RE PROJ'!AQ51</f>
        <v>5.849992120506451E-2</v>
      </c>
      <c r="AQ48" s="262">
        <f>+'WICHE Public Grads-RE PROJ'!CG51/'WICHE Public Grads-RE PROJ'!B51</f>
        <v>4.518779342723005E-3</v>
      </c>
      <c r="AR48" s="262">
        <f>+'WICHE Public Grads-RE PROJ'!CH51/'WICHE Public Grads-RE PROJ'!C51</f>
        <v>5.3503329728499058E-3</v>
      </c>
      <c r="AS48" s="262">
        <f>+'WICHE Public Grads-RE PROJ'!CI51/'WICHE Public Grads-RE PROJ'!D51</f>
        <v>6.0914894863234349E-3</v>
      </c>
      <c r="AT48" s="262">
        <f>+'WICHE Public Grads-RE PROJ'!CJ51/'WICHE Public Grads-RE PROJ'!E51</f>
        <v>5.8990483610662807E-3</v>
      </c>
      <c r="AU48" s="262">
        <f>+'WICHE Public Grads-RE PROJ'!CK51/'WICHE Public Grads-RE PROJ'!F51</f>
        <v>5.8843122016209613E-3</v>
      </c>
      <c r="AV48" s="262">
        <f>+'WICHE Public Grads-RE PROJ'!CL51/'WICHE Public Grads-RE PROJ'!G51</f>
        <v>6.6537883666022753E-3</v>
      </c>
      <c r="AW48" s="267">
        <f>+'WICHE Public Grads-RE PROJ'!CM51/'WICHE Public Grads-RE PROJ'!H51</f>
        <v>6.186926314721842E-3</v>
      </c>
      <c r="AX48" s="267">
        <f>+'WICHE Public Grads-RE PROJ'!CN51/'WICHE Public Grads-RE PROJ'!I51</f>
        <v>6.7639902676399025E-3</v>
      </c>
      <c r="AY48" s="267">
        <f>+'WICHE Public Grads-RE PROJ'!CO51/'WICHE Public Grads-RE PROJ'!J51</f>
        <v>6.2534120800039703E-3</v>
      </c>
      <c r="AZ48" s="267">
        <f>+'WICHE Public Grads-RE PROJ'!CP51/'WICHE Public Grads-RE PROJ'!K51</f>
        <v>7.0709126055549902E-3</v>
      </c>
      <c r="BA48" s="262">
        <f>+'WICHE Public Grads-RE PROJ'!CQ51/'WICHE Public Grads-RE PROJ'!L51</f>
        <v>7.5339025615268713E-3</v>
      </c>
      <c r="BB48" s="267">
        <f>+'WICHE Public Grads-RE PROJ'!CR51/'WICHE Public Grads-RE PROJ'!M51</f>
        <v>9.0273299935519063E-3</v>
      </c>
      <c r="BC48" s="267">
        <f>+'WICHE Public Grads-RE PROJ'!CS51/'WICHE Public Grads-RE PROJ'!N51</f>
        <v>9.0107833965237093E-3</v>
      </c>
      <c r="BD48" s="267">
        <f>+'WICHE Public Grads-RE PROJ'!CT51/'WICHE Public Grads-RE PROJ'!O51</f>
        <v>9.87963891675025E-3</v>
      </c>
      <c r="BE48" s="267">
        <f>+'WICHE Public Grads-RE PROJ'!CU51/'WICHE Public Grads-RE PROJ'!P51</f>
        <v>1.0777170613236187E-2</v>
      </c>
      <c r="BF48" s="267">
        <f>+'WICHE Public Grads-RE PROJ'!CV51/'WICHE Public Grads-RE PROJ'!Q51</f>
        <v>1.0617420620942989E-2</v>
      </c>
      <c r="BG48" s="267">
        <f>+'WICHE Public Grads-RE PROJ'!CW51/'WICHE Public Grads-RE PROJ'!R51</f>
        <v>1.1380084851509858E-2</v>
      </c>
      <c r="BH48" s="267">
        <f>+'WICHE Public Grads-RE PROJ'!CX51/'WICHE Public Grads-RE PROJ'!S51</f>
        <v>1.164042869596431E-2</v>
      </c>
      <c r="BI48" s="267">
        <f>+'WICHE Public Grads-RE PROJ'!CY51/'WICHE Public Grads-RE PROJ'!T51</f>
        <v>9.8606091894682495E-3</v>
      </c>
      <c r="BJ48" s="267">
        <f>+'WICHE Public Grads-RE PROJ'!CZ51/'WICHE Public Grads-RE PROJ'!U51</f>
        <v>1.1904409140439283E-2</v>
      </c>
      <c r="BK48" s="267">
        <f>+'WICHE Public Grads-RE PROJ'!DA51/'WICHE Public Grads-RE PROJ'!V51</f>
        <v>1.3684229357315836E-2</v>
      </c>
      <c r="BL48" s="267">
        <f>+'WICHE Public Grads-RE PROJ'!DB51/'WICHE Public Grads-RE PROJ'!W51</f>
        <v>1.162564588288067E-2</v>
      </c>
      <c r="BM48" s="268">
        <f>+'WICHE Public Grads-RE PROJ'!DC51/'WICHE Public Grads-RE PROJ'!Y51</f>
        <v>1.080890272523494E-2</v>
      </c>
      <c r="BN48" s="268">
        <f>+'WICHE Public Grads-RE PROJ'!DD51/'WICHE Public Grads-RE PROJ'!Z51</f>
        <v>1.1840018383288742E-2</v>
      </c>
      <c r="BO48" s="268">
        <f>+'WICHE Public Grads-RE PROJ'!DE51/'WICHE Public Grads-RE PROJ'!AA51</f>
        <v>1.0606036645155045E-2</v>
      </c>
      <c r="BP48" s="268">
        <f>+'WICHE Public Grads-RE PROJ'!DF51/'WICHE Public Grads-RE PROJ'!AB51</f>
        <v>1.1338129801720265E-2</v>
      </c>
      <c r="BQ48" s="266">
        <f>+'WICHE Public Grads-RE PROJ'!DG51/'WICHE Public Grads-RE PROJ'!AC51</f>
        <v>1.0607489773294756E-2</v>
      </c>
      <c r="BR48" s="266">
        <f>+'WICHE Public Grads-RE PROJ'!DH51/'WICHE Public Grads-RE PROJ'!AD51</f>
        <v>1.2396601902925139E-2</v>
      </c>
      <c r="BS48" s="266">
        <f>+'WICHE Public Grads-RE PROJ'!DI51/'WICHE Public Grads-RE PROJ'!AE51</f>
        <v>1.0445998525150463E-2</v>
      </c>
      <c r="BT48" s="266">
        <f>+'WICHE Public Grads-RE PROJ'!DJ51/'WICHE Public Grads-RE PROJ'!AF51</f>
        <v>1.0603642949667938E-2</v>
      </c>
      <c r="BU48" s="266">
        <f>+'WICHE Public Grads-RE PROJ'!DK51/'WICHE Public Grads-RE PROJ'!AG51</f>
        <v>1.0138330243867646E-2</v>
      </c>
      <c r="BV48" s="268">
        <f>+'WICHE Public Grads-RE PROJ'!DL51/'WICHE Public Grads-RE PROJ'!AH51</f>
        <v>8.7360211124593717E-3</v>
      </c>
      <c r="BW48" s="266">
        <f>+'WICHE Public Grads-RE PROJ'!DM51/'WICHE Public Grads-RE PROJ'!AI51</f>
        <v>9.7450452142770483E-3</v>
      </c>
      <c r="BX48" s="266">
        <f>+'WICHE Public Grads-RE PROJ'!DN51/'WICHE Public Grads-RE PROJ'!AJ51</f>
        <v>9.5719534841848999E-3</v>
      </c>
      <c r="BY48" s="266">
        <f>+'WICHE Public Grads-RE PROJ'!DO51/'WICHE Public Grads-RE PROJ'!AK51</f>
        <v>9.0205454215206357E-3</v>
      </c>
      <c r="BZ48" s="266">
        <f>+'WICHE Public Grads-RE PROJ'!DP51/'WICHE Public Grads-RE PROJ'!AL51</f>
        <v>9.5074883500619045E-3</v>
      </c>
      <c r="CA48" s="266">
        <f>+'WICHE Public Grads-RE PROJ'!DQ51/'WICHE Public Grads-RE PROJ'!AM51</f>
        <v>8.3570839677393222E-3</v>
      </c>
      <c r="CB48" s="266">
        <f>+'WICHE Public Grads-RE PROJ'!DR51/'WICHE Public Grads-RE PROJ'!AN51</f>
        <v>8.4691063783024299E-3</v>
      </c>
      <c r="CC48" s="266">
        <f>+'WICHE Public Grads-RE PROJ'!DS51/'WICHE Public Grads-RE PROJ'!AO51</f>
        <v>8.4297405705320121E-3</v>
      </c>
      <c r="CD48" s="266">
        <f>+'WICHE Public Grads-RE PROJ'!DT51/'WICHE Public Grads-RE PROJ'!AP51</f>
        <v>8.9403898925237823E-3</v>
      </c>
      <c r="CE48" s="282">
        <f>+'WICHE Public Grads-RE PROJ'!DU51/'WICHE Public Grads-RE PROJ'!AQ51</f>
        <v>8.9197477141540697E-3</v>
      </c>
      <c r="CF48" s="262">
        <f>+'WICHE Public Grads-RE PROJ'!DV51/'WICHE Public Grads-RE PROJ'!B51</f>
        <v>1.42018779342723E-2</v>
      </c>
      <c r="CG48" s="262">
        <f>+'WICHE Public Grads-RE PROJ'!DW51/'WICHE Public Grads-RE PROJ'!C51</f>
        <v>1.3888098355057204E-2</v>
      </c>
      <c r="CH48" s="262">
        <f>+'WICHE Public Grads-RE PROJ'!DX51/'WICHE Public Grads-RE PROJ'!D51</f>
        <v>1.493586364435073E-2</v>
      </c>
      <c r="CI48" s="262">
        <f>+'WICHE Public Grads-RE PROJ'!DY51/'WICHE Public Grads-RE PROJ'!E51</f>
        <v>1.313373031331738E-2</v>
      </c>
      <c r="CJ48" s="262">
        <f>+'WICHE Public Grads-RE PROJ'!DZ51/'WICHE Public Grads-RE PROJ'!F51</f>
        <v>1.2212723437326524E-2</v>
      </c>
      <c r="CK48" s="262">
        <f>+'WICHE Public Grads-RE PROJ'!EA51/'WICHE Public Grads-RE PROJ'!G51</f>
        <v>1.2180725477570294E-2</v>
      </c>
      <c r="CL48" s="267">
        <f>+'WICHE Public Grads-RE PROJ'!EB51/'WICHE Public Grads-RE PROJ'!H51</f>
        <v>1.1714589989350373E-2</v>
      </c>
      <c r="CM48" s="267">
        <f>+'WICHE Public Grads-RE PROJ'!EC51/'WICHE Public Grads-RE PROJ'!I51</f>
        <v>1.27007299270073E-2</v>
      </c>
      <c r="CN48" s="267">
        <f>+'WICHE Public Grads-RE PROJ'!ED51/'WICHE Public Grads-RE PROJ'!J51</f>
        <v>1.6229093255248399E-2</v>
      </c>
      <c r="CO48" s="267">
        <f>+'WICHE Public Grads-RE PROJ'!EE51/'WICHE Public Grads-RE PROJ'!K51</f>
        <v>1.582053108149354E-2</v>
      </c>
      <c r="CP48" s="262">
        <f>+'WICHE Public Grads-RE PROJ'!EF51/'WICHE Public Grads-RE PROJ'!L51</f>
        <v>1.7930688096433951E-2</v>
      </c>
      <c r="CQ48" s="267">
        <f>+'WICHE Public Grads-RE PROJ'!EG51/'WICHE Public Grads-RE PROJ'!M51</f>
        <v>1.4979415703586131E-2</v>
      </c>
      <c r="CR48" s="267">
        <f>+'WICHE Public Grads-RE PROJ'!EH51/'WICHE Public Grads-RE PROJ'!N51</f>
        <v>1.6741346201191588E-2</v>
      </c>
      <c r="CS48" s="267">
        <f>+'WICHE Public Grads-RE PROJ'!EI51/'WICHE Public Grads-RE PROJ'!O51</f>
        <v>1.7352056168505516E-2</v>
      </c>
      <c r="CT48" s="267">
        <f>+'WICHE Public Grads-RE PROJ'!EJ51/'WICHE Public Grads-RE PROJ'!P51</f>
        <v>1.7810159886662617E-2</v>
      </c>
      <c r="CU48" s="267">
        <f>+'WICHE Public Grads-RE PROJ'!EK51/'WICHE Public Grads-RE PROJ'!Q51</f>
        <v>1.7410557037186133E-2</v>
      </c>
      <c r="CV48" s="267">
        <f>+'WICHE Public Grads-RE PROJ'!EL51/'WICHE Public Grads-RE PROJ'!R51</f>
        <v>1.771899176441228E-2</v>
      </c>
      <c r="CW48" s="267">
        <f>+'WICHE Public Grads-RE PROJ'!EM51/'WICHE Public Grads-RE PROJ'!S51</f>
        <v>1.6819650274344906E-2</v>
      </c>
      <c r="CX48" s="267">
        <f>+'WICHE Public Grads-RE PROJ'!EN51/'WICHE Public Grads-RE PROJ'!T51</f>
        <v>1.8224057821373256E-2</v>
      </c>
      <c r="CY48" s="267">
        <f>+'WICHE Public Grads-RE PROJ'!EO51/'WICHE Public Grads-RE PROJ'!U51</f>
        <v>1.9271336882748322E-2</v>
      </c>
      <c r="CZ48" s="267">
        <f>+'WICHE Public Grads-RE PROJ'!EP51/'WICHE Public Grads-RE PROJ'!V51</f>
        <v>2.3065232560894839E-2</v>
      </c>
      <c r="DA48" s="267">
        <f>+'WICHE Public Grads-RE PROJ'!EQ51/'WICHE Public Grads-RE PROJ'!W51</f>
        <v>2.083931647916917E-2</v>
      </c>
      <c r="DB48" s="268">
        <f>+'WICHE Public Grads-RE PROJ'!ER51/'WICHE Public Grads-RE PROJ'!Y51</f>
        <v>2.4603252450872116E-2</v>
      </c>
      <c r="DC48" s="268">
        <f>+'WICHE Public Grads-RE PROJ'!ES51/'WICHE Public Grads-RE PROJ'!Z51</f>
        <v>2.5272471124579105E-2</v>
      </c>
      <c r="DD48" s="268">
        <f>+'WICHE Public Grads-RE PROJ'!ET51/'WICHE Public Grads-RE PROJ'!AA51</f>
        <v>2.3175090911170749E-2</v>
      </c>
      <c r="DE48" s="268">
        <f>+'WICHE Public Grads-RE PROJ'!EU51/'WICHE Public Grads-RE PROJ'!AB51</f>
        <v>2.7773513390061282E-2</v>
      </c>
      <c r="DF48" s="266">
        <f>+'WICHE Public Grads-RE PROJ'!EV51/'WICHE Public Grads-RE PROJ'!AC51</f>
        <v>2.6809440563223548E-2</v>
      </c>
      <c r="DG48" s="266">
        <f>+'WICHE Public Grads-RE PROJ'!EW51/'WICHE Public Grads-RE PROJ'!AD51</f>
        <v>2.9463390810407962E-2</v>
      </c>
      <c r="DH48" s="266">
        <f>+'WICHE Public Grads-RE PROJ'!EX51/'WICHE Public Grads-RE PROJ'!AE51</f>
        <v>2.9413397379028341E-2</v>
      </c>
      <c r="DI48" s="266">
        <f>+'WICHE Public Grads-RE PROJ'!EY51/'WICHE Public Grads-RE PROJ'!AF51</f>
        <v>3.0683427686230644E-2</v>
      </c>
      <c r="DJ48" s="266">
        <f>+'WICHE Public Grads-RE PROJ'!EZ51/'WICHE Public Grads-RE PROJ'!AG51</f>
        <v>3.2069369348532405E-2</v>
      </c>
      <c r="DK48" s="268">
        <f>+'WICHE Public Grads-RE PROJ'!FA51/'WICHE Public Grads-RE PROJ'!AH51</f>
        <v>3.4933380868171562E-2</v>
      </c>
      <c r="DL48" s="266">
        <f>+'WICHE Public Grads-RE PROJ'!FB51/'WICHE Public Grads-RE PROJ'!AI51</f>
        <v>3.4957902248774098E-2</v>
      </c>
      <c r="DM48" s="266">
        <f>+'WICHE Public Grads-RE PROJ'!FC51/'WICHE Public Grads-RE PROJ'!AJ51</f>
        <v>3.2623446875602889E-2</v>
      </c>
      <c r="DN48" s="266">
        <f>+'WICHE Public Grads-RE PROJ'!FD51/'WICHE Public Grads-RE PROJ'!AK51</f>
        <v>3.3398879568594816E-2</v>
      </c>
      <c r="DO48" s="266">
        <f>+'WICHE Public Grads-RE PROJ'!FE51/'WICHE Public Grads-RE PROJ'!AL51</f>
        <v>3.771269284100677E-2</v>
      </c>
      <c r="DP48" s="266">
        <f>+'WICHE Public Grads-RE PROJ'!FF51/'WICHE Public Grads-RE PROJ'!AM51</f>
        <v>3.8672672987354148E-2</v>
      </c>
      <c r="DQ48" s="266">
        <f>+'WICHE Public Grads-RE PROJ'!FG51/'WICHE Public Grads-RE PROJ'!AN51</f>
        <v>3.8846736589197288E-2</v>
      </c>
      <c r="DR48" s="266">
        <f>+'WICHE Public Grads-RE PROJ'!FH51/'WICHE Public Grads-RE PROJ'!AO51</f>
        <v>4.3385974854466311E-2</v>
      </c>
      <c r="DS48" s="266">
        <f>+'WICHE Public Grads-RE PROJ'!FI51/'WICHE Public Grads-RE PROJ'!AP51</f>
        <v>4.3688631722192721E-2</v>
      </c>
      <c r="DT48" s="282">
        <f>+'WICHE Public Grads-RE PROJ'!FJ51/'WICHE Public Grads-RE PROJ'!AQ51</f>
        <v>4.9580173490910442E-2</v>
      </c>
      <c r="DU48" s="262">
        <f>+'WICHE Public Grads-RE PROJ'!FK51/'WICHE Public Grads-RE PROJ'!B51</f>
        <v>2.3004694835680753E-2</v>
      </c>
      <c r="DV48" s="262">
        <f>+'WICHE Public Grads-RE PROJ'!FL51/'WICHE Public Grads-RE PROJ'!C51</f>
        <v>3.5915533041152026E-2</v>
      </c>
      <c r="DW48" s="262">
        <f>+'WICHE Public Grads-RE PROJ'!FM51/'WICHE Public Grads-RE PROJ'!D51</f>
        <v>3.672465296081532E-2</v>
      </c>
      <c r="DX48" s="262">
        <f>+'WICHE Public Grads-RE PROJ'!FN51/'WICHE Public Grads-RE PROJ'!E51</f>
        <v>3.3836050976682061E-2</v>
      </c>
      <c r="DY48" s="262">
        <f>+'WICHE Public Grads-RE PROJ'!FO51/'WICHE Public Grads-RE PROJ'!F51</f>
        <v>3.5028311313422891E-2</v>
      </c>
      <c r="DZ48" s="262">
        <f>+'WICHE Public Grads-RE PROJ'!FP51/'WICHE Public Grads-RE PROJ'!G51</f>
        <v>3.2732345996995066E-2</v>
      </c>
      <c r="EA48" s="267">
        <f>+'WICHE Public Grads-RE PROJ'!FQ51/'WICHE Public Grads-RE PROJ'!H51</f>
        <v>3.6715857802119785E-2</v>
      </c>
      <c r="EB48" s="267">
        <f>+'WICHE Public Grads-RE PROJ'!FR51/'WICHE Public Grads-RE PROJ'!I51</f>
        <v>3.7518248175182484E-2</v>
      </c>
      <c r="EC48" s="267">
        <f>+'WICHE Public Grads-RE PROJ'!FS51/'WICHE Public Grads-RE PROJ'!J51</f>
        <v>4.0101245719390541E-2</v>
      </c>
      <c r="ED48" s="267">
        <f>+'WICHE Public Grads-RE PROJ'!FT51/'WICHE Public Grads-RE PROJ'!K51</f>
        <v>4.2069386509309185E-2</v>
      </c>
      <c r="EE48" s="262">
        <f>+'WICHE Public Grads-RE PROJ'!FU51/'WICHE Public Grads-RE PROJ'!L51</f>
        <v>3.9979909593169265E-2</v>
      </c>
      <c r="EF48" s="267">
        <f>+'WICHE Public Grads-RE PROJ'!FV51/'WICHE Public Grads-RE PROJ'!M51</f>
        <v>4.4243837111254403E-2</v>
      </c>
      <c r="EG48" s="267">
        <f>+'WICHE Public Grads-RE PROJ'!FW51/'WICHE Public Grads-RE PROJ'!N51</f>
        <v>4.8451425476389781E-2</v>
      </c>
      <c r="EH48" s="267">
        <f>+'WICHE Public Grads-RE PROJ'!FX51/'WICHE Public Grads-RE PROJ'!O51</f>
        <v>4.819458375125376E-2</v>
      </c>
      <c r="EI48" s="267">
        <f>+'WICHE Public Grads-RE PROJ'!FY51/'WICHE Public Grads-RE PROJ'!P51</f>
        <v>5.2216150576806314E-2</v>
      </c>
      <c r="EJ48" s="267">
        <f>+'WICHE Public Grads-RE PROJ'!FZ51/'WICHE Public Grads-RE PROJ'!Q51</f>
        <v>6.1691742565289587E-2</v>
      </c>
      <c r="EK48" s="267">
        <f>+'WICHE Public Grads-RE PROJ'!GA51/'WICHE Public Grads-RE PROJ'!R51</f>
        <v>5.2358372847516849E-2</v>
      </c>
      <c r="EL48" s="267">
        <f>+'WICHE Public Grads-RE PROJ'!GB51/'WICHE Public Grads-RE PROJ'!S51</f>
        <v>5.4048510332803446E-2</v>
      </c>
      <c r="EM48" s="267">
        <f>+'WICHE Public Grads-RE PROJ'!GC51/'WICHE Public Grads-RE PROJ'!T51</f>
        <v>5.6427465152297365E-2</v>
      </c>
      <c r="EN48" s="267">
        <f>+'WICHE Public Grads-RE PROJ'!GD51/'WICHE Public Grads-RE PROJ'!U51</f>
        <v>5.5378655531716087E-2</v>
      </c>
      <c r="EO48" s="267">
        <f>+'WICHE Public Grads-RE PROJ'!GE51/'WICHE Public Grads-RE PROJ'!V51</f>
        <v>6.2129426740278944E-2</v>
      </c>
      <c r="EP48" s="267">
        <f>+'WICHE Public Grads-RE PROJ'!GF51/'WICHE Public Grads-RE PROJ'!W51</f>
        <v>6.3656232497386306E-2</v>
      </c>
      <c r="EQ48" s="268">
        <f>+'WICHE Public Grads-RE PROJ'!GG51/'WICHE Public Grads-RE PROJ'!Y51</f>
        <v>6.3423530656109256E-2</v>
      </c>
      <c r="ER48" s="268">
        <f>+'WICHE Public Grads-RE PROJ'!GH51/'WICHE Public Grads-RE PROJ'!Z51</f>
        <v>6.0409320882108049E-2</v>
      </c>
      <c r="ES48" s="268">
        <f>+'WICHE Public Grads-RE PROJ'!GI51/'WICHE Public Grads-RE PROJ'!AA51</f>
        <v>5.7283392497701487E-2</v>
      </c>
      <c r="ET48" s="268">
        <f>+'WICHE Public Grads-RE PROJ'!GJ51/'WICHE Public Grads-RE PROJ'!AB51</f>
        <v>5.1146363462188475E-2</v>
      </c>
      <c r="EU48" s="266">
        <f>+'WICHE Public Grads-RE PROJ'!GK51/'WICHE Public Grads-RE PROJ'!AC51</f>
        <v>5.7289244349783136E-2</v>
      </c>
      <c r="EV48" s="266">
        <f>+'WICHE Public Grads-RE PROJ'!GL51/'WICHE Public Grads-RE PROJ'!AD51</f>
        <v>5.7045274734192346E-2</v>
      </c>
      <c r="EW48" s="266">
        <f>+'WICHE Public Grads-RE PROJ'!GM51/'WICHE Public Grads-RE PROJ'!AE51</f>
        <v>5.1574576836513578E-2</v>
      </c>
      <c r="EX48" s="266">
        <f>+'WICHE Public Grads-RE PROJ'!GN51/'WICHE Public Grads-RE PROJ'!AF51</f>
        <v>5.1808255630286786E-2</v>
      </c>
      <c r="EY48" s="266">
        <f>+'WICHE Public Grads-RE PROJ'!GO51/'WICHE Public Grads-RE PROJ'!AG51</f>
        <v>5.0352417189487846E-2</v>
      </c>
      <c r="EZ48" s="268">
        <f>+'WICHE Public Grads-RE PROJ'!GP51/'WICHE Public Grads-RE PROJ'!AH51</f>
        <v>5.3214264180227122E-2</v>
      </c>
      <c r="FA48" s="266">
        <f>+'WICHE Public Grads-RE PROJ'!GQ51/'WICHE Public Grads-RE PROJ'!AI51</f>
        <v>5.3181869841622986E-2</v>
      </c>
      <c r="FB48" s="266">
        <f>+'WICHE Public Grads-RE PROJ'!GR51/'WICHE Public Grads-RE PROJ'!AJ51</f>
        <v>5.0041289403701464E-2</v>
      </c>
      <c r="FC48" s="266">
        <f>+'WICHE Public Grads-RE PROJ'!GS51/'WICHE Public Grads-RE PROJ'!AK51</f>
        <v>5.4257981506141639E-2</v>
      </c>
      <c r="FD48" s="266">
        <f>+'WICHE Public Grads-RE PROJ'!GT51/'WICHE Public Grads-RE PROJ'!AL51</f>
        <v>5.4704885377054022E-2</v>
      </c>
      <c r="FE48" s="266">
        <f>+'WICHE Public Grads-RE PROJ'!GU51/'WICHE Public Grads-RE PROJ'!AM51</f>
        <v>5.5547964132813876E-2</v>
      </c>
      <c r="FF48" s="266">
        <f>+'WICHE Public Grads-RE PROJ'!GV51/'WICHE Public Grads-RE PROJ'!AN51</f>
        <v>5.4580420165604861E-2</v>
      </c>
      <c r="FG48" s="266">
        <f>+'WICHE Public Grads-RE PROJ'!GW51/'WICHE Public Grads-RE PROJ'!AO51</f>
        <v>5.6355662502799664E-2</v>
      </c>
      <c r="FH48" s="266">
        <f>+'WICHE Public Grads-RE PROJ'!GX51/'WICHE Public Grads-RE PROJ'!AP51</f>
        <v>5.6153583937977272E-2</v>
      </c>
      <c r="FI48" s="282">
        <f>+'WICHE Public Grads-RE PROJ'!GY51/'WICHE Public Grads-RE PROJ'!AQ51</f>
        <v>5.7188392071456054E-2</v>
      </c>
      <c r="FJ48" s="262">
        <f>+'WICHE Public Grads-RE PROJ'!GZ51/'WICHE Public Grads-RE PROJ'!B51</f>
        <v>3.6208920187793425E-2</v>
      </c>
      <c r="FK48" s="262">
        <f>+'WICHE Public Grads-RE PROJ'!HA51/'WICHE Public Grads-RE PROJ'!C51</f>
        <v>2.3393477147247994E-2</v>
      </c>
      <c r="FL48" s="262">
        <f>+'WICHE Public Grads-RE PROJ'!HB51/'WICHE Public Grads-RE PROJ'!D51</f>
        <v>2.3838809816669596E-2</v>
      </c>
      <c r="FM48" s="262">
        <f>+'WICHE Public Grads-RE PROJ'!HC51/'WICHE Public Grads-RE PROJ'!E51</f>
        <v>2.4764872836551838E-2</v>
      </c>
      <c r="FN48" s="262">
        <f>+'WICHE Public Grads-RE PROJ'!HD51/'WICHE Public Grads-RE PROJ'!F51</f>
        <v>2.5258132563561676E-2</v>
      </c>
      <c r="FO48" s="262">
        <f>+'WICHE Public Grads-RE PROJ'!HE51/'WICHE Public Grads-RE PROJ'!G51</f>
        <v>2.6883451384417258E-2</v>
      </c>
      <c r="FP48" s="267">
        <f>+'WICHE Public Grads-RE PROJ'!HF51/'WICHE Public Grads-RE PROJ'!H51</f>
        <v>3.017394391196308E-2</v>
      </c>
      <c r="FQ48" s="267">
        <f>+'WICHE Public Grads-RE PROJ'!HG51/'WICHE Public Grads-RE PROJ'!I51</f>
        <v>3.3771289537712898E-2</v>
      </c>
      <c r="FR48" s="267">
        <f>+'WICHE Public Grads-RE PROJ'!HH51/'WICHE Public Grads-RE PROJ'!J51</f>
        <v>3.3401161347957717E-2</v>
      </c>
      <c r="FS48" s="267">
        <f>+'WICHE Public Grads-RE PROJ'!HI51/'WICHE Public Grads-RE PROJ'!K51</f>
        <v>3.8762844643402176E-2</v>
      </c>
      <c r="FT48" s="262">
        <f>+'WICHE Public Grads-RE PROJ'!HJ51/'WICHE Public Grads-RE PROJ'!L51</f>
        <v>3.7970868910095427E-2</v>
      </c>
      <c r="FU48" s="267">
        <f>+'WICHE Public Grads-RE PROJ'!HK51/'WICHE Public Grads-RE PROJ'!M51</f>
        <v>4.0771787113734435E-2</v>
      </c>
      <c r="FV48" s="267">
        <f>+'WICHE Public Grads-RE PROJ'!HL51/'WICHE Public Grads-RE PROJ'!N51</f>
        <v>4.9436210547048109E-2</v>
      </c>
      <c r="FW48" s="267">
        <f>+'WICHE Public Grads-RE PROJ'!HM51/'WICHE Public Grads-RE PROJ'!O51</f>
        <v>5.9879638916750251E-2</v>
      </c>
      <c r="FX48" s="267">
        <f>+'WICHE Public Grads-RE PROJ'!HN51/'WICHE Public Grads-RE PROJ'!P51</f>
        <v>6.2537947783849426E-2</v>
      </c>
      <c r="FY48" s="267">
        <f>+'WICHE Public Grads-RE PROJ'!HO51/'WICHE Public Grads-RE PROJ'!Q51</f>
        <v>6.4912192421878928E-2</v>
      </c>
      <c r="FZ48" s="267">
        <f>+'WICHE Public Grads-RE PROJ'!HP51/'WICHE Public Grads-RE PROJ'!R51</f>
        <v>7.1574744197654111E-2</v>
      </c>
      <c r="GA48" s="267">
        <f>+'WICHE Public Grads-RE PROJ'!HQ51/'WICHE Public Grads-RE PROJ'!S51</f>
        <v>8.2918824675657657E-2</v>
      </c>
      <c r="GB48" s="267">
        <f>+'WICHE Public Grads-RE PROJ'!HR51/'WICHE Public Grads-RE PROJ'!T51</f>
        <v>9.3546721734641194E-2</v>
      </c>
      <c r="GC48" s="267">
        <f>+'WICHE Public Grads-RE PROJ'!HS51/'WICHE Public Grads-RE PROJ'!U51</f>
        <v>0.11548866263341695</v>
      </c>
      <c r="GD48" s="267">
        <f>+'WICHE Public Grads-RE PROJ'!HT51/'WICHE Public Grads-RE PROJ'!V51</f>
        <v>0.12314308053166537</v>
      </c>
      <c r="GE48" s="267">
        <f>+'WICHE Public Grads-RE PROJ'!HU51/'WICHE Public Grads-RE PROJ'!W51</f>
        <v>0.13041776734174737</v>
      </c>
      <c r="GF48" s="268">
        <f>+'WICHE Public Grads-RE PROJ'!HV51/'WICHE Public Grads-RE PROJ'!Y51</f>
        <v>0.14118805661112899</v>
      </c>
      <c r="GG48" s="268">
        <f>+'WICHE Public Grads-RE PROJ'!HW51/'WICHE Public Grads-RE PROJ'!Z51</f>
        <v>0.15070441741755036</v>
      </c>
      <c r="GH48" s="268">
        <f>+'WICHE Public Grads-RE PROJ'!HX51/'WICHE Public Grads-RE PROJ'!AA51</f>
        <v>0.15290386465224065</v>
      </c>
      <c r="GI48" s="268">
        <f>+'WICHE Public Grads-RE PROJ'!HY51/'WICHE Public Grads-RE PROJ'!AB51</f>
        <v>0.15792609861153675</v>
      </c>
      <c r="GJ48" s="266">
        <f>+'WICHE Public Grads-RE PROJ'!HZ51/'WICHE Public Grads-RE PROJ'!AC51</f>
        <v>0.16761773466122354</v>
      </c>
      <c r="GK48" s="266">
        <f>+'WICHE Public Grads-RE PROJ'!IA51/'WICHE Public Grads-RE PROJ'!AD51</f>
        <v>0.17262869589055424</v>
      </c>
      <c r="GL48" s="266">
        <f>+'WICHE Public Grads-RE PROJ'!IB51/'WICHE Public Grads-RE PROJ'!AE51</f>
        <v>0.18448369224850389</v>
      </c>
      <c r="GM48" s="266">
        <f>+'WICHE Public Grads-RE PROJ'!IC51/'WICHE Public Grads-RE PROJ'!AF51</f>
        <v>0.18620574290993955</v>
      </c>
      <c r="GN48" s="266">
        <f>+'WICHE Public Grads-RE PROJ'!ID51/'WICHE Public Grads-RE PROJ'!AG51</f>
        <v>0.18944189336694653</v>
      </c>
      <c r="GO48" s="268">
        <f>+'WICHE Public Grads-RE PROJ'!IE51/'WICHE Public Grads-RE PROJ'!AH51</f>
        <v>0.19508544741947631</v>
      </c>
      <c r="GP48" s="266">
        <f>+'WICHE Public Grads-RE PROJ'!IF51/'WICHE Public Grads-RE PROJ'!AI51</f>
        <v>0.20381008111556737</v>
      </c>
      <c r="GQ48" s="266">
        <f>+'WICHE Public Grads-RE PROJ'!IG51/'WICHE Public Grads-RE PROJ'!AJ51</f>
        <v>0.20123906066496239</v>
      </c>
      <c r="GR48" s="266">
        <f>+'WICHE Public Grads-RE PROJ'!IH51/'WICHE Public Grads-RE PROJ'!AK51</f>
        <v>0.2161441586982514</v>
      </c>
      <c r="GS48" s="266">
        <f>+'WICHE Public Grads-RE PROJ'!II51/'WICHE Public Grads-RE PROJ'!AL51</f>
        <v>0.21646569511363725</v>
      </c>
      <c r="GT48" s="266">
        <f>+'WICHE Public Grads-RE PROJ'!IJ51/'WICHE Public Grads-RE PROJ'!AM51</f>
        <v>0.20606998454113373</v>
      </c>
      <c r="GU48" s="266">
        <f>+'WICHE Public Grads-RE PROJ'!IK51/'WICHE Public Grads-RE PROJ'!AN51</f>
        <v>0.19223811728109549</v>
      </c>
      <c r="GV48" s="266">
        <f>+'WICHE Public Grads-RE PROJ'!IL51/'WICHE Public Grads-RE PROJ'!AO51</f>
        <v>0.20034158021028431</v>
      </c>
      <c r="GW48" s="266">
        <f>+'WICHE Public Grads-RE PROJ'!IM51/'WICHE Public Grads-RE PROJ'!AP51</f>
        <v>0.2027968075048428</v>
      </c>
      <c r="GX48" s="282">
        <f>+'WICHE Public Grads-RE PROJ'!IN51/'WICHE Public Grads-RE PROJ'!AQ51</f>
        <v>0.2100553455010388</v>
      </c>
      <c r="GY48" s="262">
        <f>+'WICHE Public Grads-RE PROJ'!IO51/'WICHE Public Grads-RE PROJ'!B51</f>
        <v>0.92206572769953055</v>
      </c>
      <c r="GZ48" s="262">
        <f>+'WICHE Public Grads-RE PROJ'!IP51/'WICHE Public Grads-RE PROJ'!C51</f>
        <v>0.9214525584836929</v>
      </c>
      <c r="HA48" s="262">
        <f>+'WICHE Public Grads-RE PROJ'!IQ51/'WICHE Public Grads-RE PROJ'!D51</f>
        <v>0.91840918409184091</v>
      </c>
      <c r="HB48" s="262">
        <f>+'WICHE Public Grads-RE PROJ'!IR51/'WICHE Public Grads-RE PROJ'!E51</f>
        <v>0.92236629751238242</v>
      </c>
      <c r="HC48" s="262">
        <f>+'WICHE Public Grads-RE PROJ'!IS51/'WICHE Public Grads-RE PROJ'!F51</f>
        <v>0.92161652048406795</v>
      </c>
      <c r="HD48" s="262">
        <f>+'WICHE Public Grads-RE PROJ'!IT51/'WICHE Public Grads-RE PROJ'!G51</f>
        <v>0.92154968877441512</v>
      </c>
      <c r="HE48" s="267">
        <f>+'WICHE Public Grads-RE PROJ'!IU51/'WICHE Public Grads-RE PROJ'!H51</f>
        <v>0.91520868198184491</v>
      </c>
      <c r="HF48" s="267">
        <f>+'WICHE Public Grads-RE PROJ'!IV51/'WICHE Public Grads-RE PROJ'!I51</f>
        <v>0.90924574209245745</v>
      </c>
      <c r="HG48" s="267">
        <f>+'WICHE Public Grads-RE PROJ'!IW51/'WICHE Public Grads-RE PROJ'!J51</f>
        <v>0.90401508759739935</v>
      </c>
      <c r="HH48" s="267">
        <f>+'WICHE Public Grads-RE PROJ'!IX51/'WICHE Public Grads-RE PROJ'!K51</f>
        <v>0.89627632516024014</v>
      </c>
      <c r="HI48" s="262">
        <f>+'WICHE Public Grads-RE PROJ'!IY51/'WICHE Public Grads-RE PROJ'!L51</f>
        <v>0.89658463083877449</v>
      </c>
      <c r="HJ48" s="267">
        <f>+'WICHE Public Grads-RE PROJ'!IZ51/'WICHE Public Grads-RE PROJ'!M51</f>
        <v>0.89097763007787312</v>
      </c>
      <c r="HK48" s="267">
        <f>+'WICHE Public Grads-RE PROJ'!JA51/'WICHE Public Grads-RE PROJ'!N51</f>
        <v>0.8763602343788468</v>
      </c>
      <c r="HL48" s="267">
        <f>+'WICHE Public Grads-RE PROJ'!JB51/'WICHE Public Grads-RE PROJ'!O51</f>
        <v>0.86469408224674027</v>
      </c>
      <c r="HM48" s="267">
        <f>+'WICHE Public Grads-RE PROJ'!JC51/'WICHE Public Grads-RE PROJ'!P51</f>
        <v>0.85665857113944543</v>
      </c>
      <c r="HN48" s="267">
        <f>+'WICHE Public Grads-RE PROJ'!JD51/'WICHE Public Grads-RE PROJ'!Q51</f>
        <v>0.84536808735470237</v>
      </c>
      <c r="HO48" s="267">
        <f>+'WICHE Public Grads-RE PROJ'!JE51/'WICHE Public Grads-RE PROJ'!R51</f>
        <v>0.84696780633890689</v>
      </c>
      <c r="HP48" s="267">
        <f>+'WICHE Public Grads-RE PROJ'!JF51/'WICHE Public Grads-RE PROJ'!S51</f>
        <v>0.83457258602122963</v>
      </c>
      <c r="HQ48" s="267">
        <f>+'WICHE Public Grads-RE PROJ'!JG51/'WICHE Public Grads-RE PROJ'!T51</f>
        <v>0.82194114610221991</v>
      </c>
      <c r="HR48" s="267">
        <f>+'WICHE Public Grads-RE PROJ'!JH51/'WICHE Public Grads-RE PROJ'!U51</f>
        <v>0.79795693581167937</v>
      </c>
      <c r="HS48" s="267">
        <f>+'WICHE Public Grads-RE PROJ'!JI51/'WICHE Public Grads-RE PROJ'!V51</f>
        <v>0.77797803080984496</v>
      </c>
      <c r="HT48" s="267">
        <f>+'WICHE Public Grads-RE PROJ'!JJ51/'WICHE Public Grads-RE PROJ'!W51</f>
        <v>0.77346103779881648</v>
      </c>
      <c r="HU48" s="268">
        <f>+'WICHE Public Grads-RE PROJ'!JK51/'WICHE Public Grads-RE PROJ'!Y51</f>
        <v>0.756723958193387</v>
      </c>
      <c r="HV48" s="268">
        <f>+'WICHE Public Grads-RE PROJ'!JL51/'WICHE Public Grads-RE PROJ'!Z51</f>
        <v>0.74963963732783623</v>
      </c>
      <c r="HW48" s="268">
        <f>+'WICHE Public Grads-RE PROJ'!JM51/'WICHE Public Grads-RE PROJ'!AA51</f>
        <v>0.75574711439277253</v>
      </c>
      <c r="HX48" s="268">
        <f>+'WICHE Public Grads-RE PROJ'!JN51/'WICHE Public Grads-RE PROJ'!AB51</f>
        <v>0.75464798992440141</v>
      </c>
      <c r="HY48" s="266">
        <f>+'WICHE Public Grads-RE PROJ'!JO51/'WICHE Public Grads-RE PROJ'!AC51</f>
        <v>0.73897204651615234</v>
      </c>
      <c r="HZ48" s="266">
        <f>+'WICHE Public Grads-RE PROJ'!JP51/'WICHE Public Grads-RE PROJ'!AD51</f>
        <v>0.72966884402030396</v>
      </c>
      <c r="IA48" s="266">
        <f>+'WICHE Public Grads-RE PROJ'!JQ51/'WICHE Public Grads-RE PROJ'!AE51</f>
        <v>0.72837023049672445</v>
      </c>
      <c r="IB48" s="266">
        <f>+'WICHE Public Grads-RE PROJ'!JR51/'WICHE Public Grads-RE PROJ'!AF51</f>
        <v>0.72572948781344848</v>
      </c>
      <c r="IC48" s="266">
        <f>+'WICHE Public Grads-RE PROJ'!JS51/'WICHE Public Grads-RE PROJ'!AG51</f>
        <v>0.72475196982386325</v>
      </c>
      <c r="ID48" s="268">
        <f>+'WICHE Public Grads-RE PROJ'!JT51/'WICHE Public Grads-RE PROJ'!AH51</f>
        <v>0.71610955433114709</v>
      </c>
      <c r="IE48" s="266">
        <f>+'WICHE Public Grads-RE PROJ'!JU51/'WICHE Public Grads-RE PROJ'!AI51</f>
        <v>0.70691067145071385</v>
      </c>
      <c r="IF48" s="266">
        <f>+'WICHE Public Grads-RE PROJ'!JV51/'WICHE Public Grads-RE PROJ'!AJ51</f>
        <v>0.71592623186838478</v>
      </c>
      <c r="IG48" s="266">
        <f>+'WICHE Public Grads-RE PROJ'!JW51/'WICHE Public Grads-RE PROJ'!AK51</f>
        <v>0.70239110870026011</v>
      </c>
      <c r="IH48" s="266">
        <f>+'WICHE Public Grads-RE PROJ'!JX51/'WICHE Public Grads-RE PROJ'!AL51</f>
        <v>0.69774284033228384</v>
      </c>
      <c r="II48" s="266">
        <f>+'WICHE Public Grads-RE PROJ'!JY51/'WICHE Public Grads-RE PROJ'!AM51</f>
        <v>0.70472118312815879</v>
      </c>
      <c r="IJ48" s="266">
        <f>+'WICHE Public Grads-RE PROJ'!JZ51/'WICHE Public Grads-RE PROJ'!AN51</f>
        <v>0.71428610765531109</v>
      </c>
      <c r="IK48" s="266">
        <f>+'WICHE Public Grads-RE PROJ'!KA51/'WICHE Public Grads-RE PROJ'!AO51</f>
        <v>0.70431873544600743</v>
      </c>
      <c r="IL48" s="266">
        <f>+'WICHE Public Grads-RE PROJ'!KB51/'WICHE Public Grads-RE PROJ'!AP51</f>
        <v>0.70164089179849343</v>
      </c>
      <c r="IM48" s="282">
        <f>+'WICHE Public Grads-RE PROJ'!KC51/'WICHE Public Grads-RE PROJ'!AQ51</f>
        <v>0.69148320263551144</v>
      </c>
      <c r="IN48" s="278">
        <f t="shared" si="82"/>
        <v>1</v>
      </c>
      <c r="IO48" s="278">
        <f t="shared" si="83"/>
        <v>1</v>
      </c>
      <c r="IP48" s="278">
        <f t="shared" si="84"/>
        <v>1</v>
      </c>
      <c r="IQ48" s="278">
        <f t="shared" si="85"/>
        <v>1</v>
      </c>
      <c r="IR48" s="278">
        <f t="shared" si="86"/>
        <v>1</v>
      </c>
      <c r="IS48" s="278">
        <f t="shared" si="87"/>
        <v>1</v>
      </c>
      <c r="IT48" s="278">
        <f t="shared" si="88"/>
        <v>1</v>
      </c>
      <c r="IU48" s="278">
        <f t="shared" si="89"/>
        <v>1</v>
      </c>
      <c r="IV48" s="278">
        <f t="shared" si="90"/>
        <v>1</v>
      </c>
      <c r="IW48" s="278">
        <f t="shared" si="91"/>
        <v>1</v>
      </c>
      <c r="IX48" s="278">
        <f t="shared" si="92"/>
        <v>1</v>
      </c>
      <c r="IY48" s="278">
        <f t="shared" si="93"/>
        <v>1</v>
      </c>
      <c r="IZ48" s="278">
        <f t="shared" si="94"/>
        <v>1</v>
      </c>
      <c r="JA48" s="278">
        <f t="shared" si="95"/>
        <v>1</v>
      </c>
      <c r="JB48" s="278">
        <f t="shared" si="96"/>
        <v>1</v>
      </c>
      <c r="JC48" s="278">
        <f t="shared" si="97"/>
        <v>1</v>
      </c>
      <c r="JD48" s="278">
        <f t="shared" si="98"/>
        <v>1</v>
      </c>
      <c r="JE48" s="278">
        <f t="shared" si="99"/>
        <v>1</v>
      </c>
      <c r="JF48" s="278">
        <f t="shared" si="100"/>
        <v>1</v>
      </c>
      <c r="JG48" s="278">
        <f t="shared" si="101"/>
        <v>1</v>
      </c>
      <c r="JH48" s="278">
        <f t="shared" si="102"/>
        <v>1</v>
      </c>
      <c r="JI48" s="278">
        <f t="shared" si="103"/>
        <v>1</v>
      </c>
      <c r="JJ48" s="278">
        <f t="shared" si="104"/>
        <v>0.99674770063673224</v>
      </c>
      <c r="JK48" s="278">
        <f t="shared" si="105"/>
        <v>0.99786586513536246</v>
      </c>
      <c r="JL48" s="278">
        <f t="shared" si="106"/>
        <v>0.99971549909904045</v>
      </c>
      <c r="JM48" s="278">
        <f t="shared" si="107"/>
        <v>1.0028320951899081</v>
      </c>
      <c r="JN48" s="278">
        <f t="shared" si="108"/>
        <v>1.0012959558636774</v>
      </c>
      <c r="JO48" s="278">
        <f t="shared" si="109"/>
        <v>1.0012028073583836</v>
      </c>
      <c r="JP48" s="278">
        <f t="shared" si="110"/>
        <v>1.0042878954859207</v>
      </c>
      <c r="JQ48" s="278">
        <f t="shared" si="111"/>
        <v>1.0050305569895734</v>
      </c>
      <c r="JR48" s="278">
        <f t="shared" si="112"/>
        <v>1.0067539799726977</v>
      </c>
      <c r="JS48" s="278">
        <f t="shared" si="113"/>
        <v>1.0080786679114815</v>
      </c>
      <c r="JT48" s="278">
        <f t="shared" si="114"/>
        <v>1.0086055698709553</v>
      </c>
      <c r="JU48" s="278">
        <f t="shared" si="115"/>
        <v>1.0094019822968363</v>
      </c>
      <c r="JV48" s="278">
        <f t="shared" si="116"/>
        <v>1.0152126738947687</v>
      </c>
      <c r="JW48" s="278">
        <f t="shared" si="117"/>
        <v>1.0161336020140439</v>
      </c>
      <c r="JX48" s="278">
        <f t="shared" si="118"/>
        <v>1.0133688887571999</v>
      </c>
      <c r="JY48" s="278">
        <f t="shared" si="119"/>
        <v>1.0084204880695111</v>
      </c>
      <c r="JZ48" s="278">
        <f t="shared" si="119"/>
        <v>1.0128316935840898</v>
      </c>
      <c r="KA48" s="278">
        <f t="shared" si="119"/>
        <v>1.01322030485603</v>
      </c>
      <c r="KB48" s="278">
        <f t="shared" si="119"/>
        <v>1.0172268614130708</v>
      </c>
    </row>
    <row r="49" spans="1:288" s="17" customFormat="1">
      <c r="A49" s="175" t="s">
        <v>73</v>
      </c>
      <c r="B49" s="262">
        <f>+'WICHE Public Grads-RE PROJ'!AR52/'WICHE Public Grads-RE PROJ'!B52</f>
        <v>4.58752035502034E-2</v>
      </c>
      <c r="C49" s="262">
        <f>+'WICHE Public Grads-RE PROJ'!AS52/'WICHE Public Grads-RE PROJ'!C52</f>
        <v>4.5006839945280437E-2</v>
      </c>
      <c r="D49" s="262">
        <f>+'WICHE Public Grads-RE PROJ'!AT52/'WICHE Public Grads-RE PROJ'!D52</f>
        <v>4.7460781706992819E-2</v>
      </c>
      <c r="E49" s="262">
        <f>+'WICHE Public Grads-RE PROJ'!AU52/'WICHE Public Grads-RE PROJ'!E52</f>
        <v>4.5157988998336958E-2</v>
      </c>
      <c r="F49" s="262">
        <f>+'WICHE Public Grads-RE PROJ'!AV52/'WICHE Public Grads-RE PROJ'!F52</f>
        <v>4.7091067646692415E-2</v>
      </c>
      <c r="G49" s="262">
        <f>+'WICHE Public Grads-RE PROJ'!AW52/'WICHE Public Grads-RE PROJ'!G52</f>
        <v>4.4236760124610593E-2</v>
      </c>
      <c r="H49" s="267">
        <f>+'WICHE Public Grads-RE PROJ'!AX52/'WICHE Public Grads-RE PROJ'!H52</f>
        <v>4.6991334065665816E-2</v>
      </c>
      <c r="I49" s="267">
        <f>+'WICHE Public Grads-RE PROJ'!AY52/'WICHE Public Grads-RE PROJ'!I52</f>
        <v>4.5302813543156892E-2</v>
      </c>
      <c r="J49" s="267">
        <f>+'WICHE Public Grads-RE PROJ'!AZ52/'WICHE Public Grads-RE PROJ'!J52</f>
        <v>5.1127120613525451E-2</v>
      </c>
      <c r="K49" s="267">
        <f>+'WICHE Public Grads-RE PROJ'!BA52/'WICHE Public Grads-RE PROJ'!K52</f>
        <v>4.9851983422143281E-2</v>
      </c>
      <c r="L49" s="262">
        <f>+'WICHE Public Grads-RE PROJ'!BB52/'WICHE Public Grads-RE PROJ'!L52</f>
        <v>5.2255361104264236E-2</v>
      </c>
      <c r="M49" s="267">
        <f>+'WICHE Public Grads-RE PROJ'!BC52/'WICHE Public Grads-RE PROJ'!M52</f>
        <v>5.9860448035255233E-2</v>
      </c>
      <c r="N49" s="267">
        <f>+'WICHE Public Grads-RE PROJ'!BD52/'WICHE Public Grads-RE PROJ'!N52</f>
        <v>6.1232251521298173E-2</v>
      </c>
      <c r="O49" s="267">
        <f>+'WICHE Public Grads-RE PROJ'!BE52/'WICHE Public Grads-RE PROJ'!O52</f>
        <v>6.6710787557908671E-2</v>
      </c>
      <c r="P49" s="267">
        <f>+'WICHE Public Grads-RE PROJ'!BF52/'WICHE Public Grads-RE PROJ'!P52</f>
        <v>5.978865406006674E-2</v>
      </c>
      <c r="Q49" s="267">
        <f>+'WICHE Public Grads-RE PROJ'!BG52/'WICHE Public Grads-RE PROJ'!Q52</f>
        <v>6.6350048889509711E-2</v>
      </c>
      <c r="R49" s="267">
        <f>+'WICHE Public Grads-RE PROJ'!BH52/'WICHE Public Grads-RE PROJ'!R52</f>
        <v>5.8865552221745963E-2</v>
      </c>
      <c r="S49" s="267">
        <f>+'WICHE Public Grads-RE PROJ'!BI52/'WICHE Public Grads-RE PROJ'!S52</f>
        <v>6.8860619469026552E-2</v>
      </c>
      <c r="T49" s="267">
        <f>+'WICHE Public Grads-RE PROJ'!BJ52/'WICHE Public Grads-RE PROJ'!T52</f>
        <v>7.8965758211041223E-2</v>
      </c>
      <c r="U49" s="267">
        <f>+'WICHE Public Grads-RE PROJ'!BK52/'WICHE Public Grads-RE PROJ'!U52</f>
        <v>7.9760880886625127E-2</v>
      </c>
      <c r="V49" s="267">
        <f>+'WICHE Public Grads-RE PROJ'!BL52/'WICHE Public Grads-RE PROJ'!V52</f>
        <v>7.9569399875840843E-2</v>
      </c>
      <c r="W49" s="267">
        <f>+'WICHE Public Grads-RE PROJ'!BM52/'WICHE Public Grads-RE PROJ'!W52</f>
        <v>7.5720448517296327E-2</v>
      </c>
      <c r="X49" s="268">
        <f>+'WICHE Public Grads-RE PROJ'!BN52/'WICHE Public Grads-RE PROJ'!Y52</f>
        <v>7.6399504271983665E-2</v>
      </c>
      <c r="Y49" s="268">
        <f>+'WICHE Public Grads-RE PROJ'!BO52/'WICHE Public Grads-RE PROJ'!Z52</f>
        <v>8.2621562417754355E-2</v>
      </c>
      <c r="Z49" s="268">
        <f>+'WICHE Public Grads-RE PROJ'!BP52/'WICHE Public Grads-RE PROJ'!AA52</f>
        <v>8.2094299256905687E-2</v>
      </c>
      <c r="AA49" s="268">
        <f>+'WICHE Public Grads-RE PROJ'!BQ52/'WICHE Public Grads-RE PROJ'!AB52</f>
        <v>7.97910003064633E-2</v>
      </c>
      <c r="AB49" s="266">
        <f>+'WICHE Public Grads-RE PROJ'!BR52/'WICHE Public Grads-RE PROJ'!AC52</f>
        <v>8.3784731258890507E-2</v>
      </c>
      <c r="AC49" s="266">
        <f>+'WICHE Public Grads-RE PROJ'!BS52/'WICHE Public Grads-RE PROJ'!AD52</f>
        <v>9.0266044622261815E-2</v>
      </c>
      <c r="AD49" s="266">
        <f>+'WICHE Public Grads-RE PROJ'!BT52/'WICHE Public Grads-RE PROJ'!AE52</f>
        <v>9.4789920413892795E-2</v>
      </c>
      <c r="AE49" s="266">
        <f>+'WICHE Public Grads-RE PROJ'!BU52/'WICHE Public Grads-RE PROJ'!AF52</f>
        <v>9.1064839894835894E-2</v>
      </c>
      <c r="AF49" s="266">
        <f>+'WICHE Public Grads-RE PROJ'!BV52/'WICHE Public Grads-RE PROJ'!AG52</f>
        <v>9.4704605302685749E-2</v>
      </c>
      <c r="AG49" s="268">
        <f>+'WICHE Public Grads-RE PROJ'!BW52/'WICHE Public Grads-RE PROJ'!AH52</f>
        <v>9.0389983151364595E-2</v>
      </c>
      <c r="AH49" s="266">
        <f>+'WICHE Public Grads-RE PROJ'!BX52/'WICHE Public Grads-RE PROJ'!AI52</f>
        <v>8.6754550557346904E-2</v>
      </c>
      <c r="AI49" s="266">
        <f>+'WICHE Public Grads-RE PROJ'!BY52/'WICHE Public Grads-RE PROJ'!AJ52</f>
        <v>8.7174149203912157E-2</v>
      </c>
      <c r="AJ49" s="266">
        <f>+'WICHE Public Grads-RE PROJ'!BZ52/'WICHE Public Grads-RE PROJ'!AK52</f>
        <v>8.8040269941128249E-2</v>
      </c>
      <c r="AK49" s="266">
        <f>+'WICHE Public Grads-RE PROJ'!CA52/'WICHE Public Grads-RE PROJ'!AL52</f>
        <v>9.4528259665413103E-2</v>
      </c>
      <c r="AL49" s="266">
        <f>+'WICHE Public Grads-RE PROJ'!CB52/'WICHE Public Grads-RE PROJ'!AM52</f>
        <v>9.7051765527301562E-2</v>
      </c>
      <c r="AM49" s="266">
        <f>+'WICHE Public Grads-RE PROJ'!CC52/'WICHE Public Grads-RE PROJ'!AN52</f>
        <v>9.2730736948835629E-2</v>
      </c>
      <c r="AN49" s="266">
        <f>+'WICHE Public Grads-RE PROJ'!CD52/'WICHE Public Grads-RE PROJ'!AO52</f>
        <v>9.7334199573443164E-2</v>
      </c>
      <c r="AO49" s="266">
        <f>+'WICHE Public Grads-RE PROJ'!CE52/'WICHE Public Grads-RE PROJ'!AP52</f>
        <v>0.10113524019050575</v>
      </c>
      <c r="AP49" s="282">
        <f>+'WICHE Public Grads-RE PROJ'!CF52/'WICHE Public Grads-RE PROJ'!AQ52</f>
        <v>0.10914879139973176</v>
      </c>
      <c r="AQ49" s="262">
        <f>+'WICHE Public Grads-RE PROJ'!CG52/'WICHE Public Grads-RE PROJ'!B52</f>
        <v>3.7714536363355859E-2</v>
      </c>
      <c r="AR49" s="262">
        <f>+'WICHE Public Grads-RE PROJ'!CH52/'WICHE Public Grads-RE PROJ'!C52</f>
        <v>3.707250341997264E-2</v>
      </c>
      <c r="AS49" s="262">
        <f>+'WICHE Public Grads-RE PROJ'!CI52/'WICHE Public Grads-RE PROJ'!D52</f>
        <v>3.9484179739431004E-2</v>
      </c>
      <c r="AT49" s="262">
        <f>+'WICHE Public Grads-RE PROJ'!CJ52/'WICHE Public Grads-RE PROJ'!E52</f>
        <v>3.6586925930663934E-2</v>
      </c>
      <c r="AU49" s="262">
        <f>+'WICHE Public Grads-RE PROJ'!CK52/'WICHE Public Grads-RE PROJ'!F52</f>
        <v>4.0239192724554632E-2</v>
      </c>
      <c r="AV49" s="262">
        <f>+'WICHE Public Grads-RE PROJ'!CL52/'WICHE Public Grads-RE PROJ'!G52</f>
        <v>3.9501557632398751E-2</v>
      </c>
      <c r="AW49" s="267">
        <f>+'WICHE Public Grads-RE PROJ'!CM52/'WICHE Public Grads-RE PROJ'!H52</f>
        <v>4.0278286341999266E-2</v>
      </c>
      <c r="AX49" s="267">
        <f>+'WICHE Public Grads-RE PROJ'!CN52/'WICHE Public Grads-RE PROJ'!I52</f>
        <v>3.8507391511683357E-2</v>
      </c>
      <c r="AY49" s="267">
        <f>+'WICHE Public Grads-RE PROJ'!CO52/'WICHE Public Grads-RE PROJ'!J52</f>
        <v>4.5084824541017893E-2</v>
      </c>
      <c r="AZ49" s="267">
        <f>+'WICHE Public Grads-RE PROJ'!CP52/'WICHE Public Grads-RE PROJ'!K52</f>
        <v>4.4168146832445236E-2</v>
      </c>
      <c r="BA49" s="262">
        <f>+'WICHE Public Grads-RE PROJ'!CQ52/'WICHE Public Grads-RE PROJ'!L52</f>
        <v>4.4614246980527482E-2</v>
      </c>
      <c r="BB49" s="267">
        <f>+'WICHE Public Grads-RE PROJ'!CR52/'WICHE Public Grads-RE PROJ'!M52</f>
        <v>5.1536295752234056E-2</v>
      </c>
      <c r="BC49" s="267">
        <f>+'WICHE Public Grads-RE PROJ'!CS52/'WICHE Public Grads-RE PROJ'!N52</f>
        <v>5.2865111561866122E-2</v>
      </c>
      <c r="BD49" s="267">
        <f>+'WICHE Public Grads-RE PROJ'!CT52/'WICHE Public Grads-RE PROJ'!O52</f>
        <v>5.8504301786896099E-2</v>
      </c>
      <c r="BE49" s="267">
        <f>+'WICHE Public Grads-RE PROJ'!CU52/'WICHE Public Grads-RE PROJ'!P52</f>
        <v>5.2002224694104558E-2</v>
      </c>
      <c r="BF49" s="267">
        <f>+'WICHE Public Grads-RE PROJ'!CV52/'WICHE Public Grads-RE PROJ'!Q52</f>
        <v>5.7689621455510549E-2</v>
      </c>
      <c r="BG49" s="267">
        <f>+'WICHE Public Grads-RE PROJ'!CW52/'WICHE Public Grads-RE PROJ'!R52</f>
        <v>5.100728675525075E-2</v>
      </c>
      <c r="BH49" s="267">
        <f>+'WICHE Public Grads-RE PROJ'!CX52/'WICHE Public Grads-RE PROJ'!S52</f>
        <v>5.8490044247787608E-2</v>
      </c>
      <c r="BI49" s="267">
        <f>+'WICHE Public Grads-RE PROJ'!CY52/'WICHE Public Grads-RE PROJ'!T52</f>
        <v>6.8343815513626838E-2</v>
      </c>
      <c r="BJ49" s="267">
        <f>+'WICHE Public Grads-RE PROJ'!CZ52/'WICHE Public Grads-RE PROJ'!U52</f>
        <v>6.7707098599360374E-2</v>
      </c>
      <c r="BK49" s="267">
        <f>+'WICHE Public Grads-RE PROJ'!DA52/'WICHE Public Grads-RE PROJ'!V52</f>
        <v>6.4556883972573975E-2</v>
      </c>
      <c r="BL49" s="267">
        <f>+'WICHE Public Grads-RE PROJ'!DB52/'WICHE Public Grads-RE PROJ'!W52</f>
        <v>6.0728800864361242E-2</v>
      </c>
      <c r="BM49" s="268">
        <f>+'WICHE Public Grads-RE PROJ'!DC52/'WICHE Public Grads-RE PROJ'!Y52</f>
        <v>5.7969315181687478E-2</v>
      </c>
      <c r="BN49" s="268">
        <f>+'WICHE Public Grads-RE PROJ'!DD52/'WICHE Public Grads-RE PROJ'!Z52</f>
        <v>6.3813662474657251E-2</v>
      </c>
      <c r="BO49" s="268">
        <f>+'WICHE Public Grads-RE PROJ'!DE52/'WICHE Public Grads-RE PROJ'!AA52</f>
        <v>6.0948686442637644E-2</v>
      </c>
      <c r="BP49" s="268">
        <f>+'WICHE Public Grads-RE PROJ'!DF52/'WICHE Public Grads-RE PROJ'!AB52</f>
        <v>5.7760205418145354E-2</v>
      </c>
      <c r="BQ49" s="266">
        <f>+'WICHE Public Grads-RE PROJ'!DG52/'WICHE Public Grads-RE PROJ'!AC52</f>
        <v>5.9834496306426989E-2</v>
      </c>
      <c r="BR49" s="266">
        <f>+'WICHE Public Grads-RE PROJ'!DH52/'WICHE Public Grads-RE PROJ'!AD52</f>
        <v>6.3671389714921117E-2</v>
      </c>
      <c r="BS49" s="266">
        <f>+'WICHE Public Grads-RE PROJ'!DI52/'WICHE Public Grads-RE PROJ'!AE52</f>
        <v>6.0549318320715799E-2</v>
      </c>
      <c r="BT49" s="266">
        <f>+'WICHE Public Grads-RE PROJ'!DJ52/'WICHE Public Grads-RE PROJ'!AF52</f>
        <v>5.6660733204527906E-2</v>
      </c>
      <c r="BU49" s="266">
        <f>+'WICHE Public Grads-RE PROJ'!DK52/'WICHE Public Grads-RE PROJ'!AG52</f>
        <v>5.8604514219527643E-2</v>
      </c>
      <c r="BV49" s="268">
        <f>+'WICHE Public Grads-RE PROJ'!DL52/'WICHE Public Grads-RE PROJ'!AH52</f>
        <v>5.8127627633353982E-2</v>
      </c>
      <c r="BW49" s="266">
        <f>+'WICHE Public Grads-RE PROJ'!DM52/'WICHE Public Grads-RE PROJ'!AI52</f>
        <v>5.2244296683128091E-2</v>
      </c>
      <c r="BX49" s="266">
        <f>+'WICHE Public Grads-RE PROJ'!DN52/'WICHE Public Grads-RE PROJ'!AJ52</f>
        <v>5.2431733580393949E-2</v>
      </c>
      <c r="BY49" s="266">
        <f>+'WICHE Public Grads-RE PROJ'!DO52/'WICHE Public Grads-RE PROJ'!AK52</f>
        <v>5.3789189948762778E-2</v>
      </c>
      <c r="BZ49" s="266">
        <f>+'WICHE Public Grads-RE PROJ'!DP52/'WICHE Public Grads-RE PROJ'!AL52</f>
        <v>5.2882846831707277E-2</v>
      </c>
      <c r="CA49" s="266">
        <f>+'WICHE Public Grads-RE PROJ'!DQ52/'WICHE Public Grads-RE PROJ'!AM52</f>
        <v>4.8949507760609121E-2</v>
      </c>
      <c r="CB49" s="266">
        <f>+'WICHE Public Grads-RE PROJ'!DR52/'WICHE Public Grads-RE PROJ'!AN52</f>
        <v>4.8789006944169301E-2</v>
      </c>
      <c r="CC49" s="266">
        <f>+'WICHE Public Grads-RE PROJ'!DS52/'WICHE Public Grads-RE PROJ'!AO52</f>
        <v>4.6342641084931961E-2</v>
      </c>
      <c r="CD49" s="266">
        <f>+'WICHE Public Grads-RE PROJ'!DT52/'WICHE Public Grads-RE PROJ'!AP52</f>
        <v>4.2005285835605803E-2</v>
      </c>
      <c r="CE49" s="282">
        <f>+'WICHE Public Grads-RE PROJ'!DU52/'WICHE Public Grads-RE PROJ'!AQ52</f>
        <v>4.1135160248128334E-2</v>
      </c>
      <c r="CF49" s="262">
        <f>+'WICHE Public Grads-RE PROJ'!DV52/'WICHE Public Grads-RE PROJ'!B52</f>
        <v>8.160667186847546E-3</v>
      </c>
      <c r="CG49" s="262">
        <f>+'WICHE Public Grads-RE PROJ'!DW52/'WICHE Public Grads-RE PROJ'!C52</f>
        <v>7.9343365253077974E-3</v>
      </c>
      <c r="CH49" s="262">
        <f>+'WICHE Public Grads-RE PROJ'!DX52/'WICHE Public Grads-RE PROJ'!D52</f>
        <v>7.9766019675618187E-3</v>
      </c>
      <c r="CI49" s="262">
        <f>+'WICHE Public Grads-RE PROJ'!DY52/'WICHE Public Grads-RE PROJ'!E52</f>
        <v>8.5710630676730203E-3</v>
      </c>
      <c r="CJ49" s="262">
        <f>+'WICHE Public Grads-RE PROJ'!DZ52/'WICHE Public Grads-RE PROJ'!F52</f>
        <v>6.8518749221377854E-3</v>
      </c>
      <c r="CK49" s="262">
        <f>+'WICHE Public Grads-RE PROJ'!EA52/'WICHE Public Grads-RE PROJ'!G52</f>
        <v>4.7352024922118381E-3</v>
      </c>
      <c r="CL49" s="267">
        <f>+'WICHE Public Grads-RE PROJ'!EB52/'WICHE Public Grads-RE PROJ'!H52</f>
        <v>6.7130477236665449E-3</v>
      </c>
      <c r="CM49" s="267">
        <f>+'WICHE Public Grads-RE PROJ'!EC52/'WICHE Public Grads-RE PROJ'!I52</f>
        <v>6.7954220314735336E-3</v>
      </c>
      <c r="CN49" s="267">
        <f>+'WICHE Public Grads-RE PROJ'!ED52/'WICHE Public Grads-RE PROJ'!J52</f>
        <v>6.0422960725075529E-3</v>
      </c>
      <c r="CO49" s="267">
        <f>+'WICHE Public Grads-RE PROJ'!EE52/'WICHE Public Grads-RE PROJ'!K52</f>
        <v>5.6838365896980459E-3</v>
      </c>
      <c r="CP49" s="262">
        <f>+'WICHE Public Grads-RE PROJ'!EF52/'WICHE Public Grads-RE PROJ'!L52</f>
        <v>7.6411141237367509E-3</v>
      </c>
      <c r="CQ49" s="267">
        <f>+'WICHE Public Grads-RE PROJ'!EG52/'WICHE Public Grads-RE PROJ'!M52</f>
        <v>8.3241522830211773E-3</v>
      </c>
      <c r="CR49" s="267">
        <f>+'WICHE Public Grads-RE PROJ'!EH52/'WICHE Public Grads-RE PROJ'!N52</f>
        <v>8.3671399594320486E-3</v>
      </c>
      <c r="CS49" s="267">
        <f>+'WICHE Public Grads-RE PROJ'!EI52/'WICHE Public Grads-RE PROJ'!O52</f>
        <v>8.2064857710125744E-3</v>
      </c>
      <c r="CT49" s="267">
        <f>+'WICHE Public Grads-RE PROJ'!EJ52/'WICHE Public Grads-RE PROJ'!P52</f>
        <v>7.7864293659621799E-3</v>
      </c>
      <c r="CU49" s="267">
        <f>+'WICHE Public Grads-RE PROJ'!EK52/'WICHE Public Grads-RE PROJ'!Q52</f>
        <v>8.6604274339991613E-3</v>
      </c>
      <c r="CV49" s="267">
        <f>+'WICHE Public Grads-RE PROJ'!EL52/'WICHE Public Grads-RE PROJ'!R52</f>
        <v>7.8582654664952137E-3</v>
      </c>
      <c r="CW49" s="267">
        <f>+'WICHE Public Grads-RE PROJ'!EM52/'WICHE Public Grads-RE PROJ'!S52</f>
        <v>1.0370575221238939E-2</v>
      </c>
      <c r="CX49" s="267">
        <f>+'WICHE Public Grads-RE PROJ'!EN52/'WICHE Public Grads-RE PROJ'!T52</f>
        <v>1.0621942697414396E-2</v>
      </c>
      <c r="CY49" s="267">
        <f>+'WICHE Public Grads-RE PROJ'!EO52/'WICHE Public Grads-RE PROJ'!U52</f>
        <v>1.2053782287264751E-2</v>
      </c>
      <c r="CZ49" s="267">
        <f>+'WICHE Public Grads-RE PROJ'!EP52/'WICHE Public Grads-RE PROJ'!V52</f>
        <v>1.5012515903266872E-2</v>
      </c>
      <c r="DA49" s="267">
        <f>+'WICHE Public Grads-RE PROJ'!EQ52/'WICHE Public Grads-RE PROJ'!W52</f>
        <v>1.4991647652935073E-2</v>
      </c>
      <c r="DB49" s="268">
        <f>+'WICHE Public Grads-RE PROJ'!ER52/'WICHE Public Grads-RE PROJ'!Y52</f>
        <v>1.843018909029619E-2</v>
      </c>
      <c r="DC49" s="268">
        <f>+'WICHE Public Grads-RE PROJ'!ES52/'WICHE Public Grads-RE PROJ'!Z52</f>
        <v>1.8807899943097103E-2</v>
      </c>
      <c r="DD49" s="268">
        <f>+'WICHE Public Grads-RE PROJ'!ET52/'WICHE Public Grads-RE PROJ'!AA52</f>
        <v>2.114561281426805E-2</v>
      </c>
      <c r="DE49" s="268">
        <f>+'WICHE Public Grads-RE PROJ'!EU52/'WICHE Public Grads-RE PROJ'!AB52</f>
        <v>2.2030794888317946E-2</v>
      </c>
      <c r="DF49" s="266">
        <f>+'WICHE Public Grads-RE PROJ'!EV52/'WICHE Public Grads-RE PROJ'!AC52</f>
        <v>2.3950234952463529E-2</v>
      </c>
      <c r="DG49" s="266">
        <f>+'WICHE Public Grads-RE PROJ'!EW52/'WICHE Public Grads-RE PROJ'!AD52</f>
        <v>2.6594654907340712E-2</v>
      </c>
      <c r="DH49" s="266">
        <f>+'WICHE Public Grads-RE PROJ'!EX52/'WICHE Public Grads-RE PROJ'!AE52</f>
        <v>3.4240602093176996E-2</v>
      </c>
      <c r="DI49" s="266">
        <f>+'WICHE Public Grads-RE PROJ'!EY52/'WICHE Public Grads-RE PROJ'!AF52</f>
        <v>3.4404106690307988E-2</v>
      </c>
      <c r="DJ49" s="266">
        <f>+'WICHE Public Grads-RE PROJ'!EZ52/'WICHE Public Grads-RE PROJ'!AG52</f>
        <v>3.6100091083158106E-2</v>
      </c>
      <c r="DK49" s="268">
        <f>+'WICHE Public Grads-RE PROJ'!FA52/'WICHE Public Grads-RE PROJ'!AH52</f>
        <v>3.2262355518010606E-2</v>
      </c>
      <c r="DL49" s="266">
        <f>+'WICHE Public Grads-RE PROJ'!FB52/'WICHE Public Grads-RE PROJ'!AI52</f>
        <v>3.451025387421882E-2</v>
      </c>
      <c r="DM49" s="266">
        <f>+'WICHE Public Grads-RE PROJ'!FC52/'WICHE Public Grads-RE PROJ'!AJ52</f>
        <v>3.4742415623518208E-2</v>
      </c>
      <c r="DN49" s="266">
        <f>+'WICHE Public Grads-RE PROJ'!FD52/'WICHE Public Grads-RE PROJ'!AK52</f>
        <v>3.4251079992365478E-2</v>
      </c>
      <c r="DO49" s="266">
        <f>+'WICHE Public Grads-RE PROJ'!FE52/'WICHE Public Grads-RE PROJ'!AL52</f>
        <v>4.1645412833705826E-2</v>
      </c>
      <c r="DP49" s="266">
        <f>+'WICHE Public Grads-RE PROJ'!FF52/'WICHE Public Grads-RE PROJ'!AM52</f>
        <v>4.8102257766692448E-2</v>
      </c>
      <c r="DQ49" s="266">
        <f>+'WICHE Public Grads-RE PROJ'!FG52/'WICHE Public Grads-RE PROJ'!AN52</f>
        <v>4.3941730004666321E-2</v>
      </c>
      <c r="DR49" s="266">
        <f>+'WICHE Public Grads-RE PROJ'!FH52/'WICHE Public Grads-RE PROJ'!AO52</f>
        <v>5.0991558488511189E-2</v>
      </c>
      <c r="DS49" s="266">
        <f>+'WICHE Public Grads-RE PROJ'!FI52/'WICHE Public Grads-RE PROJ'!AP52</f>
        <v>5.9129954354899934E-2</v>
      </c>
      <c r="DT49" s="282">
        <f>+'WICHE Public Grads-RE PROJ'!FJ52/'WICHE Public Grads-RE PROJ'!AQ52</f>
        <v>6.8013631151603415E-2</v>
      </c>
      <c r="DU49" s="262">
        <f>+'WICHE Public Grads-RE PROJ'!FK52/'WICHE Public Grads-RE PROJ'!B52</f>
        <v>6.8084874594243686E-3</v>
      </c>
      <c r="DV49" s="262">
        <f>+'WICHE Public Grads-RE PROJ'!FL52/'WICHE Public Grads-RE PROJ'!C52</f>
        <v>5.33515731874145E-3</v>
      </c>
      <c r="DW49" s="262">
        <f>+'WICHE Public Grads-RE PROJ'!FM52/'WICHE Public Grads-RE PROJ'!D52</f>
        <v>6.6471683063015156E-3</v>
      </c>
      <c r="DX49" s="262">
        <f>+'WICHE Public Grads-RE PROJ'!FN52/'WICHE Public Grads-RE PROJ'!E52</f>
        <v>8.4431367532301401E-3</v>
      </c>
      <c r="DY49" s="262">
        <f>+'WICHE Public Grads-RE PROJ'!FO52/'WICHE Public Grads-RE PROJ'!F52</f>
        <v>6.3535567459823096E-3</v>
      </c>
      <c r="DZ49" s="262">
        <f>+'WICHE Public Grads-RE PROJ'!FP52/'WICHE Public Grads-RE PROJ'!G52</f>
        <v>5.2336448598130844E-3</v>
      </c>
      <c r="EA49" s="267">
        <f>+'WICHE Public Grads-RE PROJ'!FQ52/'WICHE Public Grads-RE PROJ'!H52</f>
        <v>4.7601611131453678E-3</v>
      </c>
      <c r="EB49" s="267">
        <f>+'WICHE Public Grads-RE PROJ'!FR52/'WICHE Public Grads-RE PROJ'!I52</f>
        <v>5.6032427277062473E-3</v>
      </c>
      <c r="EC49" s="267">
        <f>+'WICHE Public Grads-RE PROJ'!FS52/'WICHE Public Grads-RE PROJ'!J52</f>
        <v>6.739484080873809E-3</v>
      </c>
      <c r="ED49" s="267">
        <f>+'WICHE Public Grads-RE PROJ'!FT52/'WICHE Public Grads-RE PROJ'!K52</f>
        <v>5.5654233274126698E-3</v>
      </c>
      <c r="EE49" s="262">
        <f>+'WICHE Public Grads-RE PROJ'!FU52/'WICHE Public Grads-RE PROJ'!L52</f>
        <v>7.1481390189795414E-3</v>
      </c>
      <c r="EF49" s="267">
        <f>+'WICHE Public Grads-RE PROJ'!FV52/'WICHE Public Grads-RE PROJ'!M52</f>
        <v>6.6103562247521114E-3</v>
      </c>
      <c r="EG49" s="267">
        <f>+'WICHE Public Grads-RE PROJ'!FW52/'WICHE Public Grads-RE PROJ'!N52</f>
        <v>8.7474645030425971E-3</v>
      </c>
      <c r="EH49" s="267">
        <f>+'WICHE Public Grads-RE PROJ'!FX52/'WICHE Public Grads-RE PROJ'!O52</f>
        <v>9.0006618133686295E-3</v>
      </c>
      <c r="EI49" s="267">
        <f>+'WICHE Public Grads-RE PROJ'!FY52/'WICHE Public Grads-RE PROJ'!P52</f>
        <v>8.6206896551724137E-3</v>
      </c>
      <c r="EJ49" s="267">
        <f>+'WICHE Public Grads-RE PROJ'!FZ52/'WICHE Public Grads-RE PROJ'!Q52</f>
        <v>1.0336639195418355E-2</v>
      </c>
      <c r="EK49" s="267">
        <f>+'WICHE Public Grads-RE PROJ'!GA52/'WICHE Public Grads-RE PROJ'!R52</f>
        <v>1.4002000285755108E-2</v>
      </c>
      <c r="EL49" s="267">
        <f>+'WICHE Public Grads-RE PROJ'!GB52/'WICHE Public Grads-RE PROJ'!S52</f>
        <v>1.9081858407079644E-2</v>
      </c>
      <c r="EM49" s="267">
        <f>+'WICHE Public Grads-RE PROJ'!GC52/'WICHE Public Grads-RE PROJ'!T52</f>
        <v>1.9007686932215235E-2</v>
      </c>
      <c r="EN49" s="267">
        <f>+'WICHE Public Grads-RE PROJ'!GD52/'WICHE Public Grads-RE PROJ'!U52</f>
        <v>1.7668147940062367E-2</v>
      </c>
      <c r="EO49" s="267">
        <f>+'WICHE Public Grads-RE PROJ'!GE52/'WICHE Public Grads-RE PROJ'!V52</f>
        <v>2.2953478647593176E-2</v>
      </c>
      <c r="EP49" s="267">
        <f>+'WICHE Public Grads-RE PROJ'!GF52/'WICHE Public Grads-RE PROJ'!W52</f>
        <v>2.3866415300316159E-2</v>
      </c>
      <c r="EQ49" s="268">
        <f>+'WICHE Public Grads-RE PROJ'!GG52/'WICHE Public Grads-RE PROJ'!Y52</f>
        <v>2.7875538979208678E-2</v>
      </c>
      <c r="ER49" s="268">
        <f>+'WICHE Public Grads-RE PROJ'!GH52/'WICHE Public Grads-RE PROJ'!Z52</f>
        <v>3.4299348796747807E-2</v>
      </c>
      <c r="ES49" s="268">
        <f>+'WICHE Public Grads-RE PROJ'!GI52/'WICHE Public Grads-RE PROJ'!AA52</f>
        <v>3.4600686671745387E-2</v>
      </c>
      <c r="ET49" s="268">
        <f>+'WICHE Public Grads-RE PROJ'!GJ52/'WICHE Public Grads-RE PROJ'!AB52</f>
        <v>3.8910954434987273E-2</v>
      </c>
      <c r="EU49" s="266">
        <f>+'WICHE Public Grads-RE PROJ'!GK52/'WICHE Public Grads-RE PROJ'!AC52</f>
        <v>4.6422355303936215E-2</v>
      </c>
      <c r="EV49" s="266">
        <f>+'WICHE Public Grads-RE PROJ'!GL52/'WICHE Public Grads-RE PROJ'!AD52</f>
        <v>4.2833864865501288E-2</v>
      </c>
      <c r="EW49" s="266">
        <f>+'WICHE Public Grads-RE PROJ'!GM52/'WICHE Public Grads-RE PROJ'!AE52</f>
        <v>5.1795447824924276E-2</v>
      </c>
      <c r="EX49" s="266">
        <f>+'WICHE Public Grads-RE PROJ'!GN52/'WICHE Public Grads-RE PROJ'!AF52</f>
        <v>5.1179573785910162E-2</v>
      </c>
      <c r="EY49" s="266">
        <f>+'WICHE Public Grads-RE PROJ'!GO52/'WICHE Public Grads-RE PROJ'!AG52</f>
        <v>5.7501193061933978E-2</v>
      </c>
      <c r="EZ49" s="268">
        <f>+'WICHE Public Grads-RE PROJ'!GP52/'WICHE Public Grads-RE PROJ'!AH52</f>
        <v>6.2580222516702727E-2</v>
      </c>
      <c r="FA49" s="266">
        <f>+'WICHE Public Grads-RE PROJ'!GQ52/'WICHE Public Grads-RE PROJ'!AI52</f>
        <v>6.1469282813990694E-2</v>
      </c>
      <c r="FB49" s="266">
        <f>+'WICHE Public Grads-RE PROJ'!GR52/'WICHE Public Grads-RE PROJ'!AJ52</f>
        <v>6.6867229045951812E-2</v>
      </c>
      <c r="FC49" s="266">
        <f>+'WICHE Public Grads-RE PROJ'!GS52/'WICHE Public Grads-RE PROJ'!AK52</f>
        <v>7.4056107478364455E-2</v>
      </c>
      <c r="FD49" s="266">
        <f>+'WICHE Public Grads-RE PROJ'!GT52/'WICHE Public Grads-RE PROJ'!AL52</f>
        <v>8.1886074184385746E-2</v>
      </c>
      <c r="FE49" s="266">
        <f>+'WICHE Public Grads-RE PROJ'!GU52/'WICHE Public Grads-RE PROJ'!AM52</f>
        <v>9.2019313736961109E-2</v>
      </c>
      <c r="FF49" s="266">
        <f>+'WICHE Public Grads-RE PROJ'!GV52/'WICHE Public Grads-RE PROJ'!AN52</f>
        <v>9.6065487693092588E-2</v>
      </c>
      <c r="FG49" s="266">
        <f>+'WICHE Public Grads-RE PROJ'!GW52/'WICHE Public Grads-RE PROJ'!AO52</f>
        <v>0.11094115011012555</v>
      </c>
      <c r="FH49" s="266">
        <f>+'WICHE Public Grads-RE PROJ'!GX52/'WICHE Public Grads-RE PROJ'!AP52</f>
        <v>0.13260887762443321</v>
      </c>
      <c r="FI49" s="282">
        <f>+'WICHE Public Grads-RE PROJ'!GY52/'WICHE Public Grads-RE PROJ'!AQ52</f>
        <v>0.17257247057218184</v>
      </c>
      <c r="FJ49" s="262">
        <f>+'WICHE Public Grads-RE PROJ'!GZ52/'WICHE Public Grads-RE PROJ'!B52</f>
        <v>6.0794526349923278E-3</v>
      </c>
      <c r="FK49" s="262">
        <f>+'WICHE Public Grads-RE PROJ'!HA52/'WICHE Public Grads-RE PROJ'!C52</f>
        <v>5.6087551299589603E-3</v>
      </c>
      <c r="FL49" s="262">
        <f>+'WICHE Public Grads-RE PROJ'!HB52/'WICHE Public Grads-RE PROJ'!D52</f>
        <v>5.8495081095453335E-3</v>
      </c>
      <c r="FM49" s="262">
        <f>+'WICHE Public Grads-RE PROJ'!HC52/'WICHE Public Grads-RE PROJ'!E52</f>
        <v>6.7800946654726878E-3</v>
      </c>
      <c r="FN49" s="262">
        <f>+'WICHE Public Grads-RE PROJ'!HD52/'WICHE Public Grads-RE PROJ'!F52</f>
        <v>5.2323408496324905E-3</v>
      </c>
      <c r="FO49" s="262">
        <f>+'WICHE Public Grads-RE PROJ'!HE52/'WICHE Public Grads-RE PROJ'!G52</f>
        <v>5.2336448598130844E-3</v>
      </c>
      <c r="FP49" s="267">
        <f>+'WICHE Public Grads-RE PROJ'!HF52/'WICHE Public Grads-RE PROJ'!H52</f>
        <v>7.0792139631392654E-3</v>
      </c>
      <c r="FQ49" s="267">
        <f>+'WICHE Public Grads-RE PROJ'!HG52/'WICHE Public Grads-RE PROJ'!I52</f>
        <v>6.556986170720076E-3</v>
      </c>
      <c r="FR49" s="267">
        <f>+'WICHE Public Grads-RE PROJ'!HH52/'WICHE Public Grads-RE PROJ'!J52</f>
        <v>7.9014640948175691E-3</v>
      </c>
      <c r="FS49" s="267">
        <f>+'WICHE Public Grads-RE PROJ'!HI52/'WICHE Public Grads-RE PROJ'!K52</f>
        <v>6.3943161634103024E-3</v>
      </c>
      <c r="FT49" s="262">
        <f>+'WICHE Public Grads-RE PROJ'!HJ52/'WICHE Public Grads-RE PROJ'!L52</f>
        <v>8.3805767808725652E-3</v>
      </c>
      <c r="FU49" s="267">
        <f>+'WICHE Public Grads-RE PROJ'!HK52/'WICHE Public Grads-RE PROJ'!M52</f>
        <v>8.9362223038315577E-3</v>
      </c>
      <c r="FV49" s="267">
        <f>+'WICHE Public Grads-RE PROJ'!HL52/'WICHE Public Grads-RE PROJ'!N52</f>
        <v>1.0522312373225153E-2</v>
      </c>
      <c r="FW49" s="267">
        <f>+'WICHE Public Grads-RE PROJ'!HM52/'WICHE Public Grads-RE PROJ'!O52</f>
        <v>1.0059563203176703E-2</v>
      </c>
      <c r="FX49" s="267">
        <f>+'WICHE Public Grads-RE PROJ'!HN52/'WICHE Public Grads-RE PROJ'!P52</f>
        <v>8.7597330367074535E-3</v>
      </c>
      <c r="FY49" s="267">
        <f>+'WICHE Public Grads-RE PROJ'!HO52/'WICHE Public Grads-RE PROJ'!Q52</f>
        <v>9.498533314708759E-3</v>
      </c>
      <c r="FZ49" s="267">
        <f>+'WICHE Public Grads-RE PROJ'!HP52/'WICHE Public Grads-RE PROJ'!R52</f>
        <v>1.1287326760965851E-2</v>
      </c>
      <c r="GA49" s="267">
        <f>+'WICHE Public Grads-RE PROJ'!HQ52/'WICHE Public Grads-RE PROJ'!S52</f>
        <v>1.230641592920354E-2</v>
      </c>
      <c r="GB49" s="267">
        <f>+'WICHE Public Grads-RE PROJ'!HR52/'WICHE Public Grads-RE PROJ'!T52</f>
        <v>1.2578616352201259E-2</v>
      </c>
      <c r="GC49" s="267">
        <f>+'WICHE Public Grads-RE PROJ'!HS52/'WICHE Public Grads-RE PROJ'!U52</f>
        <v>1.5511458915595305E-2</v>
      </c>
      <c r="GD49" s="267">
        <f>+'WICHE Public Grads-RE PROJ'!HT52/'WICHE Public Grads-RE PROJ'!V52</f>
        <v>1.6421780466724288E-2</v>
      </c>
      <c r="GE49" s="267">
        <f>+'WICHE Public Grads-RE PROJ'!HU52/'WICHE Public Grads-RE PROJ'!W52</f>
        <v>1.9420289855072465E-2</v>
      </c>
      <c r="GF49" s="268">
        <f>+'WICHE Public Grads-RE PROJ'!HV52/'WICHE Public Grads-RE PROJ'!Y52</f>
        <v>2.1470298477665746E-2</v>
      </c>
      <c r="GG49" s="268">
        <f>+'WICHE Public Grads-RE PROJ'!HW52/'WICHE Public Grads-RE PROJ'!Z52</f>
        <v>2.6754479839088553E-2</v>
      </c>
      <c r="GH49" s="268">
        <f>+'WICHE Public Grads-RE PROJ'!HX52/'WICHE Public Grads-RE PROJ'!AA52</f>
        <v>2.872127460908536E-2</v>
      </c>
      <c r="GI49" s="268">
        <f>+'WICHE Public Grads-RE PROJ'!HY52/'WICHE Public Grads-RE PROJ'!AB52</f>
        <v>3.0510539115554416E-2</v>
      </c>
      <c r="GJ49" s="266">
        <f>+'WICHE Public Grads-RE PROJ'!HZ52/'WICHE Public Grads-RE PROJ'!AC52</f>
        <v>3.5981528312704764E-2</v>
      </c>
      <c r="GK49" s="266">
        <f>+'WICHE Public Grads-RE PROJ'!IA52/'WICHE Public Grads-RE PROJ'!AD52</f>
        <v>4.4096646956638792E-2</v>
      </c>
      <c r="GL49" s="266">
        <f>+'WICHE Public Grads-RE PROJ'!IB52/'WICHE Public Grads-RE PROJ'!AE52</f>
        <v>4.0673268223500578E-2</v>
      </c>
      <c r="GM49" s="266">
        <f>+'WICHE Public Grads-RE PROJ'!IC52/'WICHE Public Grads-RE PROJ'!AF52</f>
        <v>4.4382704710144695E-2</v>
      </c>
      <c r="GN49" s="266">
        <f>+'WICHE Public Grads-RE PROJ'!ID52/'WICHE Public Grads-RE PROJ'!AG52</f>
        <v>5.0523912722339345E-2</v>
      </c>
      <c r="GO49" s="268">
        <f>+'WICHE Public Grads-RE PROJ'!IE52/'WICHE Public Grads-RE PROJ'!AH52</f>
        <v>5.8146128566985603E-2</v>
      </c>
      <c r="GP49" s="266">
        <f>+'WICHE Public Grads-RE PROJ'!IF52/'WICHE Public Grads-RE PROJ'!AI52</f>
        <v>6.2555593935229165E-2</v>
      </c>
      <c r="GQ49" s="266">
        <f>+'WICHE Public Grads-RE PROJ'!IG52/'WICHE Public Grads-RE PROJ'!AJ52</f>
        <v>6.9462313077664345E-2</v>
      </c>
      <c r="GR49" s="266">
        <f>+'WICHE Public Grads-RE PROJ'!IH52/'WICHE Public Grads-RE PROJ'!AK52</f>
        <v>7.2010285627610263E-2</v>
      </c>
      <c r="GS49" s="266">
        <f>+'WICHE Public Grads-RE PROJ'!II52/'WICHE Public Grads-RE PROJ'!AL52</f>
        <v>8.1762003247967063E-2</v>
      </c>
      <c r="GT49" s="266">
        <f>+'WICHE Public Grads-RE PROJ'!IJ52/'WICHE Public Grads-RE PROJ'!AM52</f>
        <v>7.8798603468722389E-2</v>
      </c>
      <c r="GU49" s="266">
        <f>+'WICHE Public Grads-RE PROJ'!IK52/'WICHE Public Grads-RE PROJ'!AN52</f>
        <v>7.3999589171042435E-2</v>
      </c>
      <c r="GV49" s="266">
        <f>+'WICHE Public Grads-RE PROJ'!IL52/'WICHE Public Grads-RE PROJ'!AO52</f>
        <v>8.6110474236621076E-2</v>
      </c>
      <c r="GW49" s="266">
        <f>+'WICHE Public Grads-RE PROJ'!IM52/'WICHE Public Grads-RE PROJ'!AP52</f>
        <v>9.5354517293610899E-2</v>
      </c>
      <c r="GX49" s="282">
        <f>+'WICHE Public Grads-RE PROJ'!IN52/'WICHE Public Grads-RE PROJ'!AQ52</f>
        <v>9.9448883576649064E-2</v>
      </c>
      <c r="GY49" s="262">
        <f>+'WICHE Public Grads-RE PROJ'!IO52/'WICHE Public Grads-RE PROJ'!B52</f>
        <v>0.9412368563553799</v>
      </c>
      <c r="GZ49" s="262">
        <f>+'WICHE Public Grads-RE PROJ'!IP52/'WICHE Public Grads-RE PROJ'!C52</f>
        <v>0.94404924760601916</v>
      </c>
      <c r="HA49" s="262">
        <f>+'WICHE Public Grads-RE PROJ'!IQ52/'WICHE Public Grads-RE PROJ'!D52</f>
        <v>0.9400425418771603</v>
      </c>
      <c r="HB49" s="262">
        <f>+'WICHE Public Grads-RE PROJ'!IR52/'WICHE Public Grads-RE PROJ'!E52</f>
        <v>0.93961877958296025</v>
      </c>
      <c r="HC49" s="262">
        <f>+'WICHE Public Grads-RE PROJ'!IS52/'WICHE Public Grads-RE PROJ'!F52</f>
        <v>0.94132303475769274</v>
      </c>
      <c r="HD49" s="262">
        <f>+'WICHE Public Grads-RE PROJ'!IT52/'WICHE Public Grads-RE PROJ'!G52</f>
        <v>0.94529595015576329</v>
      </c>
      <c r="HE49" s="267">
        <f>+'WICHE Public Grads-RE PROJ'!IU52/'WICHE Public Grads-RE PROJ'!H52</f>
        <v>0.94116929085804957</v>
      </c>
      <c r="HF49" s="267">
        <f>+'WICHE Public Grads-RE PROJ'!IV52/'WICHE Public Grads-RE PROJ'!I52</f>
        <v>0.94253695755841682</v>
      </c>
      <c r="HG49" s="267">
        <f>+'WICHE Public Grads-RE PROJ'!IW52/'WICHE Public Grads-RE PROJ'!J52</f>
        <v>0.93423193121078318</v>
      </c>
      <c r="HH49" s="267">
        <f>+'WICHE Public Grads-RE PROJ'!IX52/'WICHE Public Grads-RE PROJ'!K52</f>
        <v>0.93818827708703378</v>
      </c>
      <c r="HI49" s="262">
        <f>+'WICHE Public Grads-RE PROJ'!IY52/'WICHE Public Grads-RE PROJ'!L52</f>
        <v>0.93221592309588364</v>
      </c>
      <c r="HJ49" s="267">
        <f>+'WICHE Public Grads-RE PROJ'!IZ52/'WICHE Public Grads-RE PROJ'!M52</f>
        <v>0.92459297343616109</v>
      </c>
      <c r="HK49" s="267">
        <f>+'WICHE Public Grads-RE PROJ'!JA52/'WICHE Public Grads-RE PROJ'!N52</f>
        <v>0.91949797160243407</v>
      </c>
      <c r="HL49" s="267">
        <f>+'WICHE Public Grads-RE PROJ'!JB52/'WICHE Public Grads-RE PROJ'!O52</f>
        <v>0.91422898742554604</v>
      </c>
      <c r="HM49" s="267">
        <f>+'WICHE Public Grads-RE PROJ'!JC52/'WICHE Public Grads-RE PROJ'!P52</f>
        <v>0.92283092324805338</v>
      </c>
      <c r="HN49" s="267">
        <f>+'WICHE Public Grads-RE PROJ'!JD52/'WICHE Public Grads-RE PROJ'!Q52</f>
        <v>0.9138147786003632</v>
      </c>
      <c r="HO49" s="267">
        <f>+'WICHE Public Grads-RE PROJ'!JE52/'WICHE Public Grads-RE PROJ'!R52</f>
        <v>0.91584512073153312</v>
      </c>
      <c r="HP49" s="267">
        <f>+'WICHE Public Grads-RE PROJ'!JF52/'WICHE Public Grads-RE PROJ'!S52</f>
        <v>0.89975110619469023</v>
      </c>
      <c r="HQ49" s="267">
        <f>+'WICHE Public Grads-RE PROJ'!JG52/'WICHE Public Grads-RE PROJ'!T52</f>
        <v>0.88944793850454229</v>
      </c>
      <c r="HR49" s="267">
        <f>+'WICHE Public Grads-RE PROJ'!JH52/'WICHE Public Grads-RE PROJ'!U52</f>
        <v>0.88705951225771718</v>
      </c>
      <c r="HS49" s="267">
        <f>+'WICHE Public Grads-RE PROJ'!JI52/'WICHE Public Grads-RE PROJ'!V52</f>
        <v>0.88105534100984162</v>
      </c>
      <c r="HT49" s="267">
        <f>+'WICHE Public Grads-RE PROJ'!JJ52/'WICHE Public Grads-RE PROJ'!W52</f>
        <v>0.880992846327315</v>
      </c>
      <c r="HU49" s="268">
        <f>+'WICHE Public Grads-RE PROJ'!JK52/'WICHE Public Grads-RE PROJ'!Y52</f>
        <v>0.87474452651198398</v>
      </c>
      <c r="HV49" s="268">
        <f>+'WICHE Public Grads-RE PROJ'!JL52/'WICHE Public Grads-RE PROJ'!Z52</f>
        <v>0.85588796226872987</v>
      </c>
      <c r="HW49" s="268">
        <f>+'WICHE Public Grads-RE PROJ'!JM52/'WICHE Public Grads-RE PROJ'!AA52</f>
        <v>0.85623651917429255</v>
      </c>
      <c r="HX49" s="268">
        <f>+'WICHE Public Grads-RE PROJ'!JN52/'WICHE Public Grads-RE PROJ'!AB52</f>
        <v>0.85648088659103749</v>
      </c>
      <c r="HY49" s="266">
        <f>+'WICHE Public Grads-RE PROJ'!JO52/'WICHE Public Grads-RE PROJ'!AC52</f>
        <v>0.84119521919353779</v>
      </c>
      <c r="HZ49" s="266">
        <f>+'WICHE Public Grads-RE PROJ'!JP52/'WICHE Public Grads-RE PROJ'!AD52</f>
        <v>0.82909071422062619</v>
      </c>
      <c r="IA49" s="266">
        <f>+'WICHE Public Grads-RE PROJ'!JQ52/'WICHE Public Grads-RE PROJ'!AE52</f>
        <v>0.82772904518931867</v>
      </c>
      <c r="IB49" s="266">
        <f>+'WICHE Public Grads-RE PROJ'!JR52/'WICHE Public Grads-RE PROJ'!AF52</f>
        <v>0.83146159300726874</v>
      </c>
      <c r="IC49" s="266">
        <f>+'WICHE Public Grads-RE PROJ'!JS52/'WICHE Public Grads-RE PROJ'!AG52</f>
        <v>0.8198054858523588</v>
      </c>
      <c r="ID49" s="268">
        <f>+'WICHE Public Grads-RE PROJ'!JT52/'WICHE Public Grads-RE PROJ'!AH52</f>
        <v>0.8142860395378374</v>
      </c>
      <c r="IE49" s="266">
        <f>+'WICHE Public Grads-RE PROJ'!JU52/'WICHE Public Grads-RE PROJ'!AI52</f>
        <v>0.82135934665113863</v>
      </c>
      <c r="IF49" s="266">
        <f>+'WICHE Public Grads-RE PROJ'!JV52/'WICHE Public Grads-RE PROJ'!AJ52</f>
        <v>0.81444284264359035</v>
      </c>
      <c r="IG49" s="266">
        <f>+'WICHE Public Grads-RE PROJ'!JW52/'WICHE Public Grads-RE PROJ'!AK52</f>
        <v>0.81357803311675669</v>
      </c>
      <c r="IH49" s="266">
        <f>+'WICHE Public Grads-RE PROJ'!JX52/'WICHE Public Grads-RE PROJ'!AL52</f>
        <v>0.80712059549860193</v>
      </c>
      <c r="II49" s="266">
        <f>+'WICHE Public Grads-RE PROJ'!JY52/'WICHE Public Grads-RE PROJ'!AM52</f>
        <v>0.81080171992080596</v>
      </c>
      <c r="IJ49" s="266">
        <f>+'WICHE Public Grads-RE PROJ'!JZ52/'WICHE Public Grads-RE PROJ'!AN52</f>
        <v>0.80111897564863421</v>
      </c>
      <c r="IK49" s="266">
        <f>+'WICHE Public Grads-RE PROJ'!KA52/'WICHE Public Grads-RE PROJ'!AO52</f>
        <v>0.79438464977798995</v>
      </c>
      <c r="IL49" s="266">
        <f>+'WICHE Public Grads-RE PROJ'!KB52/'WICHE Public Grads-RE PROJ'!AP52</f>
        <v>0.79126623956900011</v>
      </c>
      <c r="IM49" s="282">
        <f>+'WICHE Public Grads-RE PROJ'!KC52/'WICHE Public Grads-RE PROJ'!AQ52</f>
        <v>0.79197670352188576</v>
      </c>
      <c r="IN49" s="278">
        <f t="shared" si="82"/>
        <v>1</v>
      </c>
      <c r="IO49" s="278">
        <f t="shared" si="83"/>
        <v>1</v>
      </c>
      <c r="IP49" s="278">
        <f t="shared" si="84"/>
        <v>1</v>
      </c>
      <c r="IQ49" s="278">
        <f t="shared" si="85"/>
        <v>1</v>
      </c>
      <c r="IR49" s="278">
        <f t="shared" si="86"/>
        <v>1</v>
      </c>
      <c r="IS49" s="278">
        <f t="shared" si="87"/>
        <v>1</v>
      </c>
      <c r="IT49" s="278">
        <f t="shared" si="88"/>
        <v>1</v>
      </c>
      <c r="IU49" s="278">
        <f t="shared" si="89"/>
        <v>1</v>
      </c>
      <c r="IV49" s="278">
        <f t="shared" si="90"/>
        <v>1</v>
      </c>
      <c r="IW49" s="278">
        <f t="shared" si="91"/>
        <v>1</v>
      </c>
      <c r="IX49" s="278">
        <f t="shared" si="92"/>
        <v>1</v>
      </c>
      <c r="IY49" s="278">
        <f t="shared" si="93"/>
        <v>1</v>
      </c>
      <c r="IZ49" s="278">
        <f t="shared" si="94"/>
        <v>1</v>
      </c>
      <c r="JA49" s="278">
        <f t="shared" si="95"/>
        <v>1</v>
      </c>
      <c r="JB49" s="278">
        <f t="shared" si="96"/>
        <v>1</v>
      </c>
      <c r="JC49" s="278">
        <f t="shared" si="97"/>
        <v>1</v>
      </c>
      <c r="JD49" s="278">
        <f t="shared" si="98"/>
        <v>1</v>
      </c>
      <c r="JE49" s="278">
        <f t="shared" si="99"/>
        <v>1</v>
      </c>
      <c r="JF49" s="278">
        <f t="shared" si="100"/>
        <v>1</v>
      </c>
      <c r="JG49" s="278">
        <f t="shared" si="101"/>
        <v>1</v>
      </c>
      <c r="JH49" s="278">
        <f t="shared" si="102"/>
        <v>0.99999999999999989</v>
      </c>
      <c r="JI49" s="278">
        <f t="shared" si="103"/>
        <v>1</v>
      </c>
      <c r="JJ49" s="278">
        <f t="shared" si="104"/>
        <v>1.0004898682408421</v>
      </c>
      <c r="JK49" s="278">
        <f t="shared" si="105"/>
        <v>0.9995633533223206</v>
      </c>
      <c r="JL49" s="278">
        <f t="shared" si="106"/>
        <v>1.0016527797120289</v>
      </c>
      <c r="JM49" s="278">
        <f t="shared" si="107"/>
        <v>1.0056933804480424</v>
      </c>
      <c r="JN49" s="278">
        <f t="shared" si="108"/>
        <v>1.0073838340690693</v>
      </c>
      <c r="JO49" s="278">
        <f t="shared" si="109"/>
        <v>1.0062872706650281</v>
      </c>
      <c r="JP49" s="278">
        <f t="shared" si="110"/>
        <v>1.0149876816516363</v>
      </c>
      <c r="JQ49" s="278">
        <f t="shared" si="111"/>
        <v>1.0180887113981596</v>
      </c>
      <c r="JR49" s="278">
        <f t="shared" si="112"/>
        <v>1.0225351969393179</v>
      </c>
      <c r="JS49" s="278">
        <f t="shared" si="113"/>
        <v>1.0254023737728903</v>
      </c>
      <c r="JT49" s="278">
        <f t="shared" si="114"/>
        <v>1.0321387739577055</v>
      </c>
      <c r="JU49" s="278">
        <f t="shared" si="115"/>
        <v>1.0379465339711187</v>
      </c>
      <c r="JV49" s="278">
        <f t="shared" si="116"/>
        <v>1.0476846961638597</v>
      </c>
      <c r="JW49" s="278">
        <f t="shared" si="117"/>
        <v>1.0652969325963677</v>
      </c>
      <c r="JX49" s="278">
        <f t="shared" si="118"/>
        <v>1.0786714026537911</v>
      </c>
      <c r="JY49" s="278">
        <f t="shared" si="119"/>
        <v>1.063914789461605</v>
      </c>
      <c r="JZ49" s="278">
        <f t="shared" si="119"/>
        <v>1.0887704736981796</v>
      </c>
      <c r="KA49" s="278">
        <f t="shared" si="119"/>
        <v>1.1203648746775499</v>
      </c>
      <c r="KB49" s="278">
        <f t="shared" si="119"/>
        <v>1.1731468490704484</v>
      </c>
    </row>
    <row r="50" spans="1:288" s="17" customFormat="1">
      <c r="A50" s="175" t="s">
        <v>74</v>
      </c>
      <c r="B50" s="262">
        <f>+'WICHE Public Grads-RE PROJ'!AR53/'WICHE Public Grads-RE PROJ'!B53</f>
        <v>1.0705880101796751E-2</v>
      </c>
      <c r="C50" s="262">
        <f>+'WICHE Public Grads-RE PROJ'!AS53/'WICHE Public Grads-RE PROJ'!C53</f>
        <v>1.3090631420178342E-2</v>
      </c>
      <c r="D50" s="262">
        <f>+'WICHE Public Grads-RE PROJ'!AT53/'WICHE Public Grads-RE PROJ'!D53</f>
        <v>1.2682017011315808E-2</v>
      </c>
      <c r="E50" s="262">
        <f>+'WICHE Public Grads-RE PROJ'!AU53/'WICHE Public Grads-RE PROJ'!E53</f>
        <v>1.2208083011396165E-2</v>
      </c>
      <c r="F50" s="262">
        <f>+'WICHE Public Grads-RE PROJ'!AV53/'WICHE Public Grads-RE PROJ'!F53</f>
        <v>1.3194623166313622E-2</v>
      </c>
      <c r="G50" s="262">
        <f>+'WICHE Public Grads-RE PROJ'!AW53/'WICHE Public Grads-RE PROJ'!G53</f>
        <v>1.2930312226545773E-2</v>
      </c>
      <c r="H50" s="267">
        <f>+'WICHE Public Grads-RE PROJ'!AX53/'WICHE Public Grads-RE PROJ'!H53</f>
        <v>1.3119205833955275E-2</v>
      </c>
      <c r="I50" s="267">
        <f>+'WICHE Public Grads-RE PROJ'!AY53/'WICHE Public Grads-RE PROJ'!I53</f>
        <v>1.3442520248802971E-2</v>
      </c>
      <c r="J50" s="267">
        <f>+'WICHE Public Grads-RE PROJ'!AZ53/'WICHE Public Grads-RE PROJ'!J53</f>
        <v>1.3745032317718288E-2</v>
      </c>
      <c r="K50" s="267">
        <f>+'WICHE Public Grads-RE PROJ'!BA53/'WICHE Public Grads-RE PROJ'!K53</f>
        <v>1.4665576333785641E-2</v>
      </c>
      <c r="L50" s="262">
        <f>+'WICHE Public Grads-RE PROJ'!BB53/'WICHE Public Grads-RE PROJ'!L53</f>
        <v>1.5080283523795748E-2</v>
      </c>
      <c r="M50" s="267">
        <f>+'WICHE Public Grads-RE PROJ'!BC53/'WICHE Public Grads-RE PROJ'!M53</f>
        <v>1.425338193880548E-2</v>
      </c>
      <c r="N50" s="267">
        <f>+'WICHE Public Grads-RE PROJ'!BD53/'WICHE Public Grads-RE PROJ'!N53</f>
        <v>1.4954338858597484E-2</v>
      </c>
      <c r="O50" s="267">
        <f>+'WICHE Public Grads-RE PROJ'!BE53/'WICHE Public Grads-RE PROJ'!O53</f>
        <v>1.5886617195934944E-2</v>
      </c>
      <c r="P50" s="267">
        <f>+'WICHE Public Grads-RE PROJ'!BF53/'WICHE Public Grads-RE PROJ'!P53</f>
        <v>1.5090834725109923E-2</v>
      </c>
      <c r="Q50" s="267">
        <f>+'WICHE Public Grads-RE PROJ'!BG53/'WICHE Public Grads-RE PROJ'!Q53</f>
        <v>1.5205085927008788E-2</v>
      </c>
      <c r="R50" s="267">
        <f>+'WICHE Public Grads-RE PROJ'!BH53/'WICHE Public Grads-RE PROJ'!R53</f>
        <v>1.5808476457046323E-2</v>
      </c>
      <c r="S50" s="267">
        <f>+'WICHE Public Grads-RE PROJ'!BI53/'WICHE Public Grads-RE PROJ'!S53</f>
        <v>1.6554421740873793E-2</v>
      </c>
      <c r="T50" s="267">
        <f>+'WICHE Public Grads-RE PROJ'!BJ53/'WICHE Public Grads-RE PROJ'!T53</f>
        <v>1.5068415466999359E-2</v>
      </c>
      <c r="U50" s="267">
        <f>+'WICHE Public Grads-RE PROJ'!BK53/'WICHE Public Grads-RE PROJ'!U53</f>
        <v>1.6940475148659508E-2</v>
      </c>
      <c r="V50" s="267">
        <f>+'WICHE Public Grads-RE PROJ'!BL53/'WICHE Public Grads-RE PROJ'!V53</f>
        <v>1.8221392401280741E-2</v>
      </c>
      <c r="W50" s="267">
        <f>+'WICHE Public Grads-RE PROJ'!BM53/'WICHE Public Grads-RE PROJ'!W53</f>
        <v>1.8981363035396197E-2</v>
      </c>
      <c r="X50" s="268">
        <f>+'WICHE Public Grads-RE PROJ'!BN53/'WICHE Public Grads-RE PROJ'!Y53</f>
        <v>2.1085388819932861E-2</v>
      </c>
      <c r="Y50" s="268">
        <f>+'WICHE Public Grads-RE PROJ'!BO53/'WICHE Public Grads-RE PROJ'!Z53</f>
        <v>2.1928096098097503E-2</v>
      </c>
      <c r="Z50" s="268">
        <f>+'WICHE Public Grads-RE PROJ'!BP53/'WICHE Public Grads-RE PROJ'!AA53</f>
        <v>2.3660139246139567E-2</v>
      </c>
      <c r="AA50" s="268">
        <f>+'WICHE Public Grads-RE PROJ'!BQ53/'WICHE Public Grads-RE PROJ'!AB53</f>
        <v>2.4792927678120812E-2</v>
      </c>
      <c r="AB50" s="266">
        <f>+'WICHE Public Grads-RE PROJ'!BR53/'WICHE Public Grads-RE PROJ'!AC53</f>
        <v>2.6049532657224147E-2</v>
      </c>
      <c r="AC50" s="266">
        <f>+'WICHE Public Grads-RE PROJ'!BS53/'WICHE Public Grads-RE PROJ'!AD53</f>
        <v>2.630072169841385E-2</v>
      </c>
      <c r="AD50" s="266">
        <f>+'WICHE Public Grads-RE PROJ'!BT53/'WICHE Public Grads-RE PROJ'!AE53</f>
        <v>2.849353755262406E-2</v>
      </c>
      <c r="AE50" s="266">
        <f>+'WICHE Public Grads-RE PROJ'!BU53/'WICHE Public Grads-RE PROJ'!AF53</f>
        <v>2.9997801834926924E-2</v>
      </c>
      <c r="AF50" s="266">
        <f>+'WICHE Public Grads-RE PROJ'!BV53/'WICHE Public Grads-RE PROJ'!AG53</f>
        <v>3.0917458979276898E-2</v>
      </c>
      <c r="AG50" s="268">
        <f>+'WICHE Public Grads-RE PROJ'!BW53/'WICHE Public Grads-RE PROJ'!AH53</f>
        <v>3.2006670404323735E-2</v>
      </c>
      <c r="AH50" s="266">
        <f>+'WICHE Public Grads-RE PROJ'!BX53/'WICHE Public Grads-RE PROJ'!AI53</f>
        <v>3.1181638526381714E-2</v>
      </c>
      <c r="AI50" s="266">
        <f>+'WICHE Public Grads-RE PROJ'!BY53/'WICHE Public Grads-RE PROJ'!AJ53</f>
        <v>3.2564986714863985E-2</v>
      </c>
      <c r="AJ50" s="266">
        <f>+'WICHE Public Grads-RE PROJ'!BZ53/'WICHE Public Grads-RE PROJ'!AK53</f>
        <v>3.4147649991960287E-2</v>
      </c>
      <c r="AK50" s="266">
        <f>+'WICHE Public Grads-RE PROJ'!CA53/'WICHE Public Grads-RE PROJ'!AL53</f>
        <v>3.360206114679945E-2</v>
      </c>
      <c r="AL50" s="266">
        <f>+'WICHE Public Grads-RE PROJ'!CB53/'WICHE Public Grads-RE PROJ'!AM53</f>
        <v>3.6079598998748227E-2</v>
      </c>
      <c r="AM50" s="266">
        <f>+'WICHE Public Grads-RE PROJ'!CC53/'WICHE Public Grads-RE PROJ'!AN53</f>
        <v>3.5451905743981528E-2</v>
      </c>
      <c r="AN50" s="266">
        <f>+'WICHE Public Grads-RE PROJ'!CD53/'WICHE Public Grads-RE PROJ'!AO53</f>
        <v>3.8859465069268989E-2</v>
      </c>
      <c r="AO50" s="266">
        <f>+'WICHE Public Grads-RE PROJ'!CE53/'WICHE Public Grads-RE PROJ'!AP53</f>
        <v>3.8807397456561483E-2</v>
      </c>
      <c r="AP50" s="282">
        <f>+'WICHE Public Grads-RE PROJ'!CF53/'WICHE Public Grads-RE PROJ'!AQ53</f>
        <v>4.1799262307905406E-2</v>
      </c>
      <c r="AQ50" s="262">
        <f>+'WICHE Public Grads-RE PROJ'!CG53/'WICHE Public Grads-RE PROJ'!B53</f>
        <v>7.6538910468609475E-4</v>
      </c>
      <c r="AR50" s="262">
        <f>+'WICHE Public Grads-RE PROJ'!CH53/'WICHE Public Grads-RE PROJ'!C53</f>
        <v>1.0376155124274412E-3</v>
      </c>
      <c r="AS50" s="262">
        <f>+'WICHE Public Grads-RE PROJ'!CI53/'WICHE Public Grads-RE PROJ'!D53</f>
        <v>1.0533092015255941E-3</v>
      </c>
      <c r="AT50" s="262">
        <f>+'WICHE Public Grads-RE PROJ'!CJ53/'WICHE Public Grads-RE PROJ'!E53</f>
        <v>9.9801834692668902E-4</v>
      </c>
      <c r="AU50" s="262">
        <f>+'WICHE Public Grads-RE PROJ'!CK53/'WICHE Public Grads-RE PROJ'!F53</f>
        <v>1.0888286183754676E-3</v>
      </c>
      <c r="AV50" s="262">
        <f>+'WICHE Public Grads-RE PROJ'!CL53/'WICHE Public Grads-RE PROJ'!G53</f>
        <v>1.1170896092048185E-3</v>
      </c>
      <c r="AW50" s="267">
        <f>+'WICHE Public Grads-RE PROJ'!CM53/'WICHE Public Grads-RE PROJ'!H53</f>
        <v>1.0430622870039835E-3</v>
      </c>
      <c r="AX50" s="267">
        <f>+'WICHE Public Grads-RE PROJ'!CN53/'WICHE Public Grads-RE PROJ'!I53</f>
        <v>1.0023716829999552E-3</v>
      </c>
      <c r="AY50" s="267">
        <f>+'WICHE Public Grads-RE PROJ'!CO53/'WICHE Public Grads-RE PROJ'!J53</f>
        <v>9.0685206753380687E-4</v>
      </c>
      <c r="AZ50" s="267">
        <f>+'WICHE Public Grads-RE PROJ'!CP53/'WICHE Public Grads-RE PROJ'!K53</f>
        <v>1.1053099810389914E-3</v>
      </c>
      <c r="BA50" s="262">
        <f>+'WICHE Public Grads-RE PROJ'!CQ53/'WICHE Public Grads-RE PROJ'!L53</f>
        <v>9.0409373643859394E-4</v>
      </c>
      <c r="BB50" s="267">
        <f>+'WICHE Public Grads-RE PROJ'!CR53/'WICHE Public Grads-RE PROJ'!M53</f>
        <v>1.0106943556607523E-3</v>
      </c>
      <c r="BC50" s="267">
        <f>+'WICHE Public Grads-RE PROJ'!CS53/'WICHE Public Grads-RE PROJ'!N53</f>
        <v>1.1089734434465549E-3</v>
      </c>
      <c r="BD50" s="267">
        <f>+'WICHE Public Grads-RE PROJ'!CT53/'WICHE Public Grads-RE PROJ'!O53</f>
        <v>1.0968106801939985E-3</v>
      </c>
      <c r="BE50" s="267">
        <f>+'WICHE Public Grads-RE PROJ'!CU53/'WICHE Public Grads-RE PROJ'!P53</f>
        <v>1.1077405501209994E-3</v>
      </c>
      <c r="BF50" s="267">
        <f>+'WICHE Public Grads-RE PROJ'!CV53/'WICHE Public Grads-RE PROJ'!Q53</f>
        <v>1.1643917115708238E-3</v>
      </c>
      <c r="BG50" s="267">
        <f>+'WICHE Public Grads-RE PROJ'!CW53/'WICHE Public Grads-RE PROJ'!R53</f>
        <v>1.3249639775418606E-3</v>
      </c>
      <c r="BH50" s="267">
        <f>+'WICHE Public Grads-RE PROJ'!CX53/'WICHE Public Grads-RE PROJ'!S53</f>
        <v>1.538423770283872E-3</v>
      </c>
      <c r="BI50" s="267">
        <f>+'WICHE Public Grads-RE PROJ'!CY53/'WICHE Public Grads-RE PROJ'!T53</f>
        <v>1.3367142752983303E-3</v>
      </c>
      <c r="BJ50" s="267">
        <f>+'WICHE Public Grads-RE PROJ'!CZ53/'WICHE Public Grads-RE PROJ'!U53</f>
        <v>1.4868906218284354E-3</v>
      </c>
      <c r="BK50" s="267">
        <f>+'WICHE Public Grads-RE PROJ'!DA53/'WICHE Public Grads-RE PROJ'!V53</f>
        <v>1.4550387306727986E-3</v>
      </c>
      <c r="BL50" s="267">
        <f>+'WICHE Public Grads-RE PROJ'!DB53/'WICHE Public Grads-RE PROJ'!W53</f>
        <v>1.3025958731307881E-3</v>
      </c>
      <c r="BM50" s="268">
        <f>+'WICHE Public Grads-RE PROJ'!DC53/'WICHE Public Grads-RE PROJ'!Y53</f>
        <v>1.4999365659307401E-3</v>
      </c>
      <c r="BN50" s="268">
        <f>+'WICHE Public Grads-RE PROJ'!DD53/'WICHE Public Grads-RE PROJ'!Z53</f>
        <v>1.4953733795811715E-3</v>
      </c>
      <c r="BO50" s="268">
        <f>+'WICHE Public Grads-RE PROJ'!DE53/'WICHE Public Grads-RE PROJ'!AA53</f>
        <v>1.4234942328514234E-3</v>
      </c>
      <c r="BP50" s="268">
        <f>+'WICHE Public Grads-RE PROJ'!DF53/'WICHE Public Grads-RE PROJ'!AB53</f>
        <v>1.5927520689353999E-3</v>
      </c>
      <c r="BQ50" s="266">
        <f>+'WICHE Public Grads-RE PROJ'!DG53/'WICHE Public Grads-RE PROJ'!AC53</f>
        <v>1.3667410400173333E-3</v>
      </c>
      <c r="BR50" s="266">
        <f>+'WICHE Public Grads-RE PROJ'!DH53/'WICHE Public Grads-RE PROJ'!AD53</f>
        <v>1.4614332746188854E-3</v>
      </c>
      <c r="BS50" s="266">
        <f>+'WICHE Public Grads-RE PROJ'!DI53/'WICHE Public Grads-RE PROJ'!AE53</f>
        <v>1.1729409814481807E-3</v>
      </c>
      <c r="BT50" s="266">
        <f>+'WICHE Public Grads-RE PROJ'!DJ53/'WICHE Public Grads-RE PROJ'!AF53</f>
        <v>1.2590581303346614E-3</v>
      </c>
      <c r="BU50" s="266">
        <f>+'WICHE Public Grads-RE PROJ'!DK53/'WICHE Public Grads-RE PROJ'!AG53</f>
        <v>1.0550163516193118E-3</v>
      </c>
      <c r="BV50" s="268">
        <f>+'WICHE Public Grads-RE PROJ'!DL53/'WICHE Public Grads-RE PROJ'!AH53</f>
        <v>1.0648274993664165E-3</v>
      </c>
      <c r="BW50" s="266">
        <f>+'WICHE Public Grads-RE PROJ'!DM53/'WICHE Public Grads-RE PROJ'!AI53</f>
        <v>9.4235818748174553E-4</v>
      </c>
      <c r="BX50" s="266">
        <f>+'WICHE Public Grads-RE PROJ'!DN53/'WICHE Public Grads-RE PROJ'!AJ53</f>
        <v>1.121052113557521E-3</v>
      </c>
      <c r="BY50" s="266">
        <f>+'WICHE Public Grads-RE PROJ'!DO53/'WICHE Public Grads-RE PROJ'!AK53</f>
        <v>9.6039113130901932E-4</v>
      </c>
      <c r="BZ50" s="266">
        <f>+'WICHE Public Grads-RE PROJ'!DP53/'WICHE Public Grads-RE PROJ'!AL53</f>
        <v>1.0878403369249765E-3</v>
      </c>
      <c r="CA50" s="266">
        <f>+'WICHE Public Grads-RE PROJ'!DQ53/'WICHE Public Grads-RE PROJ'!AM53</f>
        <v>1.0391151864412407E-3</v>
      </c>
      <c r="CB50" s="266">
        <f>+'WICHE Public Grads-RE PROJ'!DR53/'WICHE Public Grads-RE PROJ'!AN53</f>
        <v>9.9393015590042979E-4</v>
      </c>
      <c r="CC50" s="266">
        <f>+'WICHE Public Grads-RE PROJ'!DS53/'WICHE Public Grads-RE PROJ'!AO53</f>
        <v>1.0978500057836347E-3</v>
      </c>
      <c r="CD50" s="266">
        <f>+'WICHE Public Grads-RE PROJ'!DT53/'WICHE Public Grads-RE PROJ'!AP53</f>
        <v>1.0737547357769944E-3</v>
      </c>
      <c r="CE50" s="282">
        <f>+'WICHE Public Grads-RE PROJ'!DU53/'WICHE Public Grads-RE PROJ'!AQ53</f>
        <v>1.1056403353276166E-3</v>
      </c>
      <c r="CF50" s="262">
        <f>+'WICHE Public Grads-RE PROJ'!DV53/'WICHE Public Grads-RE PROJ'!B53</f>
        <v>9.9404909971106559E-3</v>
      </c>
      <c r="CG50" s="262">
        <f>+'WICHE Public Grads-RE PROJ'!DW53/'WICHE Public Grads-RE PROJ'!C53</f>
        <v>1.2053015907750901E-2</v>
      </c>
      <c r="CH50" s="262">
        <f>+'WICHE Public Grads-RE PROJ'!DX53/'WICHE Public Grads-RE PROJ'!D53</f>
        <v>1.1628707809790214E-2</v>
      </c>
      <c r="CI50" s="262">
        <f>+'WICHE Public Grads-RE PROJ'!DY53/'WICHE Public Grads-RE PROJ'!E53</f>
        <v>1.1210064664469476E-2</v>
      </c>
      <c r="CJ50" s="262">
        <f>+'WICHE Public Grads-RE PROJ'!DZ53/'WICHE Public Grads-RE PROJ'!F53</f>
        <v>1.2105794547938155E-2</v>
      </c>
      <c r="CK50" s="262">
        <f>+'WICHE Public Grads-RE PROJ'!EA53/'WICHE Public Grads-RE PROJ'!G53</f>
        <v>1.1813222617340954E-2</v>
      </c>
      <c r="CL50" s="267">
        <f>+'WICHE Public Grads-RE PROJ'!EB53/'WICHE Public Grads-RE PROJ'!H53</f>
        <v>1.2076143546951291E-2</v>
      </c>
      <c r="CM50" s="267">
        <f>+'WICHE Public Grads-RE PROJ'!EC53/'WICHE Public Grads-RE PROJ'!I53</f>
        <v>1.2440148565803015E-2</v>
      </c>
      <c r="CN50" s="267">
        <f>+'WICHE Public Grads-RE PROJ'!ED53/'WICHE Public Grads-RE PROJ'!J53</f>
        <v>1.2838180250184482E-2</v>
      </c>
      <c r="CO50" s="267">
        <f>+'WICHE Public Grads-RE PROJ'!EE53/'WICHE Public Grads-RE PROJ'!K53</f>
        <v>1.3560266352746651E-2</v>
      </c>
      <c r="CP50" s="262">
        <f>+'WICHE Public Grads-RE PROJ'!EF53/'WICHE Public Grads-RE PROJ'!L53</f>
        <v>1.4176189787357154E-2</v>
      </c>
      <c r="CQ50" s="267">
        <f>+'WICHE Public Grads-RE PROJ'!EG53/'WICHE Public Grads-RE PROJ'!M53</f>
        <v>1.3242687583144728E-2</v>
      </c>
      <c r="CR50" s="267">
        <f>+'WICHE Public Grads-RE PROJ'!EH53/'WICHE Public Grads-RE PROJ'!N53</f>
        <v>1.3845365415150929E-2</v>
      </c>
      <c r="CS50" s="267">
        <f>+'WICHE Public Grads-RE PROJ'!EI53/'WICHE Public Grads-RE PROJ'!O53</f>
        <v>1.4789806515740947E-2</v>
      </c>
      <c r="CT50" s="267">
        <f>+'WICHE Public Grads-RE PROJ'!EJ53/'WICHE Public Grads-RE PROJ'!P53</f>
        <v>1.3983094174988922E-2</v>
      </c>
      <c r="CU50" s="267">
        <f>+'WICHE Public Grads-RE PROJ'!EK53/'WICHE Public Grads-RE PROJ'!Q53</f>
        <v>1.4040694215437964E-2</v>
      </c>
      <c r="CV50" s="267">
        <f>+'WICHE Public Grads-RE PROJ'!EL53/'WICHE Public Grads-RE PROJ'!R53</f>
        <v>1.4483512479504463E-2</v>
      </c>
      <c r="CW50" s="267">
        <f>+'WICHE Public Grads-RE PROJ'!EM53/'WICHE Public Grads-RE PROJ'!S53</f>
        <v>1.5015997970589921E-2</v>
      </c>
      <c r="CX50" s="267">
        <f>+'WICHE Public Grads-RE PROJ'!EN53/'WICHE Public Grads-RE PROJ'!T53</f>
        <v>1.3731701191701029E-2</v>
      </c>
      <c r="CY50" s="267">
        <f>+'WICHE Public Grads-RE PROJ'!EO53/'WICHE Public Grads-RE PROJ'!U53</f>
        <v>1.5453584526831075E-2</v>
      </c>
      <c r="CZ50" s="267">
        <f>+'WICHE Public Grads-RE PROJ'!EP53/'WICHE Public Grads-RE PROJ'!V53</f>
        <v>1.6766353670607942E-2</v>
      </c>
      <c r="DA50" s="267">
        <f>+'WICHE Public Grads-RE PROJ'!EQ53/'WICHE Public Grads-RE PROJ'!W53</f>
        <v>1.7678767162265411E-2</v>
      </c>
      <c r="DB50" s="268">
        <f>+'WICHE Public Grads-RE PROJ'!ER53/'WICHE Public Grads-RE PROJ'!Y53</f>
        <v>1.9585452254002121E-2</v>
      </c>
      <c r="DC50" s="268">
        <f>+'WICHE Public Grads-RE PROJ'!ES53/'WICHE Public Grads-RE PROJ'!Z53</f>
        <v>2.0432722718516334E-2</v>
      </c>
      <c r="DD50" s="268">
        <f>+'WICHE Public Grads-RE PROJ'!ET53/'WICHE Public Grads-RE PROJ'!AA53</f>
        <v>2.2236645013288144E-2</v>
      </c>
      <c r="DE50" s="268">
        <f>+'WICHE Public Grads-RE PROJ'!EU53/'WICHE Public Grads-RE PROJ'!AB53</f>
        <v>2.3200175609185414E-2</v>
      </c>
      <c r="DF50" s="266">
        <f>+'WICHE Public Grads-RE PROJ'!EV53/'WICHE Public Grads-RE PROJ'!AC53</f>
        <v>2.4682791617206813E-2</v>
      </c>
      <c r="DG50" s="266">
        <f>+'WICHE Public Grads-RE PROJ'!EW53/'WICHE Public Grads-RE PROJ'!AD53</f>
        <v>2.4839288423794965E-2</v>
      </c>
      <c r="DH50" s="266">
        <f>+'WICHE Public Grads-RE PROJ'!EX53/'WICHE Public Grads-RE PROJ'!AE53</f>
        <v>2.7320596571175883E-2</v>
      </c>
      <c r="DI50" s="266">
        <f>+'WICHE Public Grads-RE PROJ'!EY53/'WICHE Public Grads-RE PROJ'!AF53</f>
        <v>2.873874370459226E-2</v>
      </c>
      <c r="DJ50" s="266">
        <f>+'WICHE Public Grads-RE PROJ'!EZ53/'WICHE Public Grads-RE PROJ'!AG53</f>
        <v>2.9862442627657585E-2</v>
      </c>
      <c r="DK50" s="268">
        <f>+'WICHE Public Grads-RE PROJ'!FA53/'WICHE Public Grads-RE PROJ'!AH53</f>
        <v>3.0941842904957318E-2</v>
      </c>
      <c r="DL50" s="266">
        <f>+'WICHE Public Grads-RE PROJ'!FB53/'WICHE Public Grads-RE PROJ'!AI53</f>
        <v>3.0239280338899967E-2</v>
      </c>
      <c r="DM50" s="266">
        <f>+'WICHE Public Grads-RE PROJ'!FC53/'WICHE Public Grads-RE PROJ'!AJ53</f>
        <v>3.1443934601306463E-2</v>
      </c>
      <c r="DN50" s="266">
        <f>+'WICHE Public Grads-RE PROJ'!FD53/'WICHE Public Grads-RE PROJ'!AK53</f>
        <v>3.318725886065127E-2</v>
      </c>
      <c r="DO50" s="266">
        <f>+'WICHE Public Grads-RE PROJ'!FE53/'WICHE Public Grads-RE PROJ'!AL53</f>
        <v>3.2514220809874469E-2</v>
      </c>
      <c r="DP50" s="266">
        <f>+'WICHE Public Grads-RE PROJ'!FF53/'WICHE Public Grads-RE PROJ'!AM53</f>
        <v>3.504048381230699E-2</v>
      </c>
      <c r="DQ50" s="266">
        <f>+'WICHE Public Grads-RE PROJ'!FG53/'WICHE Public Grads-RE PROJ'!AN53</f>
        <v>3.4457975588081093E-2</v>
      </c>
      <c r="DR50" s="266">
        <f>+'WICHE Public Grads-RE PROJ'!FH53/'WICHE Public Grads-RE PROJ'!AO53</f>
        <v>3.7761615063485354E-2</v>
      </c>
      <c r="DS50" s="266">
        <f>+'WICHE Public Grads-RE PROJ'!FI53/'WICHE Public Grads-RE PROJ'!AP53</f>
        <v>3.7733642720784492E-2</v>
      </c>
      <c r="DT50" s="282">
        <f>+'WICHE Public Grads-RE PROJ'!FJ53/'WICHE Public Grads-RE PROJ'!AQ53</f>
        <v>4.0693621972577788E-2</v>
      </c>
      <c r="DU50" s="262">
        <f>+'WICHE Public Grads-RE PROJ'!FK53/'WICHE Public Grads-RE PROJ'!B53</f>
        <v>7.9122098696925047E-2</v>
      </c>
      <c r="DV50" s="262">
        <f>+'WICHE Public Grads-RE PROJ'!FL53/'WICHE Public Grads-RE PROJ'!C53</f>
        <v>9.4652672134403371E-2</v>
      </c>
      <c r="DW50" s="262">
        <f>+'WICHE Public Grads-RE PROJ'!FM53/'WICHE Public Grads-RE PROJ'!D53</f>
        <v>9.6709039004866215E-2</v>
      </c>
      <c r="DX50" s="262">
        <f>+'WICHE Public Grads-RE PROJ'!FN53/'WICHE Public Grads-RE PROJ'!E53</f>
        <v>9.757971351680382E-2</v>
      </c>
      <c r="DY50" s="262">
        <f>+'WICHE Public Grads-RE PROJ'!FO53/'WICHE Public Grads-RE PROJ'!F53</f>
        <v>9.4579613168887217E-2</v>
      </c>
      <c r="DZ50" s="262">
        <f>+'WICHE Public Grads-RE PROJ'!FP53/'WICHE Public Grads-RE PROJ'!G53</f>
        <v>0.10188788143955614</v>
      </c>
      <c r="EA50" s="267">
        <f>+'WICHE Public Grads-RE PROJ'!FQ53/'WICHE Public Grads-RE PROJ'!H53</f>
        <v>9.8479466959203676E-2</v>
      </c>
      <c r="EB50" s="267">
        <f>+'WICHE Public Grads-RE PROJ'!FR53/'WICHE Public Grads-RE PROJ'!I53</f>
        <v>9.5726495726495733E-2</v>
      </c>
      <c r="EC50" s="267">
        <f>+'WICHE Public Grads-RE PROJ'!FS53/'WICHE Public Grads-RE PROJ'!J53</f>
        <v>0.10004712074468558</v>
      </c>
      <c r="ED50" s="267">
        <f>+'WICHE Public Grads-RE PROJ'!FT53/'WICHE Public Grads-RE PROJ'!K53</f>
        <v>0.10464499779836629</v>
      </c>
      <c r="EE50" s="262">
        <f>+'WICHE Public Grads-RE PROJ'!FU53/'WICHE Public Grads-RE PROJ'!L53</f>
        <v>0.10799399681759005</v>
      </c>
      <c r="EF50" s="267">
        <f>+'WICHE Public Grads-RE PROJ'!FV53/'WICHE Public Grads-RE PROJ'!M53</f>
        <v>0.11145280834816261</v>
      </c>
      <c r="EG50" s="267">
        <f>+'WICHE Public Grads-RE PROJ'!FW53/'WICHE Public Grads-RE PROJ'!N53</f>
        <v>0.11832410589016122</v>
      </c>
      <c r="EH50" s="267">
        <f>+'WICHE Public Grads-RE PROJ'!FX53/'WICHE Public Grads-RE PROJ'!O53</f>
        <v>0.12260286884543538</v>
      </c>
      <c r="EI50" s="267">
        <f>+'WICHE Public Grads-RE PROJ'!FY53/'WICHE Public Grads-RE PROJ'!P53</f>
        <v>0.12712600974811683</v>
      </c>
      <c r="EJ50" s="267">
        <f>+'WICHE Public Grads-RE PROJ'!FZ53/'WICHE Public Grads-RE PROJ'!Q53</f>
        <v>0.11948188818439885</v>
      </c>
      <c r="EK50" s="267">
        <f>+'WICHE Public Grads-RE PROJ'!GA53/'WICHE Public Grads-RE PROJ'!R53</f>
        <v>0.12385100780072542</v>
      </c>
      <c r="EL50" s="267">
        <f>+'WICHE Public Grads-RE PROJ'!GB53/'WICHE Public Grads-RE PROJ'!S53</f>
        <v>0.12790193366774957</v>
      </c>
      <c r="EM50" s="267">
        <f>+'WICHE Public Grads-RE PROJ'!GC53/'WICHE Public Grads-RE PROJ'!T53</f>
        <v>0.13427092362905774</v>
      </c>
      <c r="EN50" s="267">
        <f>+'WICHE Public Grads-RE PROJ'!GD53/'WICHE Public Grads-RE PROJ'!U53</f>
        <v>0.1419631756871638</v>
      </c>
      <c r="EO50" s="267">
        <f>+'WICHE Public Grads-RE PROJ'!GE53/'WICHE Public Grads-RE PROJ'!V53</f>
        <v>0.14282048229277974</v>
      </c>
      <c r="EP50" s="267">
        <f>+'WICHE Public Grads-RE PROJ'!GF53/'WICHE Public Grads-RE PROJ'!W53</f>
        <v>0.13700312825060529</v>
      </c>
      <c r="EQ50" s="268">
        <f>+'WICHE Public Grads-RE PROJ'!GG53/'WICHE Public Grads-RE PROJ'!Y53</f>
        <v>0.14135672466298621</v>
      </c>
      <c r="ER50" s="268">
        <f>+'WICHE Public Grads-RE PROJ'!GH53/'WICHE Public Grads-RE PROJ'!Z53</f>
        <v>0.14389922188131496</v>
      </c>
      <c r="ES50" s="268">
        <f>+'WICHE Public Grads-RE PROJ'!GI53/'WICHE Public Grads-RE PROJ'!AA53</f>
        <v>0.14179216318189131</v>
      </c>
      <c r="ET50" s="268">
        <f>+'WICHE Public Grads-RE PROJ'!GJ53/'WICHE Public Grads-RE PROJ'!AB53</f>
        <v>0.13739031026117124</v>
      </c>
      <c r="EU50" s="266">
        <f>+'WICHE Public Grads-RE PROJ'!GK53/'WICHE Public Grads-RE PROJ'!AC53</f>
        <v>0.14167330184846119</v>
      </c>
      <c r="EV50" s="266">
        <f>+'WICHE Public Grads-RE PROJ'!GL53/'WICHE Public Grads-RE PROJ'!AD53</f>
        <v>0.14292145156925243</v>
      </c>
      <c r="EW50" s="266">
        <f>+'WICHE Public Grads-RE PROJ'!GM53/'WICHE Public Grads-RE PROJ'!AE53</f>
        <v>0.14173730772460671</v>
      </c>
      <c r="EX50" s="266">
        <f>+'WICHE Public Grads-RE PROJ'!GN53/'WICHE Public Grads-RE PROJ'!AF53</f>
        <v>0.14240325251295677</v>
      </c>
      <c r="EY50" s="266">
        <f>+'WICHE Public Grads-RE PROJ'!GO53/'WICHE Public Grads-RE PROJ'!AG53</f>
        <v>0.14308811905048624</v>
      </c>
      <c r="EZ50" s="268">
        <f>+'WICHE Public Grads-RE PROJ'!GP53/'WICHE Public Grads-RE PROJ'!AH53</f>
        <v>0.14747512290667886</v>
      </c>
      <c r="FA50" s="266">
        <f>+'WICHE Public Grads-RE PROJ'!GQ53/'WICHE Public Grads-RE PROJ'!AI53</f>
        <v>0.15298963453043718</v>
      </c>
      <c r="FB50" s="266">
        <f>+'WICHE Public Grads-RE PROJ'!GR53/'WICHE Public Grads-RE PROJ'!AJ53</f>
        <v>0.15698309838936783</v>
      </c>
      <c r="FC50" s="266">
        <f>+'WICHE Public Grads-RE PROJ'!GS53/'WICHE Public Grads-RE PROJ'!AK53</f>
        <v>0.15856926849529149</v>
      </c>
      <c r="FD50" s="266">
        <f>+'WICHE Public Grads-RE PROJ'!GT53/'WICHE Public Grads-RE PROJ'!AL53</f>
        <v>0.15887237996646972</v>
      </c>
      <c r="FE50" s="266">
        <f>+'WICHE Public Grads-RE PROJ'!GU53/'WICHE Public Grads-RE PROJ'!AM53</f>
        <v>0.16010864780666151</v>
      </c>
      <c r="FF50" s="266">
        <f>+'WICHE Public Grads-RE PROJ'!GV53/'WICHE Public Grads-RE PROJ'!AN53</f>
        <v>0.15774861251302721</v>
      </c>
      <c r="FG50" s="266">
        <f>+'WICHE Public Grads-RE PROJ'!GW53/'WICHE Public Grads-RE PROJ'!AO53</f>
        <v>0.16015735442982523</v>
      </c>
      <c r="FH50" s="266">
        <f>+'WICHE Public Grads-RE PROJ'!GX53/'WICHE Public Grads-RE PROJ'!AP53</f>
        <v>0.16297559332490788</v>
      </c>
      <c r="FI50" s="282">
        <f>+'WICHE Public Grads-RE PROJ'!GY53/'WICHE Public Grads-RE PROJ'!AQ53</f>
        <v>0.1615890327135443</v>
      </c>
      <c r="FJ50" s="262">
        <f>+'WICHE Public Grads-RE PROJ'!GZ53/'WICHE Public Grads-RE PROJ'!B53</f>
        <v>9.32817971336178E-3</v>
      </c>
      <c r="FK50" s="262">
        <f>+'WICHE Public Grads-RE PROJ'!HA53/'WICHE Public Grads-RE PROJ'!C53</f>
        <v>1.282196311785338E-2</v>
      </c>
      <c r="FL50" s="262">
        <f>+'WICHE Public Grads-RE PROJ'!HB53/'WICHE Public Grads-RE PROJ'!D53</f>
        <v>1.1326541679449135E-2</v>
      </c>
      <c r="FM50" s="262">
        <f>+'WICHE Public Grads-RE PROJ'!HC53/'WICHE Public Grads-RE PROJ'!E53</f>
        <v>1.0514476119641784E-2</v>
      </c>
      <c r="FN50" s="262">
        <f>+'WICHE Public Grads-RE PROJ'!HD53/'WICHE Public Grads-RE PROJ'!F53</f>
        <v>1.1759349078455052E-2</v>
      </c>
      <c r="FO50" s="262">
        <f>+'WICHE Public Grads-RE PROJ'!HE53/'WICHE Public Grads-RE PROJ'!G53</f>
        <v>1.1841149857571075E-2</v>
      </c>
      <c r="FP50" s="267">
        <f>+'WICHE Public Grads-RE PROJ'!HF53/'WICHE Public Grads-RE PROJ'!H53</f>
        <v>1.2363884867504114E-2</v>
      </c>
      <c r="FQ50" s="267">
        <f>+'WICHE Public Grads-RE PROJ'!HG53/'WICHE Public Grads-RE PROJ'!I53</f>
        <v>1.1885264241285184E-2</v>
      </c>
      <c r="FR50" s="267">
        <f>+'WICHE Public Grads-RE PROJ'!HH53/'WICHE Public Grads-RE PROJ'!J53</f>
        <v>1.3024885087617913E-2</v>
      </c>
      <c r="FS50" s="267">
        <f>+'WICHE Public Grads-RE PROJ'!HI53/'WICHE Public Grads-RE PROJ'!K53</f>
        <v>1.2383066291640082E-2</v>
      </c>
      <c r="FT50" s="262">
        <f>+'WICHE Public Grads-RE PROJ'!HJ53/'WICHE Public Grads-RE PROJ'!L53</f>
        <v>1.3027990742080138E-2</v>
      </c>
      <c r="FU50" s="267">
        <f>+'WICHE Public Grads-RE PROJ'!HK53/'WICHE Public Grads-RE PROJ'!M53</f>
        <v>1.4287935591990463E-2</v>
      </c>
      <c r="FV50" s="267">
        <f>+'WICHE Public Grads-RE PROJ'!HL53/'WICHE Public Grads-RE PROJ'!N53</f>
        <v>1.4248628485495131E-2</v>
      </c>
      <c r="FW50" s="267">
        <f>+'WICHE Public Grads-RE PROJ'!HM53/'WICHE Public Grads-RE PROJ'!O53</f>
        <v>1.47641000154239E-2</v>
      </c>
      <c r="FX50" s="267">
        <f>+'WICHE Public Grads-RE PROJ'!HN53/'WICHE Public Grads-RE PROJ'!P53</f>
        <v>1.6377517979481237E-2</v>
      </c>
      <c r="FY50" s="267">
        <f>+'WICHE Public Grads-RE PROJ'!HO53/'WICHE Public Grads-RE PROJ'!Q53</f>
        <v>1.6139998980094852E-2</v>
      </c>
      <c r="FZ50" s="267">
        <f>+'WICHE Public Grads-RE PROJ'!HP53/'WICHE Public Grads-RE PROJ'!R53</f>
        <v>1.6942976862816542E-2</v>
      </c>
      <c r="GA50" s="267">
        <f>+'WICHE Public Grads-RE PROJ'!HQ53/'WICHE Public Grads-RE PROJ'!S53</f>
        <v>1.7290901205371391E-2</v>
      </c>
      <c r="GB50" s="267">
        <f>+'WICHE Public Grads-RE PROJ'!HR53/'WICHE Public Grads-RE PROJ'!T53</f>
        <v>1.8746405048729313E-2</v>
      </c>
      <c r="GC50" s="267">
        <f>+'WICHE Public Grads-RE PROJ'!HS53/'WICHE Public Grads-RE PROJ'!U53</f>
        <v>2.2458524177124503E-2</v>
      </c>
      <c r="GD50" s="267">
        <f>+'WICHE Public Grads-RE PROJ'!HT53/'WICHE Public Grads-RE PROJ'!V53</f>
        <v>2.4623380842165102E-2</v>
      </c>
      <c r="GE50" s="267">
        <f>+'WICHE Public Grads-RE PROJ'!HU53/'WICHE Public Grads-RE PROJ'!W53</f>
        <v>2.6826460719563069E-2</v>
      </c>
      <c r="GF50" s="268">
        <f>+'WICHE Public Grads-RE PROJ'!HV53/'WICHE Public Grads-RE PROJ'!Y53</f>
        <v>2.9865822000857967E-2</v>
      </c>
      <c r="GG50" s="268">
        <f>+'WICHE Public Grads-RE PROJ'!HW53/'WICHE Public Grads-RE PROJ'!Z53</f>
        <v>3.3593541732209985E-2</v>
      </c>
      <c r="GH50" s="268">
        <f>+'WICHE Public Grads-RE PROJ'!HX53/'WICHE Public Grads-RE PROJ'!AA53</f>
        <v>3.6720022893506857E-2</v>
      </c>
      <c r="GI50" s="268">
        <f>+'WICHE Public Grads-RE PROJ'!HY53/'WICHE Public Grads-RE PROJ'!AB53</f>
        <v>3.7763101490199312E-2</v>
      </c>
      <c r="GJ50" s="266">
        <f>+'WICHE Public Grads-RE PROJ'!HZ53/'WICHE Public Grads-RE PROJ'!AC53</f>
        <v>4.1904125063165383E-2</v>
      </c>
      <c r="GK50" s="266">
        <f>+'WICHE Public Grads-RE PROJ'!IA53/'WICHE Public Grads-RE PROJ'!AD53</f>
        <v>4.6452407831441368E-2</v>
      </c>
      <c r="GL50" s="266">
        <f>+'WICHE Public Grads-RE PROJ'!IB53/'WICHE Public Grads-RE PROJ'!AE53</f>
        <v>5.2481040471557834E-2</v>
      </c>
      <c r="GM50" s="266">
        <f>+'WICHE Public Grads-RE PROJ'!IC53/'WICHE Public Grads-RE PROJ'!AF53</f>
        <v>5.731893688659688E-2</v>
      </c>
      <c r="GN50" s="266">
        <f>+'WICHE Public Grads-RE PROJ'!ID53/'WICHE Public Grads-RE PROJ'!AG53</f>
        <v>6.1485983771883405E-2</v>
      </c>
      <c r="GO50" s="268">
        <f>+'WICHE Public Grads-RE PROJ'!IE53/'WICHE Public Grads-RE PROJ'!AH53</f>
        <v>7.380295191962416E-2</v>
      </c>
      <c r="GP50" s="266">
        <f>+'WICHE Public Grads-RE PROJ'!IF53/'WICHE Public Grads-RE PROJ'!AI53</f>
        <v>8.0902464592350121E-2</v>
      </c>
      <c r="GQ50" s="266">
        <f>+'WICHE Public Grads-RE PROJ'!IG53/'WICHE Public Grads-RE PROJ'!AJ53</f>
        <v>8.6226047450009127E-2</v>
      </c>
      <c r="GR50" s="266">
        <f>+'WICHE Public Grads-RE PROJ'!IH53/'WICHE Public Grads-RE PROJ'!AK53</f>
        <v>8.419894440520366E-2</v>
      </c>
      <c r="GS50" s="266">
        <f>+'WICHE Public Grads-RE PROJ'!II53/'WICHE Public Grads-RE PROJ'!AL53</f>
        <v>8.5744351083797923E-2</v>
      </c>
      <c r="GT50" s="266">
        <f>+'WICHE Public Grads-RE PROJ'!IJ53/'WICHE Public Grads-RE PROJ'!AM53</f>
        <v>8.3111756977897452E-2</v>
      </c>
      <c r="GU50" s="266">
        <f>+'WICHE Public Grads-RE PROJ'!IK53/'WICHE Public Grads-RE PROJ'!AN53</f>
        <v>8.450474107969827E-2</v>
      </c>
      <c r="GV50" s="266">
        <f>+'WICHE Public Grads-RE PROJ'!IL53/'WICHE Public Grads-RE PROJ'!AO53</f>
        <v>8.6982107349231313E-2</v>
      </c>
      <c r="GW50" s="266">
        <f>+'WICHE Public Grads-RE PROJ'!IM53/'WICHE Public Grads-RE PROJ'!AP53</f>
        <v>8.5704992616008627E-2</v>
      </c>
      <c r="GX50" s="282">
        <f>+'WICHE Public Grads-RE PROJ'!IN53/'WICHE Public Grads-RE PROJ'!AQ53</f>
        <v>9.0309206368585068E-2</v>
      </c>
      <c r="GY50" s="262">
        <f>+'WICHE Public Grads-RE PROJ'!IO53/'WICHE Public Grads-RE PROJ'!B53</f>
        <v>0.90084384148791641</v>
      </c>
      <c r="GZ50" s="262">
        <f>+'WICHE Public Grads-RE PROJ'!IP53/'WICHE Public Grads-RE PROJ'!C53</f>
        <v>0.87943473332756494</v>
      </c>
      <c r="HA50" s="262">
        <f>+'WICHE Public Grads-RE PROJ'!IQ53/'WICHE Public Grads-RE PROJ'!D53</f>
        <v>0.87928240230436883</v>
      </c>
      <c r="HB50" s="262">
        <f>+'WICHE Public Grads-RE PROJ'!IR53/'WICHE Public Grads-RE PROJ'!E53</f>
        <v>0.87969772735215823</v>
      </c>
      <c r="HC50" s="262">
        <f>+'WICHE Public Grads-RE PROJ'!IS53/'WICHE Public Grads-RE PROJ'!F53</f>
        <v>0.88046641458634411</v>
      </c>
      <c r="HD50" s="262">
        <f>+'WICHE Public Grads-RE PROJ'!IT53/'WICHE Public Grads-RE PROJ'!G53</f>
        <v>0.87334065647632697</v>
      </c>
      <c r="HE50" s="267">
        <f>+'WICHE Public Grads-RE PROJ'!IU53/'WICHE Public Grads-RE PROJ'!H53</f>
        <v>0.87603744233933689</v>
      </c>
      <c r="HF50" s="267">
        <f>+'WICHE Public Grads-RE PROJ'!IV53/'WICHE Public Grads-RE PROJ'!I53</f>
        <v>0.87894571978341607</v>
      </c>
      <c r="HG50" s="267">
        <f>+'WICHE Public Grads-RE PROJ'!IW53/'WICHE Public Grads-RE PROJ'!J53</f>
        <v>0.87318296184997823</v>
      </c>
      <c r="HH50" s="267">
        <f>+'WICHE Public Grads-RE PROJ'!IX53/'WICHE Public Grads-RE PROJ'!K53</f>
        <v>0.86453213037266019</v>
      </c>
      <c r="HI50" s="262">
        <f>+'WICHE Public Grads-RE PROJ'!IY53/'WICHE Public Grads-RE PROJ'!L53</f>
        <v>0.85921452336178217</v>
      </c>
      <c r="HJ50" s="267">
        <f>+'WICHE Public Grads-RE PROJ'!IZ53/'WICHE Public Grads-RE PROJ'!M53</f>
        <v>0.85441682071837044</v>
      </c>
      <c r="HK50" s="267">
        <f>+'WICHE Public Grads-RE PROJ'!JA53/'WICHE Public Grads-RE PROJ'!N53</f>
        <v>0.84528140201127455</v>
      </c>
      <c r="HL50" s="267">
        <f>+'WICHE Public Grads-RE PROJ'!JB53/'WICHE Public Grads-RE PROJ'!O53</f>
        <v>0.83720930232558144</v>
      </c>
      <c r="HM50" s="267">
        <f>+'WICHE Public Grads-RE PROJ'!JC53/'WICHE Public Grads-RE PROJ'!P53</f>
        <v>0.84140563754729203</v>
      </c>
      <c r="HN50" s="267">
        <f>+'WICHE Public Grads-RE PROJ'!JD53/'WICHE Public Grads-RE PROJ'!Q53</f>
        <v>0.83623722993761584</v>
      </c>
      <c r="HO50" s="267">
        <f>+'WICHE Public Grads-RE PROJ'!JE53/'WICHE Public Grads-RE PROJ'!R53</f>
        <v>0.82757250037264607</v>
      </c>
      <c r="HP50" s="267">
        <f>+'WICHE Public Grads-RE PROJ'!JF53/'WICHE Public Grads-RE PROJ'!S53</f>
        <v>0.81926793941228937</v>
      </c>
      <c r="HQ50" s="267">
        <f>+'WICHE Public Grads-RE PROJ'!JG53/'WICHE Public Grads-RE PROJ'!T53</f>
        <v>0.80952226641930702</v>
      </c>
      <c r="HR50" s="267">
        <f>+'WICHE Public Grads-RE PROJ'!JH53/'WICHE Public Grads-RE PROJ'!U53</f>
        <v>0.81863782498705229</v>
      </c>
      <c r="HS50" s="267">
        <f>+'WICHE Public Grads-RE PROJ'!JI53/'WICHE Public Grads-RE PROJ'!V53</f>
        <v>0.81433474446377452</v>
      </c>
      <c r="HT50" s="267">
        <f>+'WICHE Public Grads-RE PROJ'!JJ53/'WICHE Public Grads-RE PROJ'!W53</f>
        <v>0.81718904799443548</v>
      </c>
      <c r="HU50" s="268">
        <f>+'WICHE Public Grads-RE PROJ'!JK53/'WICHE Public Grads-RE PROJ'!Y53</f>
        <v>0.80672228938274904</v>
      </c>
      <c r="HV50" s="268">
        <f>+'WICHE Public Grads-RE PROJ'!JL53/'WICHE Public Grads-RE PROJ'!Z53</f>
        <v>0.80324535251097695</v>
      </c>
      <c r="HW50" s="268">
        <f>+'WICHE Public Grads-RE PROJ'!JM53/'WICHE Public Grads-RE PROJ'!AA53</f>
        <v>0.8082440933564311</v>
      </c>
      <c r="HX50" s="268">
        <f>+'WICHE Public Grads-RE PROJ'!JN53/'WICHE Public Grads-RE PROJ'!AB53</f>
        <v>0.81727971509738195</v>
      </c>
      <c r="HY50" s="266">
        <f>+'WICHE Public Grads-RE PROJ'!JO53/'WICHE Public Grads-RE PROJ'!AC53</f>
        <v>0.81053559867435898</v>
      </c>
      <c r="HZ50" s="266">
        <f>+'WICHE Public Grads-RE PROJ'!JP53/'WICHE Public Grads-RE PROJ'!AD53</f>
        <v>0.80961412379761988</v>
      </c>
      <c r="IA50" s="266">
        <f>+'WICHE Public Grads-RE PROJ'!JQ53/'WICHE Public Grads-RE PROJ'!AE53</f>
        <v>0.81019824314925037</v>
      </c>
      <c r="IB50" s="266">
        <f>+'WICHE Public Grads-RE PROJ'!JR53/'WICHE Public Grads-RE PROJ'!AF53</f>
        <v>0.81066230587578414</v>
      </c>
      <c r="IC50" s="266">
        <f>+'WICHE Public Grads-RE PROJ'!JS53/'WICHE Public Grads-RE PROJ'!AG53</f>
        <v>0.81246872437958861</v>
      </c>
      <c r="ID50" s="268">
        <f>+'WICHE Public Grads-RE PROJ'!JT53/'WICHE Public Grads-RE PROJ'!AH53</f>
        <v>0.80342142328683064</v>
      </c>
      <c r="IE50" s="266">
        <f>+'WICHE Public Grads-RE PROJ'!JU53/'WICHE Public Grads-RE PROJ'!AI53</f>
        <v>0.79969968648150891</v>
      </c>
      <c r="IF50" s="266">
        <f>+'WICHE Public Grads-RE PROJ'!JV53/'WICHE Public Grads-RE PROJ'!AJ53</f>
        <v>0.79772277918959988</v>
      </c>
      <c r="IG50" s="266">
        <f>+'WICHE Public Grads-RE PROJ'!JW53/'WICHE Public Grads-RE PROJ'!AK53</f>
        <v>0.78799360343655089</v>
      </c>
      <c r="IH50" s="266">
        <f>+'WICHE Public Grads-RE PROJ'!JX53/'WICHE Public Grads-RE PROJ'!AL53</f>
        <v>0.78669711511538987</v>
      </c>
      <c r="II50" s="266">
        <f>+'WICHE Public Grads-RE PROJ'!JY53/'WICHE Public Grads-RE PROJ'!AM53</f>
        <v>0.78621655426058701</v>
      </c>
      <c r="IJ50" s="266">
        <f>+'WICHE Public Grads-RE PROJ'!JZ53/'WICHE Public Grads-RE PROJ'!AN53</f>
        <v>0.78466210914875822</v>
      </c>
      <c r="IK50" s="266">
        <f>+'WICHE Public Grads-RE PROJ'!KA53/'WICHE Public Grads-RE PROJ'!AO53</f>
        <v>0.77867933676389456</v>
      </c>
      <c r="IL50" s="266">
        <f>+'WICHE Public Grads-RE PROJ'!KB53/'WICHE Public Grads-RE PROJ'!AP53</f>
        <v>0.77536572825446037</v>
      </c>
      <c r="IM50" s="282">
        <f>+'WICHE Public Grads-RE PROJ'!KC53/'WICHE Public Grads-RE PROJ'!AQ53</f>
        <v>0.77271796468875187</v>
      </c>
      <c r="IN50" s="278">
        <f t="shared" si="82"/>
        <v>1</v>
      </c>
      <c r="IO50" s="278">
        <f t="shared" si="83"/>
        <v>1</v>
      </c>
      <c r="IP50" s="278">
        <f t="shared" si="84"/>
        <v>1</v>
      </c>
      <c r="IQ50" s="278">
        <f t="shared" si="85"/>
        <v>1</v>
      </c>
      <c r="IR50" s="278">
        <f t="shared" si="86"/>
        <v>1</v>
      </c>
      <c r="IS50" s="278">
        <f t="shared" si="87"/>
        <v>1</v>
      </c>
      <c r="IT50" s="278">
        <f t="shared" si="88"/>
        <v>1</v>
      </c>
      <c r="IU50" s="278">
        <f t="shared" si="89"/>
        <v>1</v>
      </c>
      <c r="IV50" s="278">
        <f t="shared" si="90"/>
        <v>1</v>
      </c>
      <c r="IW50" s="278">
        <f t="shared" si="91"/>
        <v>0.99622577079645214</v>
      </c>
      <c r="IX50" s="278">
        <f t="shared" si="92"/>
        <v>0.99531679444524812</v>
      </c>
      <c r="IY50" s="278">
        <f t="shared" si="93"/>
        <v>0.99441094659732898</v>
      </c>
      <c r="IZ50" s="278">
        <f t="shared" si="94"/>
        <v>0.9928084752455284</v>
      </c>
      <c r="JA50" s="278">
        <f t="shared" si="95"/>
        <v>0.99046288838237562</v>
      </c>
      <c r="JB50" s="278">
        <f t="shared" si="96"/>
        <v>1</v>
      </c>
      <c r="JC50" s="278">
        <f t="shared" si="97"/>
        <v>0.98706420302911835</v>
      </c>
      <c r="JD50" s="278">
        <f t="shared" si="98"/>
        <v>0.98417496149323436</v>
      </c>
      <c r="JE50" s="278">
        <f t="shared" si="99"/>
        <v>0.98101519602628406</v>
      </c>
      <c r="JF50" s="278">
        <f t="shared" si="100"/>
        <v>0.97760801056409341</v>
      </c>
      <c r="JG50" s="278">
        <f t="shared" si="101"/>
        <v>1</v>
      </c>
      <c r="JH50" s="278">
        <f t="shared" si="102"/>
        <v>1</v>
      </c>
      <c r="JI50" s="278">
        <f t="shared" si="103"/>
        <v>1</v>
      </c>
      <c r="JJ50" s="278">
        <f t="shared" si="104"/>
        <v>0.99903022486652604</v>
      </c>
      <c r="JK50" s="278">
        <f t="shared" si="105"/>
        <v>1.0026662122225993</v>
      </c>
      <c r="JL50" s="278">
        <f t="shared" si="106"/>
        <v>1.0104164186779689</v>
      </c>
      <c r="JM50" s="278">
        <f t="shared" si="107"/>
        <v>1.0172260545268732</v>
      </c>
      <c r="JN50" s="278">
        <f t="shared" si="108"/>
        <v>1.0201625582432097</v>
      </c>
      <c r="JO50" s="278">
        <f t="shared" si="109"/>
        <v>1.0252887048967274</v>
      </c>
      <c r="JP50" s="278">
        <f t="shared" si="110"/>
        <v>1.0329101288980389</v>
      </c>
      <c r="JQ50" s="278">
        <f t="shared" si="111"/>
        <v>1.0403822971102648</v>
      </c>
      <c r="JR50" s="278">
        <f t="shared" si="112"/>
        <v>1.0479602861812352</v>
      </c>
      <c r="JS50" s="278">
        <f t="shared" si="113"/>
        <v>1.0567061685174575</v>
      </c>
      <c r="JT50" s="278">
        <f t="shared" si="114"/>
        <v>1.0647734241306779</v>
      </c>
      <c r="JU50" s="278">
        <f t="shared" si="115"/>
        <v>1.0734969117438409</v>
      </c>
      <c r="JV50" s="278">
        <f t="shared" si="116"/>
        <v>1.0649094663290064</v>
      </c>
      <c r="JW50" s="278">
        <f t="shared" si="117"/>
        <v>1.064915907312457</v>
      </c>
      <c r="JX50" s="278">
        <f t="shared" si="118"/>
        <v>1.0655165580438943</v>
      </c>
      <c r="JY50" s="278">
        <f t="shared" si="119"/>
        <v>1.0623673684854653</v>
      </c>
      <c r="JZ50" s="278">
        <f t="shared" si="119"/>
        <v>1.0646782636122201</v>
      </c>
      <c r="KA50" s="278">
        <f t="shared" si="119"/>
        <v>1.0628537116519383</v>
      </c>
      <c r="KB50" s="278">
        <f t="shared" si="119"/>
        <v>1.0664154660787866</v>
      </c>
    </row>
    <row r="51" spans="1:288" s="17" customFormat="1">
      <c r="A51" s="173" t="s">
        <v>75</v>
      </c>
      <c r="B51" s="262">
        <f>+'WICHE Public Grads-RE PROJ'!AR54/'WICHE Public Grads-RE PROJ'!B54</f>
        <v>4.876712328767123E-2</v>
      </c>
      <c r="C51" s="262">
        <f>+'WICHE Public Grads-RE PROJ'!AS54/'WICHE Public Grads-RE PROJ'!C54</f>
        <v>7.5326961770623743E-2</v>
      </c>
      <c r="D51" s="262">
        <f>+'WICHE Public Grads-RE PROJ'!AT54/'WICHE Public Grads-RE PROJ'!D54</f>
        <v>8.2326462923477853E-2</v>
      </c>
      <c r="E51" s="262">
        <f>+'WICHE Public Grads-RE PROJ'!AU54/'WICHE Public Grads-RE PROJ'!E54</f>
        <v>7.5643327348892883E-2</v>
      </c>
      <c r="F51" s="262">
        <f>+'WICHE Public Grads-RE PROJ'!AV54/'WICHE Public Grads-RE PROJ'!F54</f>
        <v>7.7004219409282704E-2</v>
      </c>
      <c r="G51" s="262">
        <f>+'WICHE Public Grads-RE PROJ'!AW54/'WICHE Public Grads-RE PROJ'!G54</f>
        <v>4.9300466355762823E-2</v>
      </c>
      <c r="H51" s="267">
        <f>+'WICHE Public Grads-RE PROJ'!AX54/'WICHE Public Grads-RE PROJ'!H54</f>
        <v>4.9452954048140041E-2</v>
      </c>
      <c r="I51" s="267">
        <f>+'WICHE Public Grads-RE PROJ'!AY54/'WICHE Public Grads-RE PROJ'!I54</f>
        <v>4.4764188649080737E-2</v>
      </c>
      <c r="J51" s="267">
        <f>+'WICHE Public Grads-RE PROJ'!AZ54/'WICHE Public Grads-RE PROJ'!J54</f>
        <v>4.3328303513688292E-2</v>
      </c>
      <c r="K51" s="267">
        <f>+'WICHE Public Grads-RE PROJ'!BA54/'WICHE Public Grads-RE PROJ'!K54</f>
        <v>4.69541718274969E-2</v>
      </c>
      <c r="L51" s="262">
        <f>+'WICHE Public Grads-RE PROJ'!BB54/'WICHE Public Grads-RE PROJ'!L54</f>
        <v>5.1500682128240112E-2</v>
      </c>
      <c r="M51" s="267">
        <f>+'WICHE Public Grads-RE PROJ'!BC54/'WICHE Public Grads-RE PROJ'!M54</f>
        <v>5.7450827869763306E-2</v>
      </c>
      <c r="N51" s="267">
        <f>+'WICHE Public Grads-RE PROJ'!BD54/'WICHE Public Grads-RE PROJ'!N54</f>
        <v>5.9215642706365958E-2</v>
      </c>
      <c r="O51" s="267">
        <f>+'WICHE Public Grads-RE PROJ'!BE54/'WICHE Public Grads-RE PROJ'!O54</f>
        <v>6.1036691904484568E-2</v>
      </c>
      <c r="P51" s="267">
        <f>+'WICHE Public Grads-RE PROJ'!BF54/'WICHE Public Grads-RE PROJ'!P54</f>
        <v>7.7308184887646986E-2</v>
      </c>
      <c r="Q51" s="267">
        <f>+'WICHE Public Grads-RE PROJ'!BG54/'WICHE Public Grads-RE PROJ'!Q54</f>
        <v>7.2130361849988014E-2</v>
      </c>
      <c r="R51" s="267">
        <f>+'WICHE Public Grads-RE PROJ'!BH54/'WICHE Public Grads-RE PROJ'!R54</f>
        <v>7.294336984385924E-2</v>
      </c>
      <c r="S51" s="267">
        <f>+'WICHE Public Grads-RE PROJ'!BI54/'WICHE Public Grads-RE PROJ'!S54</f>
        <v>8.038901883540564E-2</v>
      </c>
      <c r="T51" s="267">
        <f>+'WICHE Public Grads-RE PROJ'!BJ54/'WICHE Public Grads-RE PROJ'!T54</f>
        <v>6.971330556236216E-2</v>
      </c>
      <c r="U51" s="267">
        <f>+'WICHE Public Grads-RE PROJ'!BK54/'WICHE Public Grads-RE PROJ'!U54</f>
        <v>7.0550153056844506E-2</v>
      </c>
      <c r="V51" s="267">
        <f>+'WICHE Public Grads-RE PROJ'!BL54/'WICHE Public Grads-RE PROJ'!V54</f>
        <v>7.7069787346458904E-2</v>
      </c>
      <c r="W51" s="267">
        <f>+'WICHE Public Grads-RE PROJ'!BM54/'WICHE Public Grads-RE PROJ'!W54</f>
        <v>8.4791210083407814E-2</v>
      </c>
      <c r="X51" s="268">
        <f>+'WICHE Public Grads-RE PROJ'!BN54/'WICHE Public Grads-RE PROJ'!Y54</f>
        <v>9.2305586883711266E-2</v>
      </c>
      <c r="Y51" s="268">
        <f>+'WICHE Public Grads-RE PROJ'!BO54/'WICHE Public Grads-RE PROJ'!Z54</f>
        <v>8.3513478623851098E-2</v>
      </c>
      <c r="Z51" s="268">
        <f>+'WICHE Public Grads-RE PROJ'!BP54/'WICHE Public Grads-RE PROJ'!AA54</f>
        <v>9.2250375670087301E-2</v>
      </c>
      <c r="AA51" s="268">
        <f>+'WICHE Public Grads-RE PROJ'!BQ54/'WICHE Public Grads-RE PROJ'!AB54</f>
        <v>8.5998233141636862E-2</v>
      </c>
      <c r="AB51" s="266">
        <f>+'WICHE Public Grads-RE PROJ'!BR54/'WICHE Public Grads-RE PROJ'!AC54</f>
        <v>8.9627006539787779E-2</v>
      </c>
      <c r="AC51" s="266">
        <f>+'WICHE Public Grads-RE PROJ'!BS54/'WICHE Public Grads-RE PROJ'!AD54</f>
        <v>9.3754604609062445E-2</v>
      </c>
      <c r="AD51" s="266">
        <f>+'WICHE Public Grads-RE PROJ'!BT54/'WICHE Public Grads-RE PROJ'!AE54</f>
        <v>9.6430811178331743E-2</v>
      </c>
      <c r="AE51" s="266">
        <f>+'WICHE Public Grads-RE PROJ'!BU54/'WICHE Public Grads-RE PROJ'!AF54</f>
        <v>9.7427913471179461E-2</v>
      </c>
      <c r="AF51" s="266">
        <f>+'WICHE Public Grads-RE PROJ'!BV54/'WICHE Public Grads-RE PROJ'!AG54</f>
        <v>9.8936209485704918E-2</v>
      </c>
      <c r="AG51" s="268">
        <f>+'WICHE Public Grads-RE PROJ'!BW54/'WICHE Public Grads-RE PROJ'!AH54</f>
        <v>9.5621301525643521E-2</v>
      </c>
      <c r="AH51" s="266">
        <f>+'WICHE Public Grads-RE PROJ'!BX54/'WICHE Public Grads-RE PROJ'!AI54</f>
        <v>9.5664328158761788E-2</v>
      </c>
      <c r="AI51" s="266">
        <f>+'WICHE Public Grads-RE PROJ'!BY54/'WICHE Public Grads-RE PROJ'!AJ54</f>
        <v>9.6672093395451492E-2</v>
      </c>
      <c r="AJ51" s="266">
        <f>+'WICHE Public Grads-RE PROJ'!BZ54/'WICHE Public Grads-RE PROJ'!AK54</f>
        <v>0.10396970155660287</v>
      </c>
      <c r="AK51" s="266">
        <f>+'WICHE Public Grads-RE PROJ'!CA54/'WICHE Public Grads-RE PROJ'!AL54</f>
        <v>0.10118967717865587</v>
      </c>
      <c r="AL51" s="266">
        <f>+'WICHE Public Grads-RE PROJ'!CB54/'WICHE Public Grads-RE PROJ'!AM54</f>
        <v>9.9451650253279969E-2</v>
      </c>
      <c r="AM51" s="266">
        <f>+'WICHE Public Grads-RE PROJ'!CC54/'WICHE Public Grads-RE PROJ'!AN54</f>
        <v>0.11970289575238177</v>
      </c>
      <c r="AN51" s="266">
        <f>+'WICHE Public Grads-RE PROJ'!CD54/'WICHE Public Grads-RE PROJ'!AO54</f>
        <v>0.11587081337559196</v>
      </c>
      <c r="AO51" s="266">
        <f>+'WICHE Public Grads-RE PROJ'!CE54/'WICHE Public Grads-RE PROJ'!AP54</f>
        <v>0.12837460810415405</v>
      </c>
      <c r="AP51" s="282">
        <f>+'WICHE Public Grads-RE PROJ'!CF54/'WICHE Public Grads-RE PROJ'!AQ54</f>
        <v>0.12490570765743816</v>
      </c>
      <c r="AQ51" s="262">
        <f>+'WICHE Public Grads-RE PROJ'!CG54/'WICHE Public Grads-RE PROJ'!B54</f>
        <v>4.1369863013698632E-2</v>
      </c>
      <c r="AR51" s="262">
        <f>+'WICHE Public Grads-RE PROJ'!CH54/'WICHE Public Grads-RE PROJ'!C54</f>
        <v>6.6775653923541248E-2</v>
      </c>
      <c r="AS51" s="262">
        <f>+'WICHE Public Grads-RE PROJ'!CI54/'WICHE Public Grads-RE PROJ'!D54</f>
        <v>7.4982231698649607E-2</v>
      </c>
      <c r="AT51" s="262">
        <f>+'WICHE Public Grads-RE PROJ'!CJ54/'WICHE Public Grads-RE PROJ'!E54</f>
        <v>6.7384799521244765E-2</v>
      </c>
      <c r="AU51" s="262">
        <f>+'WICHE Public Grads-RE PROJ'!CK54/'WICHE Public Grads-RE PROJ'!F54</f>
        <v>7.0323488045007029E-2</v>
      </c>
      <c r="AV51" s="262">
        <f>+'WICHE Public Grads-RE PROJ'!CL54/'WICHE Public Grads-RE PROJ'!G54</f>
        <v>4.2083055740617367E-2</v>
      </c>
      <c r="AW51" s="267">
        <f>+'WICHE Public Grads-RE PROJ'!CM54/'WICHE Public Grads-RE PROJ'!H54</f>
        <v>4.2341356673960613E-2</v>
      </c>
      <c r="AX51" s="267">
        <f>+'WICHE Public Grads-RE PROJ'!CN54/'WICHE Public Grads-RE PROJ'!I54</f>
        <v>3.7341555327166841E-2</v>
      </c>
      <c r="AY51" s="267">
        <f>+'WICHE Public Grads-RE PROJ'!CO54/'WICHE Public Grads-RE PROJ'!J54</f>
        <v>3.5136882948911402E-2</v>
      </c>
      <c r="AZ51" s="267">
        <f>+'WICHE Public Grads-RE PROJ'!CP54/'WICHE Public Grads-RE PROJ'!K54</f>
        <v>3.7608377434973542E-2</v>
      </c>
      <c r="BA51" s="262">
        <f>+'WICHE Public Grads-RE PROJ'!CQ54/'WICHE Public Grads-RE PROJ'!L54</f>
        <v>4.0245566166439289E-2</v>
      </c>
      <c r="BB51" s="267">
        <f>+'WICHE Public Grads-RE PROJ'!CR54/'WICHE Public Grads-RE PROJ'!M54</f>
        <v>4.7338593177019668E-2</v>
      </c>
      <c r="BC51" s="267">
        <f>+'WICHE Public Grads-RE PROJ'!CS54/'WICHE Public Grads-RE PROJ'!N54</f>
        <v>4.6105988223530722E-2</v>
      </c>
      <c r="BD51" s="267">
        <f>+'WICHE Public Grads-RE PROJ'!CT54/'WICHE Public Grads-RE PROJ'!O54</f>
        <v>4.8573092603377985E-2</v>
      </c>
      <c r="BE51" s="267">
        <f>+'WICHE Public Grads-RE PROJ'!CU54/'WICHE Public Grads-RE PROJ'!P54</f>
        <v>6.5316101990918612E-2</v>
      </c>
      <c r="BF51" s="267">
        <f>+'WICHE Public Grads-RE PROJ'!CV54/'WICHE Public Grads-RE PROJ'!Q54</f>
        <v>5.8830577522166305E-2</v>
      </c>
      <c r="BG51" s="267">
        <f>+'WICHE Public Grads-RE PROJ'!CW54/'WICHE Public Grads-RE PROJ'!R54</f>
        <v>6.0009321836401772E-2</v>
      </c>
      <c r="BH51" s="267">
        <f>+'WICHE Public Grads-RE PROJ'!CX54/'WICHE Public Grads-RE PROJ'!S54</f>
        <v>6.8201403422380888E-2</v>
      </c>
      <c r="BI51" s="267">
        <f>+'WICHE Public Grads-RE PROJ'!CY54/'WICHE Public Grads-RE PROJ'!T54</f>
        <v>5.844155844155844E-2</v>
      </c>
      <c r="BJ51" s="267">
        <f>+'WICHE Public Grads-RE PROJ'!CZ54/'WICHE Public Grads-RE PROJ'!U54</f>
        <v>5.8106605299250526E-2</v>
      </c>
      <c r="BK51" s="267">
        <f>+'WICHE Public Grads-RE PROJ'!DA54/'WICHE Public Grads-RE PROJ'!V54</f>
        <v>5.8535408536314823E-2</v>
      </c>
      <c r="BL51" s="267">
        <f>+'WICHE Public Grads-RE PROJ'!DB54/'WICHE Public Grads-RE PROJ'!W54</f>
        <v>6.6536775997049172E-2</v>
      </c>
      <c r="BM51" s="268">
        <f>+'WICHE Public Grads-RE PROJ'!DC54/'WICHE Public Grads-RE PROJ'!Y54</f>
        <v>7.2242349932674144E-2</v>
      </c>
      <c r="BN51" s="268">
        <f>+'WICHE Public Grads-RE PROJ'!DD54/'WICHE Public Grads-RE PROJ'!Z54</f>
        <v>6.2017798066154602E-2</v>
      </c>
      <c r="BO51" s="268">
        <f>+'WICHE Public Grads-RE PROJ'!DE54/'WICHE Public Grads-RE PROJ'!AA54</f>
        <v>6.5575143560305513E-2</v>
      </c>
      <c r="BP51" s="268">
        <f>+'WICHE Public Grads-RE PROJ'!DF54/'WICHE Public Grads-RE PROJ'!AB54</f>
        <v>6.3670377678804277E-2</v>
      </c>
      <c r="BQ51" s="266">
        <f>+'WICHE Public Grads-RE PROJ'!DG54/'WICHE Public Grads-RE PROJ'!AC54</f>
        <v>6.2322186107941234E-2</v>
      </c>
      <c r="BR51" s="266">
        <f>+'WICHE Public Grads-RE PROJ'!DH54/'WICHE Public Grads-RE PROJ'!AD54</f>
        <v>6.7029918300147096E-2</v>
      </c>
      <c r="BS51" s="266">
        <f>+'WICHE Public Grads-RE PROJ'!DI54/'WICHE Public Grads-RE PROJ'!AE54</f>
        <v>6.6324358210736678E-2</v>
      </c>
      <c r="BT51" s="266">
        <f>+'WICHE Public Grads-RE PROJ'!DJ54/'WICHE Public Grads-RE PROJ'!AF54</f>
        <v>6.4281103020914498E-2</v>
      </c>
      <c r="BU51" s="266">
        <f>+'WICHE Public Grads-RE PROJ'!DK54/'WICHE Public Grads-RE PROJ'!AG54</f>
        <v>6.424032251873435E-2</v>
      </c>
      <c r="BV51" s="268">
        <f>+'WICHE Public Grads-RE PROJ'!DL54/'WICHE Public Grads-RE PROJ'!AH54</f>
        <v>6.5042717391715882E-2</v>
      </c>
      <c r="BW51" s="266">
        <f>+'WICHE Public Grads-RE PROJ'!DM54/'WICHE Public Grads-RE PROJ'!AI54</f>
        <v>6.2436166014839888E-2</v>
      </c>
      <c r="BX51" s="266">
        <f>+'WICHE Public Grads-RE PROJ'!DN54/'WICHE Public Grads-RE PROJ'!AJ54</f>
        <v>6.100875481782167E-2</v>
      </c>
      <c r="BY51" s="266">
        <f>+'WICHE Public Grads-RE PROJ'!DO54/'WICHE Public Grads-RE PROJ'!AK54</f>
        <v>6.3940824368315413E-2</v>
      </c>
      <c r="BZ51" s="266">
        <f>+'WICHE Public Grads-RE PROJ'!DP54/'WICHE Public Grads-RE PROJ'!AL54</f>
        <v>6.1898976410185512E-2</v>
      </c>
      <c r="CA51" s="266">
        <f>+'WICHE Public Grads-RE PROJ'!DQ54/'WICHE Public Grads-RE PROJ'!AM54</f>
        <v>6.0188330229152938E-2</v>
      </c>
      <c r="CB51" s="266">
        <f>+'WICHE Public Grads-RE PROJ'!DR54/'WICHE Public Grads-RE PROJ'!AN54</f>
        <v>6.2869309037582907E-2</v>
      </c>
      <c r="CC51" s="266">
        <f>+'WICHE Public Grads-RE PROJ'!DS54/'WICHE Public Grads-RE PROJ'!AO54</f>
        <v>6.0995618143561595E-2</v>
      </c>
      <c r="CD51" s="266">
        <f>+'WICHE Public Grads-RE PROJ'!DT54/'WICHE Public Grads-RE PROJ'!AP54</f>
        <v>6.1760927126028944E-2</v>
      </c>
      <c r="CE51" s="282">
        <f>+'WICHE Public Grads-RE PROJ'!DU54/'WICHE Public Grads-RE PROJ'!AQ54</f>
        <v>5.9581281102120229E-2</v>
      </c>
      <c r="CF51" s="262">
        <f>+'WICHE Public Grads-RE PROJ'!DV54/'WICHE Public Grads-RE PROJ'!B54</f>
        <v>7.3972602739726025E-3</v>
      </c>
      <c r="CG51" s="262">
        <f>+'WICHE Public Grads-RE PROJ'!DW54/'WICHE Public Grads-RE PROJ'!C54</f>
        <v>8.5513078470824955E-3</v>
      </c>
      <c r="CH51" s="262">
        <f>+'WICHE Public Grads-RE PROJ'!DX54/'WICHE Public Grads-RE PROJ'!D54</f>
        <v>7.3442312248282399E-3</v>
      </c>
      <c r="CI51" s="262">
        <f>+'WICHE Public Grads-RE PROJ'!DY54/'WICHE Public Grads-RE PROJ'!E54</f>
        <v>8.2585278276481149E-3</v>
      </c>
      <c r="CJ51" s="262">
        <f>+'WICHE Public Grads-RE PROJ'!DZ54/'WICHE Public Grads-RE PROJ'!F54</f>
        <v>6.6807313642756683E-3</v>
      </c>
      <c r="CK51" s="262">
        <f>+'WICHE Public Grads-RE PROJ'!EA54/'WICHE Public Grads-RE PROJ'!G54</f>
        <v>7.2174106151454585E-3</v>
      </c>
      <c r="CL51" s="267">
        <f>+'WICHE Public Grads-RE PROJ'!EB54/'WICHE Public Grads-RE PROJ'!H54</f>
        <v>7.1115973741794312E-3</v>
      </c>
      <c r="CM51" s="267">
        <f>+'WICHE Public Grads-RE PROJ'!EC54/'WICHE Public Grads-RE PROJ'!I54</f>
        <v>7.4226333219138971E-3</v>
      </c>
      <c r="CN51" s="267">
        <f>+'WICHE Public Grads-RE PROJ'!ED54/'WICHE Public Grads-RE PROJ'!J54</f>
        <v>8.1914205647768915E-3</v>
      </c>
      <c r="CO51" s="267">
        <f>+'WICHE Public Grads-RE PROJ'!EE54/'WICHE Public Grads-RE PROJ'!K54</f>
        <v>9.3457943925233638E-3</v>
      </c>
      <c r="CP51" s="262">
        <f>+'WICHE Public Grads-RE PROJ'!EF54/'WICHE Public Grads-RE PROJ'!L54</f>
        <v>1.1255115961800819E-2</v>
      </c>
      <c r="CQ51" s="267">
        <f>+'WICHE Public Grads-RE PROJ'!EG54/'WICHE Public Grads-RE PROJ'!M54</f>
        <v>1.0112234692743638E-2</v>
      </c>
      <c r="CR51" s="267">
        <f>+'WICHE Public Grads-RE PROJ'!EH54/'WICHE Public Grads-RE PROJ'!N54</f>
        <v>1.3109654482835241E-2</v>
      </c>
      <c r="CS51" s="267">
        <f>+'WICHE Public Grads-RE PROJ'!EI54/'WICHE Public Grads-RE PROJ'!O54</f>
        <v>1.2463599301106581E-2</v>
      </c>
      <c r="CT51" s="267">
        <f>+'WICHE Public Grads-RE PROJ'!EJ54/'WICHE Public Grads-RE PROJ'!P54</f>
        <v>1.1992082896728373E-2</v>
      </c>
      <c r="CU51" s="267">
        <f>+'WICHE Public Grads-RE PROJ'!EK54/'WICHE Public Grads-RE PROJ'!Q54</f>
        <v>1.3299784327821711E-2</v>
      </c>
      <c r="CV51" s="267">
        <f>+'WICHE Public Grads-RE PROJ'!EL54/'WICHE Public Grads-RE PROJ'!R54</f>
        <v>1.2934048007457469E-2</v>
      </c>
      <c r="CW51" s="267">
        <f>+'WICHE Public Grads-RE PROJ'!EM54/'WICHE Public Grads-RE PROJ'!S54</f>
        <v>1.2187615413024745E-2</v>
      </c>
      <c r="CX51" s="267">
        <f>+'WICHE Public Grads-RE PROJ'!EN54/'WICHE Public Grads-RE PROJ'!T54</f>
        <v>1.1271747120803725E-2</v>
      </c>
      <c r="CY51" s="267">
        <f>+'WICHE Public Grads-RE PROJ'!EO54/'WICHE Public Grads-RE PROJ'!U54</f>
        <v>1.2443547757593983E-2</v>
      </c>
      <c r="CZ51" s="267">
        <f>+'WICHE Public Grads-RE PROJ'!EP54/'WICHE Public Grads-RE PROJ'!V54</f>
        <v>1.8534378810144084E-2</v>
      </c>
      <c r="DA51" s="267">
        <f>+'WICHE Public Grads-RE PROJ'!EQ54/'WICHE Public Grads-RE PROJ'!W54</f>
        <v>1.8254434086358642E-2</v>
      </c>
      <c r="DB51" s="268">
        <f>+'WICHE Public Grads-RE PROJ'!ER54/'WICHE Public Grads-RE PROJ'!Y54</f>
        <v>2.0063236951037129E-2</v>
      </c>
      <c r="DC51" s="268">
        <f>+'WICHE Public Grads-RE PROJ'!ES54/'WICHE Public Grads-RE PROJ'!Z54</f>
        <v>2.1495680557696496E-2</v>
      </c>
      <c r="DD51" s="268">
        <f>+'WICHE Public Grads-RE PROJ'!ET54/'WICHE Public Grads-RE PROJ'!AA54</f>
        <v>2.6675232109781778E-2</v>
      </c>
      <c r="DE51" s="268">
        <f>+'WICHE Public Grads-RE PROJ'!EU54/'WICHE Public Grads-RE PROJ'!AB54</f>
        <v>2.2327855462832571E-2</v>
      </c>
      <c r="DF51" s="266">
        <f>+'WICHE Public Grads-RE PROJ'!EV54/'WICHE Public Grads-RE PROJ'!AC54</f>
        <v>2.7304820431846538E-2</v>
      </c>
      <c r="DG51" s="266">
        <f>+'WICHE Public Grads-RE PROJ'!EW54/'WICHE Public Grads-RE PROJ'!AD54</f>
        <v>2.6724686308915342E-2</v>
      </c>
      <c r="DH51" s="266">
        <f>+'WICHE Public Grads-RE PROJ'!EX54/'WICHE Public Grads-RE PROJ'!AE54</f>
        <v>3.0106452967595076E-2</v>
      </c>
      <c r="DI51" s="266">
        <f>+'WICHE Public Grads-RE PROJ'!EY54/'WICHE Public Grads-RE PROJ'!AF54</f>
        <v>3.314681045026497E-2</v>
      </c>
      <c r="DJ51" s="266">
        <f>+'WICHE Public Grads-RE PROJ'!EZ54/'WICHE Public Grads-RE PROJ'!AG54</f>
        <v>3.4695886966970561E-2</v>
      </c>
      <c r="DK51" s="268">
        <f>+'WICHE Public Grads-RE PROJ'!FA54/'WICHE Public Grads-RE PROJ'!AH54</f>
        <v>3.0578584133927642E-2</v>
      </c>
      <c r="DL51" s="266">
        <f>+'WICHE Public Grads-RE PROJ'!FB54/'WICHE Public Grads-RE PROJ'!AI54</f>
        <v>3.3228162143921901E-2</v>
      </c>
      <c r="DM51" s="266">
        <f>+'WICHE Public Grads-RE PROJ'!FC54/'WICHE Public Grads-RE PROJ'!AJ54</f>
        <v>3.5663338577629829E-2</v>
      </c>
      <c r="DN51" s="266">
        <f>+'WICHE Public Grads-RE PROJ'!FD54/'WICHE Public Grads-RE PROJ'!AK54</f>
        <v>4.0028877188287439E-2</v>
      </c>
      <c r="DO51" s="266">
        <f>+'WICHE Public Grads-RE PROJ'!FE54/'WICHE Public Grads-RE PROJ'!AL54</f>
        <v>3.9290700768470369E-2</v>
      </c>
      <c r="DP51" s="266">
        <f>+'WICHE Public Grads-RE PROJ'!FF54/'WICHE Public Grads-RE PROJ'!AM54</f>
        <v>3.9263320024127031E-2</v>
      </c>
      <c r="DQ51" s="266">
        <f>+'WICHE Public Grads-RE PROJ'!FG54/'WICHE Public Grads-RE PROJ'!AN54</f>
        <v>5.6833586714798878E-2</v>
      </c>
      <c r="DR51" s="266">
        <f>+'WICHE Public Grads-RE PROJ'!FH54/'WICHE Public Grads-RE PROJ'!AO54</f>
        <v>5.4875195232030355E-2</v>
      </c>
      <c r="DS51" s="266">
        <f>+'WICHE Public Grads-RE PROJ'!FI54/'WICHE Public Grads-RE PROJ'!AP54</f>
        <v>6.6613680978125131E-2</v>
      </c>
      <c r="DT51" s="282">
        <f>+'WICHE Public Grads-RE PROJ'!FJ54/'WICHE Public Grads-RE PROJ'!AQ54</f>
        <v>6.5324426555317949E-2</v>
      </c>
      <c r="DU51" s="262">
        <f>+'WICHE Public Grads-RE PROJ'!FK54/'WICHE Public Grads-RE PROJ'!B54</f>
        <v>4.2465753424657535E-3</v>
      </c>
      <c r="DV51" s="262">
        <f>+'WICHE Public Grads-RE PROJ'!FL54/'WICHE Public Grads-RE PROJ'!C54</f>
        <v>4.4014084507042256E-3</v>
      </c>
      <c r="DW51" s="262">
        <f>+'WICHE Public Grads-RE PROJ'!FM54/'WICHE Public Grads-RE PROJ'!D54</f>
        <v>4.6197583511016346E-3</v>
      </c>
      <c r="DX51" s="262">
        <f>+'WICHE Public Grads-RE PROJ'!FN54/'WICHE Public Grads-RE PROJ'!E54</f>
        <v>4.0694195092758831E-3</v>
      </c>
      <c r="DY51" s="262">
        <f>+'WICHE Public Grads-RE PROJ'!FO54/'WICHE Public Grads-RE PROJ'!F54</f>
        <v>4.2194092827004216E-3</v>
      </c>
      <c r="DZ51" s="262">
        <f>+'WICHE Public Grads-RE PROJ'!FP54/'WICHE Public Grads-RE PROJ'!G54</f>
        <v>5.3297801465689541E-3</v>
      </c>
      <c r="EA51" s="267">
        <f>+'WICHE Public Grads-RE PROJ'!FQ54/'WICHE Public Grads-RE PROJ'!H54</f>
        <v>6.0175054704595188E-3</v>
      </c>
      <c r="EB51" s="267">
        <f>+'WICHE Public Grads-RE PROJ'!FR54/'WICHE Public Grads-RE PROJ'!I54</f>
        <v>7.1942446043165471E-3</v>
      </c>
      <c r="EC51" s="267">
        <f>+'WICHE Public Grads-RE PROJ'!FS54/'WICHE Public Grads-RE PROJ'!J54</f>
        <v>6.4669109721922826E-3</v>
      </c>
      <c r="ED51" s="267">
        <f>+'WICHE Public Grads-RE PROJ'!FT54/'WICHE Public Grads-RE PROJ'!K54</f>
        <v>4.616597230041662E-3</v>
      </c>
      <c r="EE51" s="262">
        <f>+'WICHE Public Grads-RE PROJ'!FU54/'WICHE Public Grads-RE PROJ'!L54</f>
        <v>5.5707139608913141E-3</v>
      </c>
      <c r="EF51" s="267">
        <f>+'WICHE Public Grads-RE PROJ'!FV54/'WICHE Public Grads-RE PROJ'!M54</f>
        <v>9.4454939437715307E-3</v>
      </c>
      <c r="EG51" s="267">
        <f>+'WICHE Public Grads-RE PROJ'!FW54/'WICHE Public Grads-RE PROJ'!N54</f>
        <v>1.1998666814798355E-2</v>
      </c>
      <c r="EH51" s="267">
        <f>+'WICHE Public Grads-RE PROJ'!FX54/'WICHE Public Grads-RE PROJ'!O54</f>
        <v>1.0599883517763541E-2</v>
      </c>
      <c r="EI51" s="267">
        <f>+'WICHE Public Grads-RE PROJ'!FY54/'WICHE Public Grads-RE PROJ'!P54</f>
        <v>1.1992082896728373E-2</v>
      </c>
      <c r="EJ51" s="267">
        <f>+'WICHE Public Grads-RE PROJ'!FZ54/'WICHE Public Grads-RE PROJ'!Q54</f>
        <v>1.1143062544931704E-2</v>
      </c>
      <c r="EK51" s="267">
        <f>+'WICHE Public Grads-RE PROJ'!GA54/'WICHE Public Grads-RE PROJ'!R54</f>
        <v>1.456536937776742E-2</v>
      </c>
      <c r="EL51" s="267">
        <f>+'WICHE Public Grads-RE PROJ'!GB54/'WICHE Public Grads-RE PROJ'!S54</f>
        <v>1.7358118921580696E-2</v>
      </c>
      <c r="EM51" s="267">
        <f>+'WICHE Public Grads-RE PROJ'!GC54/'WICHE Public Grads-RE PROJ'!T54</f>
        <v>1.7765253614310219E-2</v>
      </c>
      <c r="EN51" s="267">
        <f>+'WICHE Public Grads-RE PROJ'!GD54/'WICHE Public Grads-RE PROJ'!U54</f>
        <v>1.9029695087751378E-2</v>
      </c>
      <c r="EO51" s="267">
        <f>+'WICHE Public Grads-RE PROJ'!GE54/'WICHE Public Grads-RE PROJ'!V54</f>
        <v>2.2972590167610458E-2</v>
      </c>
      <c r="EP51" s="267">
        <f>+'WICHE Public Grads-RE PROJ'!GF54/'WICHE Public Grads-RE PROJ'!W54</f>
        <v>2.5600129750809924E-2</v>
      </c>
      <c r="EQ51" s="268">
        <f>+'WICHE Public Grads-RE PROJ'!GG54/'WICHE Public Grads-RE PROJ'!Y54</f>
        <v>2.1741237832834045E-2</v>
      </c>
      <c r="ER51" s="268">
        <f>+'WICHE Public Grads-RE PROJ'!GH54/'WICHE Public Grads-RE PROJ'!Z54</f>
        <v>2.1386492986884026E-2</v>
      </c>
      <c r="ES51" s="268">
        <f>+'WICHE Public Grads-RE PROJ'!GI54/'WICHE Public Grads-RE PROJ'!AA54</f>
        <v>2.4821941945981807E-2</v>
      </c>
      <c r="ET51" s="268">
        <f>+'WICHE Public Grads-RE PROJ'!GJ54/'WICHE Public Grads-RE PROJ'!AB54</f>
        <v>2.2014588520263188E-2</v>
      </c>
      <c r="EU51" s="266">
        <f>+'WICHE Public Grads-RE PROJ'!GK54/'WICHE Public Grads-RE PROJ'!AC54</f>
        <v>2.5118829885198486E-2</v>
      </c>
      <c r="EV51" s="266">
        <f>+'WICHE Public Grads-RE PROJ'!GL54/'WICHE Public Grads-RE PROJ'!AD54</f>
        <v>2.7999704533364856E-2</v>
      </c>
      <c r="EW51" s="266">
        <f>+'WICHE Public Grads-RE PROJ'!GM54/'WICHE Public Grads-RE PROJ'!AE54</f>
        <v>2.3143644388330668E-2</v>
      </c>
      <c r="EX51" s="266">
        <f>+'WICHE Public Grads-RE PROJ'!GN54/'WICHE Public Grads-RE PROJ'!AF54</f>
        <v>2.4470644725079763E-2</v>
      </c>
      <c r="EY51" s="266">
        <f>+'WICHE Public Grads-RE PROJ'!GO54/'WICHE Public Grads-RE PROJ'!AG54</f>
        <v>2.66153017118359E-2</v>
      </c>
      <c r="EZ51" s="268">
        <f>+'WICHE Public Grads-RE PROJ'!GP54/'WICHE Public Grads-RE PROJ'!AH54</f>
        <v>2.6032101108126256E-2</v>
      </c>
      <c r="FA51" s="266">
        <f>+'WICHE Public Grads-RE PROJ'!GQ54/'WICHE Public Grads-RE PROJ'!AI54</f>
        <v>2.8157132712531934E-2</v>
      </c>
      <c r="FB51" s="266">
        <f>+'WICHE Public Grads-RE PROJ'!GR54/'WICHE Public Grads-RE PROJ'!AJ54</f>
        <v>2.6058598076911067E-2</v>
      </c>
      <c r="FC51" s="266">
        <f>+'WICHE Public Grads-RE PROJ'!GS54/'WICHE Public Grads-RE PROJ'!AK54</f>
        <v>3.2608125247707585E-2</v>
      </c>
      <c r="FD51" s="266">
        <f>+'WICHE Public Grads-RE PROJ'!GT54/'WICHE Public Grads-RE PROJ'!AL54</f>
        <v>3.7785814954571943E-2</v>
      </c>
      <c r="FE51" s="266">
        <f>+'WICHE Public Grads-RE PROJ'!GU54/'WICHE Public Grads-RE PROJ'!AM54</f>
        <v>3.8954235981342289E-2</v>
      </c>
      <c r="FF51" s="266">
        <f>+'WICHE Public Grads-RE PROJ'!GV54/'WICHE Public Grads-RE PROJ'!AN54</f>
        <v>3.8576557632987646E-2</v>
      </c>
      <c r="FG51" s="266">
        <f>+'WICHE Public Grads-RE PROJ'!GW54/'WICHE Public Grads-RE PROJ'!AO54</f>
        <v>4.4042416637895605E-2</v>
      </c>
      <c r="FH51" s="266">
        <f>+'WICHE Public Grads-RE PROJ'!GX54/'WICHE Public Grads-RE PROJ'!AP54</f>
        <v>4.5508691670181907E-2</v>
      </c>
      <c r="FI51" s="282">
        <f>+'WICHE Public Grads-RE PROJ'!GY54/'WICHE Public Grads-RE PROJ'!AQ54</f>
        <v>4.8888544509048421E-2</v>
      </c>
      <c r="FJ51" s="262">
        <f>+'WICHE Public Grads-RE PROJ'!GZ54/'WICHE Public Grads-RE PROJ'!B54</f>
        <v>5.342465753424658E-3</v>
      </c>
      <c r="FK51" s="262">
        <f>+'WICHE Public Grads-RE PROJ'!HA54/'WICHE Public Grads-RE PROJ'!C54</f>
        <v>4.778672032193159E-3</v>
      </c>
      <c r="FL51" s="262">
        <f>+'WICHE Public Grads-RE PROJ'!HB54/'WICHE Public Grads-RE PROJ'!D54</f>
        <v>6.1596778014688458E-3</v>
      </c>
      <c r="FM51" s="262">
        <f>+'WICHE Public Grads-RE PROJ'!HC54/'WICHE Public Grads-RE PROJ'!E54</f>
        <v>5.1466187911430282E-3</v>
      </c>
      <c r="FN51" s="262">
        <f>+'WICHE Public Grads-RE PROJ'!HD54/'WICHE Public Grads-RE PROJ'!F54</f>
        <v>5.1570557899671826E-3</v>
      </c>
      <c r="FO51" s="262">
        <f>+'WICHE Public Grads-RE PROJ'!HE54/'WICHE Public Grads-RE PROJ'!G54</f>
        <v>6.6622251832111927E-3</v>
      </c>
      <c r="FP51" s="267">
        <f>+'WICHE Public Grads-RE PROJ'!HF54/'WICHE Public Grads-RE PROJ'!H54</f>
        <v>6.3457330415754923E-3</v>
      </c>
      <c r="FQ51" s="267">
        <f>+'WICHE Public Grads-RE PROJ'!HG54/'WICHE Public Grads-RE PROJ'!I54</f>
        <v>7.4226333219138971E-3</v>
      </c>
      <c r="FR51" s="267">
        <f>+'WICHE Public Grads-RE PROJ'!HH54/'WICHE Public Grads-RE PROJ'!J54</f>
        <v>7.4369476180211249E-3</v>
      </c>
      <c r="FS51" s="267">
        <f>+'WICHE Public Grads-RE PROJ'!HI54/'WICHE Public Grads-RE PROJ'!K54</f>
        <v>7.3189956086026344E-3</v>
      </c>
      <c r="FT51" s="262">
        <f>+'WICHE Public Grads-RE PROJ'!HJ54/'WICHE Public Grads-RE PROJ'!L54</f>
        <v>7.0486584811277854E-3</v>
      </c>
      <c r="FU51" s="267">
        <f>+'WICHE Public Grads-RE PROJ'!HK54/'WICHE Public Grads-RE PROJ'!M54</f>
        <v>8.6676297366374035E-3</v>
      </c>
      <c r="FV51" s="267">
        <f>+'WICHE Public Grads-RE PROJ'!HL54/'WICHE Public Grads-RE PROJ'!N54</f>
        <v>1.088767914676147E-2</v>
      </c>
      <c r="FW51" s="267">
        <f>+'WICHE Public Grads-RE PROJ'!HM54/'WICHE Public Grads-RE PROJ'!O54</f>
        <v>1.0599883517763541E-2</v>
      </c>
      <c r="FX51" s="267">
        <f>+'WICHE Public Grads-RE PROJ'!HN54/'WICHE Public Grads-RE PROJ'!P54</f>
        <v>1.2690650832460123E-2</v>
      </c>
      <c r="FY51" s="267">
        <f>+'WICHE Public Grads-RE PROJ'!HO54/'WICHE Public Grads-RE PROJ'!Q54</f>
        <v>1.3898873711957823E-2</v>
      </c>
      <c r="FZ51" s="267">
        <f>+'WICHE Public Grads-RE PROJ'!HP54/'WICHE Public Grads-RE PROJ'!R54</f>
        <v>1.5031461197855978E-2</v>
      </c>
      <c r="GA51" s="267">
        <f>+'WICHE Public Grads-RE PROJ'!HQ54/'WICHE Public Grads-RE PROJ'!S54</f>
        <v>1.686569001600394E-2</v>
      </c>
      <c r="GB51" s="267">
        <f>+'WICHE Public Grads-RE PROJ'!HR54/'WICHE Public Grads-RE PROJ'!T54</f>
        <v>1.8622886547414848E-2</v>
      </c>
      <c r="GC51" s="267">
        <f>+'WICHE Public Grads-RE PROJ'!HS54/'WICHE Public Grads-RE PROJ'!U54</f>
        <v>2.1217264791464598E-2</v>
      </c>
      <c r="GD51" s="267">
        <f>+'WICHE Public Grads-RE PROJ'!HT54/'WICHE Public Grads-RE PROJ'!V54</f>
        <v>2.3914104441190825E-2</v>
      </c>
      <c r="GE51" s="267">
        <f>+'WICHE Public Grads-RE PROJ'!HU54/'WICHE Public Grads-RE PROJ'!W54</f>
        <v>2.7794635271270785E-2</v>
      </c>
      <c r="GF51" s="268">
        <f>+'WICHE Public Grads-RE PROJ'!HV54/'WICHE Public Grads-RE PROJ'!Y54</f>
        <v>2.6568110092543312E-2</v>
      </c>
      <c r="GG51" s="268">
        <f>+'WICHE Public Grads-RE PROJ'!HW54/'WICHE Public Grads-RE PROJ'!Z54</f>
        <v>3.1873661286642263E-2</v>
      </c>
      <c r="GH51" s="268">
        <f>+'WICHE Public Grads-RE PROJ'!HX54/'WICHE Public Grads-RE PROJ'!AA54</f>
        <v>3.5309377240451453E-2</v>
      </c>
      <c r="GI51" s="268">
        <f>+'WICHE Public Grads-RE PROJ'!HY54/'WICHE Public Grads-RE PROJ'!AB54</f>
        <v>3.6169678362746552E-2</v>
      </c>
      <c r="GJ51" s="266">
        <f>+'WICHE Public Grads-RE PROJ'!HZ54/'WICHE Public Grads-RE PROJ'!AC54</f>
        <v>4.1217831567812967E-2</v>
      </c>
      <c r="GK51" s="266">
        <f>+'WICHE Public Grads-RE PROJ'!IA54/'WICHE Public Grads-RE PROJ'!AD54</f>
        <v>4.0512022597810282E-2</v>
      </c>
      <c r="GL51" s="266">
        <f>+'WICHE Public Grads-RE PROJ'!IB54/'WICHE Public Grads-RE PROJ'!AE54</f>
        <v>4.7861560978790976E-2</v>
      </c>
      <c r="GM51" s="266">
        <f>+'WICHE Public Grads-RE PROJ'!IC54/'WICHE Public Grads-RE PROJ'!AF54</f>
        <v>5.3808708085128422E-2</v>
      </c>
      <c r="GN51" s="266">
        <f>+'WICHE Public Grads-RE PROJ'!ID54/'WICHE Public Grads-RE PROJ'!AG54</f>
        <v>5.5172918237551591E-2</v>
      </c>
      <c r="GO51" s="268">
        <f>+'WICHE Public Grads-RE PROJ'!IE54/'WICHE Public Grads-RE PROJ'!AH54</f>
        <v>7.0224396843476505E-2</v>
      </c>
      <c r="GP51" s="266">
        <f>+'WICHE Public Grads-RE PROJ'!IF54/'WICHE Public Grads-RE PROJ'!AI54</f>
        <v>6.9840652875020545E-2</v>
      </c>
      <c r="GQ51" s="266">
        <f>+'WICHE Public Grads-RE PROJ'!IG54/'WICHE Public Grads-RE PROJ'!AJ54</f>
        <v>8.3224969276222222E-2</v>
      </c>
      <c r="GR51" s="266">
        <f>+'WICHE Public Grads-RE PROJ'!IH54/'WICHE Public Grads-RE PROJ'!AK54</f>
        <v>7.6712542501047615E-2</v>
      </c>
      <c r="GS51" s="266">
        <f>+'WICHE Public Grads-RE PROJ'!II54/'WICHE Public Grads-RE PROJ'!AL54</f>
        <v>7.906174183045736E-2</v>
      </c>
      <c r="GT51" s="266">
        <f>+'WICHE Public Grads-RE PROJ'!IJ54/'WICHE Public Grads-RE PROJ'!AM54</f>
        <v>8.7864128539959493E-2</v>
      </c>
      <c r="GU51" s="266">
        <f>+'WICHE Public Grads-RE PROJ'!IK54/'WICHE Public Grads-RE PROJ'!AN54</f>
        <v>8.741737771667682E-2</v>
      </c>
      <c r="GV51" s="266">
        <f>+'WICHE Public Grads-RE PROJ'!IL54/'WICHE Public Grads-RE PROJ'!AO54</f>
        <v>9.2746430230461196E-2</v>
      </c>
      <c r="GW51" s="266">
        <f>+'WICHE Public Grads-RE PROJ'!IM54/'WICHE Public Grads-RE PROJ'!AP54</f>
        <v>8.6404981726167118E-2</v>
      </c>
      <c r="GX51" s="282">
        <f>+'WICHE Public Grads-RE PROJ'!IN54/'WICHE Public Grads-RE PROJ'!AQ54</f>
        <v>9.9881760823814406E-2</v>
      </c>
      <c r="GY51" s="262">
        <f>+'WICHE Public Grads-RE PROJ'!IO54/'WICHE Public Grads-RE PROJ'!B54</f>
        <v>0.94164383561643838</v>
      </c>
      <c r="GZ51" s="262">
        <f>+'WICHE Public Grads-RE PROJ'!IP54/'WICHE Public Grads-RE PROJ'!C54</f>
        <v>0.91549295774647887</v>
      </c>
      <c r="HA51" s="262">
        <f>+'WICHE Public Grads-RE PROJ'!IQ54/'WICHE Public Grads-RE PROJ'!D54</f>
        <v>0.90689410092395162</v>
      </c>
      <c r="HB51" s="262">
        <f>+'WICHE Public Grads-RE PROJ'!IR54/'WICHE Public Grads-RE PROJ'!E54</f>
        <v>0.91514063435068826</v>
      </c>
      <c r="HC51" s="262">
        <f>+'WICHE Public Grads-RE PROJ'!IS54/'WICHE Public Grads-RE PROJ'!F54</f>
        <v>0.91361931551804965</v>
      </c>
      <c r="HD51" s="262">
        <f>+'WICHE Public Grads-RE PROJ'!IT54/'WICHE Public Grads-RE PROJ'!G54</f>
        <v>0.93870752831445703</v>
      </c>
      <c r="HE51" s="267">
        <f>+'WICHE Public Grads-RE PROJ'!IU54/'WICHE Public Grads-RE PROJ'!H54</f>
        <v>0.93818380743982499</v>
      </c>
      <c r="HF51" s="267">
        <f>+'WICHE Public Grads-RE PROJ'!IV54/'WICHE Public Grads-RE PROJ'!I54</f>
        <v>0.94061893342468883</v>
      </c>
      <c r="HG51" s="267">
        <f>+'WICHE Public Grads-RE PROJ'!IW54/'WICHE Public Grads-RE PROJ'!J54</f>
        <v>0.9427678378960983</v>
      </c>
      <c r="HH51" s="267">
        <f>+'WICHE Public Grads-RE PROJ'!IX54/'WICHE Public Grads-RE PROJ'!K54</f>
        <v>0.94111023533385885</v>
      </c>
      <c r="HI51" s="262">
        <f>+'WICHE Public Grads-RE PROJ'!IY54/'WICHE Public Grads-RE PROJ'!L54</f>
        <v>0.93587994542974084</v>
      </c>
      <c r="HJ51" s="267">
        <f>+'WICHE Public Grads-RE PROJ'!IZ54/'WICHE Public Grads-RE PROJ'!M54</f>
        <v>0.92443604844982774</v>
      </c>
      <c r="HK51" s="267">
        <f>+'WICHE Public Grads-RE PROJ'!JA54/'WICHE Public Grads-RE PROJ'!N54</f>
        <v>0.91789801133207416</v>
      </c>
      <c r="HL51" s="267">
        <f>+'WICHE Public Grads-RE PROJ'!JB54/'WICHE Public Grads-RE PROJ'!O54</f>
        <v>0.91776354105998836</v>
      </c>
      <c r="HM51" s="267">
        <f>+'WICHE Public Grads-RE PROJ'!JC54/'WICHE Public Grads-RE PROJ'!P54</f>
        <v>0.89800908138316449</v>
      </c>
      <c r="HN51" s="267">
        <f>+'WICHE Public Grads-RE PROJ'!JD54/'WICHE Public Grads-RE PROJ'!Q54</f>
        <v>0.90282770189312245</v>
      </c>
      <c r="HO51" s="267">
        <f>+'WICHE Public Grads-RE PROJ'!JE54/'WICHE Public Grads-RE PROJ'!R54</f>
        <v>0.89804241435562804</v>
      </c>
      <c r="HP51" s="267">
        <f>+'WICHE Public Grads-RE PROJ'!JF54/'WICHE Public Grads-RE PROJ'!S54</f>
        <v>0.88538717222700969</v>
      </c>
      <c r="HQ51" s="267">
        <f>+'WICHE Public Grads-RE PROJ'!JG54/'WICHE Public Grads-RE PROJ'!T54</f>
        <v>0.8938985542759128</v>
      </c>
      <c r="HR51" s="267">
        <f>+'WICHE Public Grads-RE PROJ'!JH54/'WICHE Public Grads-RE PROJ'!U54</f>
        <v>0.88920288706393957</v>
      </c>
      <c r="HS51" s="267">
        <f>+'WICHE Public Grads-RE PROJ'!JI54/'WICHE Public Grads-RE PROJ'!V54</f>
        <v>0.87604351804473979</v>
      </c>
      <c r="HT51" s="267">
        <f>+'WICHE Public Grads-RE PROJ'!JJ54/'WICHE Public Grads-RE PROJ'!W54</f>
        <v>0.86169265094136183</v>
      </c>
      <c r="HU51" s="268">
        <f>+'WICHE Public Grads-RE PROJ'!JK54/'WICHE Public Grads-RE PROJ'!Y54</f>
        <v>0.85824428917322149</v>
      </c>
      <c r="HV51" s="268">
        <f>+'WICHE Public Grads-RE PROJ'!JL54/'WICHE Public Grads-RE PROJ'!Z54</f>
        <v>0.86215720981791244</v>
      </c>
      <c r="HW51" s="268">
        <f>+'WICHE Public Grads-RE PROJ'!JM54/'WICHE Public Grads-RE PROJ'!AA54</f>
        <v>0.84392044085788998</v>
      </c>
      <c r="HX51" s="268">
        <f>+'WICHE Public Grads-RE PROJ'!JN54/'WICHE Public Grads-RE PROJ'!AB54</f>
        <v>0.85556161988070933</v>
      </c>
      <c r="HY51" s="266">
        <f>+'WICHE Public Grads-RE PROJ'!JO54/'WICHE Public Grads-RE PROJ'!AC54</f>
        <v>0.84743432758613724</v>
      </c>
      <c r="HZ51" s="266">
        <f>+'WICHE Public Grads-RE PROJ'!JP54/'WICHE Public Grads-RE PROJ'!AD54</f>
        <v>0.83662415311389049</v>
      </c>
      <c r="IA51" s="266">
        <f>+'WICHE Public Grads-RE PROJ'!JQ54/'WICHE Public Grads-RE PROJ'!AE54</f>
        <v>0.83340112439240921</v>
      </c>
      <c r="IB51" s="266">
        <f>+'WICHE Public Grads-RE PROJ'!JR54/'WICHE Public Grads-RE PROJ'!AF54</f>
        <v>0.82936504293814617</v>
      </c>
      <c r="IC51" s="266">
        <f>+'WICHE Public Grads-RE PROJ'!JS54/'WICHE Public Grads-RE PROJ'!AG54</f>
        <v>0.82571121216401155</v>
      </c>
      <c r="ID51" s="268">
        <f>+'WICHE Public Grads-RE PROJ'!JT54/'WICHE Public Grads-RE PROJ'!AH54</f>
        <v>0.81569623180195683</v>
      </c>
      <c r="IE51" s="266">
        <f>+'WICHE Public Grads-RE PROJ'!JU54/'WICHE Public Grads-RE PROJ'!AI54</f>
        <v>0.81808135427880568</v>
      </c>
      <c r="IF51" s="266">
        <f>+'WICHE Public Grads-RE PROJ'!JV54/'WICHE Public Grads-RE PROJ'!AJ54</f>
        <v>0.81329546768422123</v>
      </c>
      <c r="IG51" s="266">
        <f>+'WICHE Public Grads-RE PROJ'!JW54/'WICHE Public Grads-RE PROJ'!AK54</f>
        <v>0.80762813633737329</v>
      </c>
      <c r="IH51" s="266">
        <f>+'WICHE Public Grads-RE PROJ'!JX54/'WICHE Public Grads-RE PROJ'!AL54</f>
        <v>0.80912609166811122</v>
      </c>
      <c r="II51" s="266">
        <f>+'WICHE Public Grads-RE PROJ'!JY54/'WICHE Public Grads-RE PROJ'!AM54</f>
        <v>0.80809736419559453</v>
      </c>
      <c r="IJ51" s="266">
        <f>+'WICHE Public Grads-RE PROJ'!JZ54/'WICHE Public Grads-RE PROJ'!AN54</f>
        <v>0.79316465206111242</v>
      </c>
      <c r="IK51" s="266">
        <f>+'WICHE Public Grads-RE PROJ'!KA54/'WICHE Public Grads-RE PROJ'!AO54</f>
        <v>0.7942098620382132</v>
      </c>
      <c r="IL51" s="266">
        <f>+'WICHE Public Grads-RE PROJ'!KB54/'WICHE Public Grads-RE PROJ'!AP54</f>
        <v>0.78989224514503276</v>
      </c>
      <c r="IM51" s="282">
        <f>+'WICHE Public Grads-RE PROJ'!KC54/'WICHE Public Grads-RE PROJ'!AQ54</f>
        <v>0.78859007760898936</v>
      </c>
      <c r="IN51" s="278">
        <f t="shared" si="82"/>
        <v>1</v>
      </c>
      <c r="IO51" s="278">
        <f t="shared" si="83"/>
        <v>1</v>
      </c>
      <c r="IP51" s="278">
        <f t="shared" si="84"/>
        <v>1</v>
      </c>
      <c r="IQ51" s="278">
        <f t="shared" si="85"/>
        <v>1</v>
      </c>
      <c r="IR51" s="278">
        <f t="shared" si="86"/>
        <v>1</v>
      </c>
      <c r="IS51" s="278">
        <f t="shared" si="87"/>
        <v>1</v>
      </c>
      <c r="IT51" s="278">
        <f t="shared" si="88"/>
        <v>1</v>
      </c>
      <c r="IU51" s="278">
        <f t="shared" si="89"/>
        <v>1</v>
      </c>
      <c r="IV51" s="278">
        <f t="shared" si="90"/>
        <v>1</v>
      </c>
      <c r="IW51" s="278">
        <f t="shared" si="91"/>
        <v>1</v>
      </c>
      <c r="IX51" s="278">
        <f t="shared" si="92"/>
        <v>1</v>
      </c>
      <c r="IY51" s="278">
        <f t="shared" si="93"/>
        <v>1</v>
      </c>
      <c r="IZ51" s="278">
        <f t="shared" si="94"/>
        <v>1</v>
      </c>
      <c r="JA51" s="278">
        <f t="shared" si="95"/>
        <v>1</v>
      </c>
      <c r="JB51" s="278">
        <f t="shared" si="96"/>
        <v>1</v>
      </c>
      <c r="JC51" s="278">
        <f t="shared" si="97"/>
        <v>1</v>
      </c>
      <c r="JD51" s="278">
        <f t="shared" si="98"/>
        <v>1.0005826147751107</v>
      </c>
      <c r="JE51" s="278">
        <f t="shared" si="99"/>
        <v>1</v>
      </c>
      <c r="JF51" s="278">
        <f t="shared" si="100"/>
        <v>1</v>
      </c>
      <c r="JG51" s="278">
        <f t="shared" si="101"/>
        <v>1</v>
      </c>
      <c r="JH51" s="278">
        <f t="shared" si="102"/>
        <v>1</v>
      </c>
      <c r="JI51" s="278">
        <f t="shared" si="103"/>
        <v>0.99987862604685041</v>
      </c>
      <c r="JJ51" s="278">
        <f t="shared" si="104"/>
        <v>0.99885922398231008</v>
      </c>
      <c r="JK51" s="278">
        <f t="shared" si="105"/>
        <v>0.99893084271528987</v>
      </c>
      <c r="JL51" s="278">
        <f t="shared" si="106"/>
        <v>0.99630213571441051</v>
      </c>
      <c r="JM51" s="278">
        <f t="shared" si="107"/>
        <v>0.99974411990535594</v>
      </c>
      <c r="JN51" s="278">
        <f t="shared" si="108"/>
        <v>1.0033979955789365</v>
      </c>
      <c r="JO51" s="278">
        <f t="shared" si="109"/>
        <v>0.99889048485412801</v>
      </c>
      <c r="JP51" s="278">
        <f t="shared" si="110"/>
        <v>1.0008371409378625</v>
      </c>
      <c r="JQ51" s="278">
        <f t="shared" si="111"/>
        <v>1.0050723092195337</v>
      </c>
      <c r="JR51" s="278">
        <f t="shared" si="112"/>
        <v>1.006435641599104</v>
      </c>
      <c r="JS51" s="278">
        <f t="shared" si="113"/>
        <v>1.0075740312792032</v>
      </c>
      <c r="JT51" s="278">
        <f t="shared" si="114"/>
        <v>1.0117434680251201</v>
      </c>
      <c r="JU51" s="278">
        <f t="shared" si="115"/>
        <v>1.0192511284328061</v>
      </c>
      <c r="JV51" s="278">
        <f t="shared" si="116"/>
        <v>1.0209185056427315</v>
      </c>
      <c r="JW51" s="278">
        <f t="shared" si="117"/>
        <v>1.0271633256317965</v>
      </c>
      <c r="JX51" s="278">
        <f t="shared" si="118"/>
        <v>1.0343673789701762</v>
      </c>
      <c r="JY51" s="278">
        <f t="shared" si="119"/>
        <v>1.0388614831631586</v>
      </c>
      <c r="JZ51" s="278">
        <f t="shared" si="119"/>
        <v>1.046869522282162</v>
      </c>
      <c r="KA51" s="278">
        <f t="shared" si="119"/>
        <v>1.0501805266455357</v>
      </c>
      <c r="KB51" s="278">
        <f t="shared" si="119"/>
        <v>1.0622660905992904</v>
      </c>
    </row>
    <row r="52" spans="1:288" s="17" customFormat="1">
      <c r="A52" s="176" t="s">
        <v>76</v>
      </c>
      <c r="B52" s="263">
        <f>+'WICHE Public Grads-RE PROJ'!AR55/'WICHE Public Grads-RE PROJ'!B55</f>
        <v>2.6089821469019624E-2</v>
      </c>
      <c r="C52" s="263">
        <f>+'WICHE Public Grads-RE PROJ'!AS55/'WICHE Public Grads-RE PROJ'!C55</f>
        <v>2.7505147220500931E-2</v>
      </c>
      <c r="D52" s="263">
        <f>+'WICHE Public Grads-RE PROJ'!AT55/'WICHE Public Grads-RE PROJ'!D55</f>
        <v>2.9046329412251142E-2</v>
      </c>
      <c r="E52" s="263">
        <f>+'WICHE Public Grads-RE PROJ'!AU55/'WICHE Public Grads-RE PROJ'!E55</f>
        <v>2.7234947327727844E-2</v>
      </c>
      <c r="F52" s="263">
        <f>+'WICHE Public Grads-RE PROJ'!AV55/'WICHE Public Grads-RE PROJ'!F55</f>
        <v>2.7708095781071834E-2</v>
      </c>
      <c r="G52" s="263">
        <f>+'WICHE Public Grads-RE PROJ'!AW55/'WICHE Public Grads-RE PROJ'!G55</f>
        <v>2.81215459602457E-2</v>
      </c>
      <c r="H52" s="263">
        <f>+'WICHE Public Grads-RE PROJ'!AX55/'WICHE Public Grads-RE PROJ'!H55</f>
        <v>2.9840123596090753E-2</v>
      </c>
      <c r="I52" s="263">
        <f>+'WICHE Public Grads-RE PROJ'!AY55/'WICHE Public Grads-RE PROJ'!I55</f>
        <v>3.2771985183152698E-2</v>
      </c>
      <c r="J52" s="263">
        <f>+'WICHE Public Grads-RE PROJ'!AZ55/'WICHE Public Grads-RE PROJ'!J55</f>
        <v>3.5049961568024597E-2</v>
      </c>
      <c r="K52" s="263">
        <f>+'WICHE Public Grads-RE PROJ'!BA55/'WICHE Public Grads-RE PROJ'!K55</f>
        <v>3.5624610303163072E-2</v>
      </c>
      <c r="L52" s="263">
        <f>+'WICHE Public Grads-RE PROJ'!BB55/'WICHE Public Grads-RE PROJ'!L55</f>
        <v>3.9290136194799832E-2</v>
      </c>
      <c r="M52" s="263">
        <f>+'WICHE Public Grads-RE PROJ'!BC55/'WICHE Public Grads-RE PROJ'!M55</f>
        <v>3.9938677456062714E-2</v>
      </c>
      <c r="N52" s="263">
        <f>+'WICHE Public Grads-RE PROJ'!BD55/'WICHE Public Grads-RE PROJ'!N55</f>
        <v>4.1406787298124123E-2</v>
      </c>
      <c r="O52" s="263">
        <f>+'WICHE Public Grads-RE PROJ'!BE55/'WICHE Public Grads-RE PROJ'!O55</f>
        <v>4.2875895554255167E-2</v>
      </c>
      <c r="P52" s="263">
        <f>+'WICHE Public Grads-RE PROJ'!BF55/'WICHE Public Grads-RE PROJ'!P55</f>
        <v>4.6442232909543989E-2</v>
      </c>
      <c r="Q52" s="263">
        <f>+'WICHE Public Grads-RE PROJ'!BG55/'WICHE Public Grads-RE PROJ'!Q55</f>
        <v>4.6554527263631816E-2</v>
      </c>
      <c r="R52" s="263">
        <f>+'WICHE Public Grads-RE PROJ'!BH55/'WICHE Public Grads-RE PROJ'!R55</f>
        <v>4.9522114661798323E-2</v>
      </c>
      <c r="S52" s="263">
        <f>+'WICHE Public Grads-RE PROJ'!BI55/'WICHE Public Grads-RE PROJ'!S55</f>
        <v>5.1689344136982111E-2</v>
      </c>
      <c r="T52" s="263">
        <f>+'WICHE Public Grads-RE PROJ'!BJ55/'WICHE Public Grads-RE PROJ'!T55</f>
        <v>4.8757864795090207E-2</v>
      </c>
      <c r="U52" s="263">
        <f>+'WICHE Public Grads-RE PROJ'!BK55/'WICHE Public Grads-RE PROJ'!U55</f>
        <v>5.0746336457858025E-2</v>
      </c>
      <c r="V52" s="263">
        <f>+'WICHE Public Grads-RE PROJ'!BL55/'WICHE Public Grads-RE PROJ'!V55</f>
        <v>4.9348470783143444E-2</v>
      </c>
      <c r="W52" s="263">
        <f>+'WICHE Public Grads-RE PROJ'!BM55/'WICHE Public Grads-RE PROJ'!W55</f>
        <v>4.9243760526634178E-2</v>
      </c>
      <c r="X52" s="269">
        <f>+'WICHE Public Grads-RE PROJ'!BN55/'WICHE Public Grads-RE PROJ'!Y55</f>
        <v>4.9079009464677373E-2</v>
      </c>
      <c r="Y52" s="269">
        <f>+'WICHE Public Grads-RE PROJ'!BO55/'WICHE Public Grads-RE PROJ'!Z55</f>
        <v>4.7212104890363371E-2</v>
      </c>
      <c r="Z52" s="269">
        <f>+'WICHE Public Grads-RE PROJ'!BP55/'WICHE Public Grads-RE PROJ'!AA55</f>
        <v>4.6716491301980051E-2</v>
      </c>
      <c r="AA52" s="269">
        <f>+'WICHE Public Grads-RE PROJ'!BQ55/'WICHE Public Grads-RE PROJ'!AB55</f>
        <v>4.7456517084630945E-2</v>
      </c>
      <c r="AB52" s="269">
        <f>+'WICHE Public Grads-RE PROJ'!BR55/'WICHE Public Grads-RE PROJ'!AC55</f>
        <v>4.8246235764964812E-2</v>
      </c>
      <c r="AC52" s="269">
        <f>+'WICHE Public Grads-RE PROJ'!BS55/'WICHE Public Grads-RE PROJ'!AD55</f>
        <v>4.8603669238425268E-2</v>
      </c>
      <c r="AD52" s="269">
        <f>+'WICHE Public Grads-RE PROJ'!BT55/'WICHE Public Grads-RE PROJ'!AE55</f>
        <v>4.855585939175789E-2</v>
      </c>
      <c r="AE52" s="269">
        <f>+'WICHE Public Grads-RE PROJ'!BU55/'WICHE Public Grads-RE PROJ'!AF55</f>
        <v>4.9244475685675609E-2</v>
      </c>
      <c r="AF52" s="269">
        <f>+'WICHE Public Grads-RE PROJ'!BV55/'WICHE Public Grads-RE PROJ'!AG55</f>
        <v>4.9577765316430676E-2</v>
      </c>
      <c r="AG52" s="269">
        <f>+'WICHE Public Grads-RE PROJ'!BW55/'WICHE Public Grads-RE PROJ'!AH55</f>
        <v>5.0661884924379896E-2</v>
      </c>
      <c r="AH52" s="269">
        <f>+'WICHE Public Grads-RE PROJ'!BX55/'WICHE Public Grads-RE PROJ'!AI55</f>
        <v>5.13017251533118E-2</v>
      </c>
      <c r="AI52" s="269">
        <f>+'WICHE Public Grads-RE PROJ'!BY55/'WICHE Public Grads-RE PROJ'!AJ55</f>
        <v>5.0994065044762379E-2</v>
      </c>
      <c r="AJ52" s="269">
        <f>+'WICHE Public Grads-RE PROJ'!BZ55/'WICHE Public Grads-RE PROJ'!AK55</f>
        <v>5.6057704942134537E-2</v>
      </c>
      <c r="AK52" s="269">
        <f>+'WICHE Public Grads-RE PROJ'!CA55/'WICHE Public Grads-RE PROJ'!AL55</f>
        <v>5.6565462531165199E-2</v>
      </c>
      <c r="AL52" s="269">
        <f>+'WICHE Public Grads-RE PROJ'!CB55/'WICHE Public Grads-RE PROJ'!AM55</f>
        <v>5.6574732162879685E-2</v>
      </c>
      <c r="AM52" s="269">
        <f>+'WICHE Public Grads-RE PROJ'!CC55/'WICHE Public Grads-RE PROJ'!AN55</f>
        <v>5.7727867373402054E-2</v>
      </c>
      <c r="AN52" s="269">
        <f>+'WICHE Public Grads-RE PROJ'!CD55/'WICHE Public Grads-RE PROJ'!AO55</f>
        <v>6.1395636854100197E-2</v>
      </c>
      <c r="AO52" s="269">
        <f>+'WICHE Public Grads-RE PROJ'!CE55/'WICHE Public Grads-RE PROJ'!AP55</f>
        <v>5.9890731783975776E-2</v>
      </c>
      <c r="AP52" s="283">
        <f>+'WICHE Public Grads-RE PROJ'!CF55/'WICHE Public Grads-RE PROJ'!AQ55</f>
        <v>6.138083776951872E-2</v>
      </c>
      <c r="AQ52" s="263">
        <f>+'WICHE Public Grads-RE PROJ'!CG55/'WICHE Public Grads-RE PROJ'!B55</f>
        <v>7.8660708770051276E-3</v>
      </c>
      <c r="AR52" s="263">
        <f>+'WICHE Public Grads-RE PROJ'!CH55/'WICHE Public Grads-RE PROJ'!C55</f>
        <v>9.434905151218342E-3</v>
      </c>
      <c r="AS52" s="263">
        <f>+'WICHE Public Grads-RE PROJ'!CI55/'WICHE Public Grads-RE PROJ'!D55</f>
        <v>9.5718509024001978E-3</v>
      </c>
      <c r="AT52" s="263">
        <f>+'WICHE Public Grads-RE PROJ'!CJ55/'WICHE Public Grads-RE PROJ'!E55</f>
        <v>8.5435391901034115E-3</v>
      </c>
      <c r="AU52" s="263">
        <f>+'WICHE Public Grads-RE PROJ'!CK55/'WICHE Public Grads-RE PROJ'!F55</f>
        <v>9.3120486507031544E-3</v>
      </c>
      <c r="AV52" s="263">
        <f>+'WICHE Public Grads-RE PROJ'!CL55/'WICHE Public Grads-RE PROJ'!G55</f>
        <v>8.6973853485295977E-3</v>
      </c>
      <c r="AW52" s="263">
        <f>+'WICHE Public Grads-RE PROJ'!CM55/'WICHE Public Grads-RE PROJ'!H55</f>
        <v>9.1829117989133263E-3</v>
      </c>
      <c r="AX52" s="263">
        <f>+'WICHE Public Grads-RE PROJ'!CN55/'WICHE Public Grads-RE PROJ'!I55</f>
        <v>9.2262313074495811E-3</v>
      </c>
      <c r="AY52" s="263">
        <f>+'WICHE Public Grads-RE PROJ'!CO55/'WICHE Public Grads-RE PROJ'!J55</f>
        <v>9.0870270731915614E-3</v>
      </c>
      <c r="AZ52" s="263">
        <f>+'WICHE Public Grads-RE PROJ'!CP55/'WICHE Public Grads-RE PROJ'!K55</f>
        <v>9.2179100453312207E-3</v>
      </c>
      <c r="BA52" s="263">
        <f>+'WICHE Public Grads-RE PROJ'!CQ55/'WICHE Public Grads-RE PROJ'!L55</f>
        <v>1.0284770945109368E-2</v>
      </c>
      <c r="BB52" s="263">
        <f>+'WICHE Public Grads-RE PROJ'!CR55/'WICHE Public Grads-RE PROJ'!M55</f>
        <v>1.055759261600708E-2</v>
      </c>
      <c r="BC52" s="263">
        <f>+'WICHE Public Grads-RE PROJ'!CS55/'WICHE Public Grads-RE PROJ'!N55</f>
        <v>1.0814143761709393E-2</v>
      </c>
      <c r="BD52" s="263">
        <f>+'WICHE Public Grads-RE PROJ'!CT55/'WICHE Public Grads-RE PROJ'!O55</f>
        <v>1.1070869379556848E-2</v>
      </c>
      <c r="BE52" s="263">
        <f>+'WICHE Public Grads-RE PROJ'!CU55/'WICHE Public Grads-RE PROJ'!P55</f>
        <v>1.2316873799660333E-2</v>
      </c>
      <c r="BF52" s="263">
        <f>+'WICHE Public Grads-RE PROJ'!CV55/'WICHE Public Grads-RE PROJ'!Q55</f>
        <v>1.2131065532766383E-2</v>
      </c>
      <c r="BG52" s="263">
        <f>+'WICHE Public Grads-RE PROJ'!CW55/'WICHE Public Grads-RE PROJ'!R55</f>
        <v>1.2273138701808755E-2</v>
      </c>
      <c r="BH52" s="263">
        <f>+'WICHE Public Grads-RE PROJ'!CX55/'WICHE Public Grads-RE PROJ'!S55</f>
        <v>1.2964378535392142E-2</v>
      </c>
      <c r="BI52" s="263">
        <f>+'WICHE Public Grads-RE PROJ'!CY55/'WICHE Public Grads-RE PROJ'!T55</f>
        <v>1.3804937622706263E-2</v>
      </c>
      <c r="BJ52" s="263">
        <f>+'WICHE Public Grads-RE PROJ'!CZ55/'WICHE Public Grads-RE PROJ'!U55</f>
        <v>1.2434004591285863E-2</v>
      </c>
      <c r="BK52" s="263">
        <f>+'WICHE Public Grads-RE PROJ'!DA55/'WICHE Public Grads-RE PROJ'!V55</f>
        <v>1.241856784036904E-2</v>
      </c>
      <c r="BL52" s="263">
        <f>+'WICHE Public Grads-RE PROJ'!DB55/'WICHE Public Grads-RE PROJ'!W55</f>
        <v>1.1283256772614166E-2</v>
      </c>
      <c r="BM52" s="269">
        <f>+'WICHE Public Grads-RE PROJ'!DC55/'WICHE Public Grads-RE PROJ'!Y55</f>
        <v>1.1158639753198845E-2</v>
      </c>
      <c r="BN52" s="269">
        <f>+'WICHE Public Grads-RE PROJ'!DD55/'WICHE Public Grads-RE PROJ'!Z55</f>
        <v>1.0174840238555053E-2</v>
      </c>
      <c r="BO52" s="269">
        <f>+'WICHE Public Grads-RE PROJ'!DE55/'WICHE Public Grads-RE PROJ'!AA55</f>
        <v>1.0710206864443879E-2</v>
      </c>
      <c r="BP52" s="269">
        <f>+'WICHE Public Grads-RE PROJ'!DF55/'WICHE Public Grads-RE PROJ'!AB55</f>
        <v>1.0322803265515702E-2</v>
      </c>
      <c r="BQ52" s="269">
        <f>+'WICHE Public Grads-RE PROJ'!DG55/'WICHE Public Grads-RE PROJ'!AC55</f>
        <v>1.0150181608733926E-2</v>
      </c>
      <c r="BR52" s="269">
        <f>+'WICHE Public Grads-RE PROJ'!DH55/'WICHE Public Grads-RE PROJ'!AD55</f>
        <v>9.8139828216701596E-3</v>
      </c>
      <c r="BS52" s="269">
        <f>+'WICHE Public Grads-RE PROJ'!DI55/'WICHE Public Grads-RE PROJ'!AE55</f>
        <v>9.9477225860000636E-3</v>
      </c>
      <c r="BT52" s="269">
        <f>+'WICHE Public Grads-RE PROJ'!DJ55/'WICHE Public Grads-RE PROJ'!AF55</f>
        <v>9.6037240704289865E-3</v>
      </c>
      <c r="BU52" s="269">
        <f>+'WICHE Public Grads-RE PROJ'!DK55/'WICHE Public Grads-RE PROJ'!AG55</f>
        <v>9.3297229336266989E-3</v>
      </c>
      <c r="BV52" s="269">
        <f>+'WICHE Public Grads-RE PROJ'!DL55/'WICHE Public Grads-RE PROJ'!AH55</f>
        <v>9.401131204724961E-3</v>
      </c>
      <c r="BW52" s="269">
        <f>+'WICHE Public Grads-RE PROJ'!DM55/'WICHE Public Grads-RE PROJ'!AI55</f>
        <v>9.2667558625076276E-3</v>
      </c>
      <c r="BX52" s="269">
        <f>+'WICHE Public Grads-RE PROJ'!DN55/'WICHE Public Grads-RE PROJ'!AJ55</f>
        <v>9.0780021038354957E-3</v>
      </c>
      <c r="BY52" s="269">
        <f>+'WICHE Public Grads-RE PROJ'!DO55/'WICHE Public Grads-RE PROJ'!AK55</f>
        <v>9.6591147131831444E-3</v>
      </c>
      <c r="BZ52" s="269">
        <f>+'WICHE Public Grads-RE PROJ'!DP55/'WICHE Public Grads-RE PROJ'!AL55</f>
        <v>9.889839516180398E-3</v>
      </c>
      <c r="CA52" s="269">
        <f>+'WICHE Public Grads-RE PROJ'!DQ55/'WICHE Public Grads-RE PROJ'!AM55</f>
        <v>9.8821961815510947E-3</v>
      </c>
      <c r="CB52" s="269">
        <f>+'WICHE Public Grads-RE PROJ'!DR55/'WICHE Public Grads-RE PROJ'!AN55</f>
        <v>7.6175474643816517E-3</v>
      </c>
      <c r="CC52" s="269">
        <f>+'WICHE Public Grads-RE PROJ'!DS55/'WICHE Public Grads-RE PROJ'!AO55</f>
        <v>7.7731696780140407E-3</v>
      </c>
      <c r="CD52" s="269">
        <f>+'WICHE Public Grads-RE PROJ'!DT55/'WICHE Public Grads-RE PROJ'!AP55</f>
        <v>7.8813284662098537E-3</v>
      </c>
      <c r="CE52" s="283">
        <f>+'WICHE Public Grads-RE PROJ'!DU55/'WICHE Public Grads-RE PROJ'!AQ55</f>
        <v>7.5954027988159754E-3</v>
      </c>
      <c r="CF52" s="263">
        <f>+'WICHE Public Grads-RE PROJ'!DV55/'WICHE Public Grads-RE PROJ'!B55</f>
        <v>1.8223750592014497E-2</v>
      </c>
      <c r="CG52" s="263">
        <f>+'WICHE Public Grads-RE PROJ'!DW55/'WICHE Public Grads-RE PROJ'!C55</f>
        <v>1.8070242069282587E-2</v>
      </c>
      <c r="CH52" s="263">
        <f>+'WICHE Public Grads-RE PROJ'!DX55/'WICHE Public Grads-RE PROJ'!D55</f>
        <v>1.9474478509850943E-2</v>
      </c>
      <c r="CI52" s="263">
        <f>+'WICHE Public Grads-RE PROJ'!DY55/'WICHE Public Grads-RE PROJ'!E55</f>
        <v>1.8691408137624432E-2</v>
      </c>
      <c r="CJ52" s="263">
        <f>+'WICHE Public Grads-RE PROJ'!DZ55/'WICHE Public Grads-RE PROJ'!F55</f>
        <v>1.839604713036868E-2</v>
      </c>
      <c r="CK52" s="263">
        <f>+'WICHE Public Grads-RE PROJ'!EA55/'WICHE Public Grads-RE PROJ'!G55</f>
        <v>1.9424160611716104E-2</v>
      </c>
      <c r="CL52" s="263">
        <f>+'WICHE Public Grads-RE PROJ'!EB55/'WICHE Public Grads-RE PROJ'!H55</f>
        <v>2.0657211797177426E-2</v>
      </c>
      <c r="CM52" s="263">
        <f>+'WICHE Public Grads-RE PROJ'!EC55/'WICHE Public Grads-RE PROJ'!I55</f>
        <v>2.3545753875703113E-2</v>
      </c>
      <c r="CN52" s="263">
        <f>+'WICHE Public Grads-RE PROJ'!ED55/'WICHE Public Grads-RE PROJ'!J55</f>
        <v>2.5962934494833036E-2</v>
      </c>
      <c r="CO52" s="263">
        <f>+'WICHE Public Grads-RE PROJ'!EE55/'WICHE Public Grads-RE PROJ'!K55</f>
        <v>2.6406700257831855E-2</v>
      </c>
      <c r="CP52" s="263">
        <f>+'WICHE Public Grads-RE PROJ'!EF55/'WICHE Public Grads-RE PROJ'!L55</f>
        <v>2.9005365249690468E-2</v>
      </c>
      <c r="CQ52" s="263">
        <f>+'WICHE Public Grads-RE PROJ'!EG55/'WICHE Public Grads-RE PROJ'!M55</f>
        <v>2.9381084840055634E-2</v>
      </c>
      <c r="CR52" s="263">
        <f>+'WICHE Public Grads-RE PROJ'!EH55/'WICHE Public Grads-RE PROJ'!N55</f>
        <v>3.0592643536414731E-2</v>
      </c>
      <c r="CS52" s="263">
        <f>+'WICHE Public Grads-RE PROJ'!EI55/'WICHE Public Grads-RE PROJ'!O55</f>
        <v>3.1805026174698318E-2</v>
      </c>
      <c r="CT52" s="263">
        <f>+'WICHE Public Grads-RE PROJ'!EJ55/'WICHE Public Grads-RE PROJ'!P55</f>
        <v>3.4125359109883659E-2</v>
      </c>
      <c r="CU52" s="263">
        <f>+'WICHE Public Grads-RE PROJ'!EK55/'WICHE Public Grads-RE PROJ'!Q55</f>
        <v>3.4423461730865433E-2</v>
      </c>
      <c r="CV52" s="263">
        <f>+'WICHE Public Grads-RE PROJ'!EL55/'WICHE Public Grads-RE PROJ'!R55</f>
        <v>3.7248975959989571E-2</v>
      </c>
      <c r="CW52" s="263">
        <f>+'WICHE Public Grads-RE PROJ'!EM55/'WICHE Public Grads-RE PROJ'!S55</f>
        <v>3.8724965601589972E-2</v>
      </c>
      <c r="CX52" s="263">
        <f>+'WICHE Public Grads-RE PROJ'!EN55/'WICHE Public Grads-RE PROJ'!T55</f>
        <v>3.4952927172383942E-2</v>
      </c>
      <c r="CY52" s="263">
        <f>+'WICHE Public Grads-RE PROJ'!EO55/'WICHE Public Grads-RE PROJ'!U55</f>
        <v>3.8312331866572159E-2</v>
      </c>
      <c r="CZ52" s="263">
        <f>+'WICHE Public Grads-RE PROJ'!EP55/'WICHE Public Grads-RE PROJ'!V55</f>
        <v>3.6929902942774401E-2</v>
      </c>
      <c r="DA52" s="263">
        <f>+'WICHE Public Grads-RE PROJ'!EQ55/'WICHE Public Grads-RE PROJ'!W55</f>
        <v>3.7960503754020013E-2</v>
      </c>
      <c r="DB52" s="269">
        <f>+'WICHE Public Grads-RE PROJ'!ER55/'WICHE Public Grads-RE PROJ'!Y55</f>
        <v>3.7920369711478531E-2</v>
      </c>
      <c r="DC52" s="269">
        <f>+'WICHE Public Grads-RE PROJ'!ES55/'WICHE Public Grads-RE PROJ'!Z55</f>
        <v>3.7037264651808316E-2</v>
      </c>
      <c r="DD52" s="269">
        <f>+'WICHE Public Grads-RE PROJ'!ET55/'WICHE Public Grads-RE PROJ'!AA55</f>
        <v>3.6006284437536173E-2</v>
      </c>
      <c r="DE52" s="269">
        <f>+'WICHE Public Grads-RE PROJ'!EU55/'WICHE Public Grads-RE PROJ'!AB55</f>
        <v>3.7133713819115247E-2</v>
      </c>
      <c r="DF52" s="269">
        <f>+'WICHE Public Grads-RE PROJ'!EV55/'WICHE Public Grads-RE PROJ'!AC55</f>
        <v>3.8096054156230887E-2</v>
      </c>
      <c r="DG52" s="269">
        <f>+'WICHE Public Grads-RE PROJ'!EW55/'WICHE Public Grads-RE PROJ'!AD55</f>
        <v>3.8789686416755106E-2</v>
      </c>
      <c r="DH52" s="269">
        <f>+'WICHE Public Grads-RE PROJ'!EX55/'WICHE Public Grads-RE PROJ'!AE55</f>
        <v>3.8608136805757823E-2</v>
      </c>
      <c r="DI52" s="269">
        <f>+'WICHE Public Grads-RE PROJ'!EY55/'WICHE Public Grads-RE PROJ'!AF55</f>
        <v>3.9640751615246619E-2</v>
      </c>
      <c r="DJ52" s="269">
        <f>+'WICHE Public Grads-RE PROJ'!EZ55/'WICHE Public Grads-RE PROJ'!AG55</f>
        <v>4.0248042382803974E-2</v>
      </c>
      <c r="DK52" s="269">
        <f>+'WICHE Public Grads-RE PROJ'!FA55/'WICHE Public Grads-RE PROJ'!AH55</f>
        <v>4.126075371965493E-2</v>
      </c>
      <c r="DL52" s="269">
        <f>+'WICHE Public Grads-RE PROJ'!FB55/'WICHE Public Grads-RE PROJ'!AI55</f>
        <v>4.2034969290804171E-2</v>
      </c>
      <c r="DM52" s="269">
        <f>+'WICHE Public Grads-RE PROJ'!FC55/'WICHE Public Grads-RE PROJ'!AJ55</f>
        <v>4.1916062940926882E-2</v>
      </c>
      <c r="DN52" s="269">
        <f>+'WICHE Public Grads-RE PROJ'!FD55/'WICHE Public Grads-RE PROJ'!AK55</f>
        <v>4.6398590228951396E-2</v>
      </c>
      <c r="DO52" s="269">
        <f>+'WICHE Public Grads-RE PROJ'!FE55/'WICHE Public Grads-RE PROJ'!AL55</f>
        <v>4.6675623014984804E-2</v>
      </c>
      <c r="DP52" s="269">
        <f>+'WICHE Public Grads-RE PROJ'!FF55/'WICHE Public Grads-RE PROJ'!AM55</f>
        <v>4.6692535981328595E-2</v>
      </c>
      <c r="DQ52" s="269">
        <f>+'WICHE Public Grads-RE PROJ'!FG55/'WICHE Public Grads-RE PROJ'!AN55</f>
        <v>5.0110319909020401E-2</v>
      </c>
      <c r="DR52" s="269">
        <f>+'WICHE Public Grads-RE PROJ'!FH55/'WICHE Public Grads-RE PROJ'!AO55</f>
        <v>5.362246717608616E-2</v>
      </c>
      <c r="DS52" s="269">
        <f>+'WICHE Public Grads-RE PROJ'!FI55/'WICHE Public Grads-RE PROJ'!AP55</f>
        <v>5.200940331776592E-2</v>
      </c>
      <c r="DT52" s="283">
        <f>+'WICHE Public Grads-RE PROJ'!FJ55/'WICHE Public Grads-RE PROJ'!AQ55</f>
        <v>5.3785434970702747E-2</v>
      </c>
      <c r="DU52" s="263">
        <f>+'WICHE Public Grads-RE PROJ'!FK55/'WICHE Public Grads-RE PROJ'!B55</f>
        <v>4.0154026728167536E-2</v>
      </c>
      <c r="DV52" s="263">
        <f>+'WICHE Public Grads-RE PROJ'!FL55/'WICHE Public Grads-RE PROJ'!C55</f>
        <v>4.1077817978291721E-2</v>
      </c>
      <c r="DW52" s="263">
        <f>+'WICHE Public Grads-RE PROJ'!FM55/'WICHE Public Grads-RE PROJ'!D55</f>
        <v>4.293895102437411E-2</v>
      </c>
      <c r="DX52" s="263">
        <f>+'WICHE Public Grads-RE PROJ'!FN55/'WICHE Public Grads-RE PROJ'!E55</f>
        <v>3.923842659708128E-2</v>
      </c>
      <c r="DY52" s="263">
        <f>+'WICHE Public Grads-RE PROJ'!FO55/'WICHE Public Grads-RE PROJ'!F55</f>
        <v>3.7875332573166096E-2</v>
      </c>
      <c r="DZ52" s="263">
        <f>+'WICHE Public Grads-RE PROJ'!FP55/'WICHE Public Grads-RE PROJ'!G55</f>
        <v>4.1022667560564607E-2</v>
      </c>
      <c r="EA52" s="263">
        <f>+'WICHE Public Grads-RE PROJ'!FQ55/'WICHE Public Grads-RE PROJ'!H55</f>
        <v>4.3935632822400053E-2</v>
      </c>
      <c r="EB52" s="263">
        <f>+'WICHE Public Grads-RE PROJ'!FR55/'WICHE Public Grads-RE PROJ'!I55</f>
        <v>4.4261901495404037E-2</v>
      </c>
      <c r="EC52" s="263">
        <f>+'WICHE Public Grads-RE PROJ'!FS55/'WICHE Public Grads-RE PROJ'!J55</f>
        <v>4.3949098983687762E-2</v>
      </c>
      <c r="ED52" s="263">
        <f>+'WICHE Public Grads-RE PROJ'!FT55/'WICHE Public Grads-RE PROJ'!K55</f>
        <v>4.7774725737685583E-2</v>
      </c>
      <c r="EE52" s="263">
        <f>+'WICHE Public Grads-RE PROJ'!FU55/'WICHE Public Grads-RE PROJ'!L55</f>
        <v>5.1968633924886501E-2</v>
      </c>
      <c r="EF52" s="263">
        <f>+'WICHE Public Grads-RE PROJ'!FV55/'WICHE Public Grads-RE PROJ'!M55</f>
        <v>5.0512074851435072E-2</v>
      </c>
      <c r="EG52" s="263">
        <f>+'WICHE Public Grads-RE PROJ'!FW55/'WICHE Public Grads-RE PROJ'!N55</f>
        <v>5.4916561924411668E-2</v>
      </c>
      <c r="EH52" s="263">
        <f>+'WICHE Public Grads-RE PROJ'!FX55/'WICHE Public Grads-RE PROJ'!O55</f>
        <v>5.9324044346739629E-2</v>
      </c>
      <c r="EI52" s="263">
        <f>+'WICHE Public Grads-RE PROJ'!FY55/'WICHE Public Grads-RE PROJ'!P55</f>
        <v>6.4123930606479057E-2</v>
      </c>
      <c r="EJ52" s="263">
        <f>+'WICHE Public Grads-RE PROJ'!FZ55/'WICHE Public Grads-RE PROJ'!Q55</f>
        <v>6.7721360680340167E-2</v>
      </c>
      <c r="EK52" s="263">
        <f>+'WICHE Public Grads-RE PROJ'!GA55/'WICHE Public Grads-RE PROJ'!R55</f>
        <v>7.405305064203857E-2</v>
      </c>
      <c r="EL52" s="263">
        <f>+'WICHE Public Grads-RE PROJ'!GB55/'WICHE Public Grads-RE PROJ'!S55</f>
        <v>7.5217856596850638E-2</v>
      </c>
      <c r="EM52" s="263">
        <f>+'WICHE Public Grads-RE PROJ'!GC55/'WICHE Public Grads-RE PROJ'!T55</f>
        <v>7.8068236276222419E-2</v>
      </c>
      <c r="EN52" s="263">
        <f>+'WICHE Public Grads-RE PROJ'!GD55/'WICHE Public Grads-RE PROJ'!U55</f>
        <v>8.0274364753381108E-2</v>
      </c>
      <c r="EO52" s="263">
        <f>+'WICHE Public Grads-RE PROJ'!GE55/'WICHE Public Grads-RE PROJ'!V55</f>
        <v>7.6725192338310877E-2</v>
      </c>
      <c r="EP52" s="263">
        <f>+'WICHE Public Grads-RE PROJ'!GF55/'WICHE Public Grads-RE PROJ'!W55</f>
        <v>7.8571420999334007E-2</v>
      </c>
      <c r="EQ52" s="269">
        <f>+'WICHE Public Grads-RE PROJ'!GG55/'WICHE Public Grads-RE PROJ'!Y55</f>
        <v>7.6153966837744835E-2</v>
      </c>
      <c r="ER52" s="269">
        <f>+'WICHE Public Grads-RE PROJ'!GH55/'WICHE Public Grads-RE PROJ'!Z55</f>
        <v>7.7344320533553029E-2</v>
      </c>
      <c r="ES52" s="269">
        <f>+'WICHE Public Grads-RE PROJ'!GI55/'WICHE Public Grads-RE PROJ'!AA55</f>
        <v>7.7186461920012411E-2</v>
      </c>
      <c r="ET52" s="269">
        <f>+'WICHE Public Grads-RE PROJ'!GJ55/'WICHE Public Grads-RE PROJ'!AB55</f>
        <v>7.6885516102800727E-2</v>
      </c>
      <c r="EU52" s="269">
        <f>+'WICHE Public Grads-RE PROJ'!GK55/'WICHE Public Grads-RE PROJ'!AC55</f>
        <v>7.4518635767915384E-2</v>
      </c>
      <c r="EV52" s="269">
        <f>+'WICHE Public Grads-RE PROJ'!GL55/'WICHE Public Grads-RE PROJ'!AD55</f>
        <v>7.1933861174140412E-2</v>
      </c>
      <c r="EW52" s="269">
        <f>+'WICHE Public Grads-RE PROJ'!GM55/'WICHE Public Grads-RE PROJ'!AE55</f>
        <v>7.2479970018882386E-2</v>
      </c>
      <c r="EX52" s="269">
        <f>+'WICHE Public Grads-RE PROJ'!GN55/'WICHE Public Grads-RE PROJ'!AF55</f>
        <v>7.1250200881055575E-2</v>
      </c>
      <c r="EY52" s="269">
        <f>+'WICHE Public Grads-RE PROJ'!GO55/'WICHE Public Grads-RE PROJ'!AG55</f>
        <v>7.0400990127899313E-2</v>
      </c>
      <c r="EZ52" s="269">
        <f>+'WICHE Public Grads-RE PROJ'!GP55/'WICHE Public Grads-RE PROJ'!AH55</f>
        <v>6.9568531113878021E-2</v>
      </c>
      <c r="FA52" s="269">
        <f>+'WICHE Public Grads-RE PROJ'!GQ55/'WICHE Public Grads-RE PROJ'!AI55</f>
        <v>7.1941403012368718E-2</v>
      </c>
      <c r="FB52" s="269">
        <f>+'WICHE Public Grads-RE PROJ'!GR55/'WICHE Public Grads-RE PROJ'!AJ55</f>
        <v>7.0958460360067421E-2</v>
      </c>
      <c r="FC52" s="269">
        <f>+'WICHE Public Grads-RE PROJ'!GS55/'WICHE Public Grads-RE PROJ'!AK55</f>
        <v>7.3935654823153479E-2</v>
      </c>
      <c r="FD52" s="269">
        <f>+'WICHE Public Grads-RE PROJ'!GT55/'WICHE Public Grads-RE PROJ'!AL55</f>
        <v>7.5933319854892448E-2</v>
      </c>
      <c r="FE52" s="269">
        <f>+'WICHE Public Grads-RE PROJ'!GU55/'WICHE Public Grads-RE PROJ'!AM55</f>
        <v>7.3562028417963887E-2</v>
      </c>
      <c r="FF52" s="269">
        <f>+'WICHE Public Grads-RE PROJ'!GV55/'WICHE Public Grads-RE PROJ'!AN55</f>
        <v>7.1265852792166337E-2</v>
      </c>
      <c r="FG52" s="269">
        <f>+'WICHE Public Grads-RE PROJ'!GW55/'WICHE Public Grads-RE PROJ'!AO55</f>
        <v>7.2802711627552461E-2</v>
      </c>
      <c r="FH52" s="269">
        <f>+'WICHE Public Grads-RE PROJ'!GX55/'WICHE Public Grads-RE PROJ'!AP55</f>
        <v>7.3878697332047688E-2</v>
      </c>
      <c r="FI52" s="283">
        <f>+'WICHE Public Grads-RE PROJ'!GY55/'WICHE Public Grads-RE PROJ'!AQ55</f>
        <v>7.719881353850562E-2</v>
      </c>
      <c r="FJ52" s="263">
        <f>+'WICHE Public Grads-RE PROJ'!GZ55/'WICHE Public Grads-RE PROJ'!B55</f>
        <v>1.6926466651566007E-2</v>
      </c>
      <c r="FK52" s="263">
        <f>+'WICHE Public Grads-RE PROJ'!HA55/'WICHE Public Grads-RE PROJ'!C55</f>
        <v>1.7950306834309471E-2</v>
      </c>
      <c r="FL52" s="263">
        <f>+'WICHE Public Grads-RE PROJ'!HB55/'WICHE Public Grads-RE PROJ'!D55</f>
        <v>1.9226395981063033E-2</v>
      </c>
      <c r="FM52" s="263">
        <f>+'WICHE Public Grads-RE PROJ'!HC55/'WICHE Public Grads-RE PROJ'!E55</f>
        <v>1.8208176282980573E-2</v>
      </c>
      <c r="FN52" s="263">
        <f>+'WICHE Public Grads-RE PROJ'!HD55/'WICHE Public Grads-RE PROJ'!F55</f>
        <v>1.9137210186240972E-2</v>
      </c>
      <c r="FO52" s="263">
        <f>+'WICHE Public Grads-RE PROJ'!HE55/'WICHE Public Grads-RE PROJ'!G55</f>
        <v>2.1489789631991881E-2</v>
      </c>
      <c r="FP52" s="263">
        <f>+'WICHE Public Grads-RE PROJ'!HF55/'WICHE Public Grads-RE PROJ'!H55</f>
        <v>2.2288957939139341E-2</v>
      </c>
      <c r="FQ52" s="263">
        <f>+'WICHE Public Grads-RE PROJ'!HG55/'WICHE Public Grads-RE PROJ'!I55</f>
        <v>2.4094525998079298E-2</v>
      </c>
      <c r="FR52" s="263">
        <f>+'WICHE Public Grads-RE PROJ'!HH55/'WICHE Public Grads-RE PROJ'!J55</f>
        <v>2.4698949526005636E-2</v>
      </c>
      <c r="FS52" s="263">
        <f>+'WICHE Public Grads-RE PROJ'!HI55/'WICHE Public Grads-RE PROJ'!K55</f>
        <v>2.6238182706728907E-2</v>
      </c>
      <c r="FT52" s="263">
        <f>+'WICHE Public Grads-RE PROJ'!HJ55/'WICHE Public Grads-RE PROJ'!L55</f>
        <v>2.958316137020223E-2</v>
      </c>
      <c r="FU52" s="263">
        <f>+'WICHE Public Grads-RE PROJ'!HK55/'WICHE Public Grads-RE PROJ'!M55</f>
        <v>2.9554937413073714E-2</v>
      </c>
      <c r="FV52" s="263">
        <f>+'WICHE Public Grads-RE PROJ'!HL55/'WICHE Public Grads-RE PROJ'!N55</f>
        <v>3.2181563782104489E-2</v>
      </c>
      <c r="FW52" s="263">
        <f>+'WICHE Public Grads-RE PROJ'!HM55/'WICHE Public Grads-RE PROJ'!O55</f>
        <v>3.4809976434863749E-2</v>
      </c>
      <c r="FX52" s="263">
        <f>+'WICHE Public Grads-RE PROJ'!HN55/'WICHE Public Grads-RE PROJ'!P55</f>
        <v>3.8569591924194083E-2</v>
      </c>
      <c r="FY52" s="263">
        <f>+'WICHE Public Grads-RE PROJ'!HO55/'WICHE Public Grads-RE PROJ'!Q55</f>
        <v>4.0332666333166581E-2</v>
      </c>
      <c r="FZ52" s="263">
        <f>+'WICHE Public Grads-RE PROJ'!HP55/'WICHE Public Grads-RE PROJ'!R55</f>
        <v>4.3569642391421075E-2</v>
      </c>
      <c r="GA52" s="263">
        <f>+'WICHE Public Grads-RE PROJ'!HQ55/'WICHE Public Grads-RE PROJ'!S55</f>
        <v>4.7729704938082859E-2</v>
      </c>
      <c r="GB52" s="263">
        <f>+'WICHE Public Grads-RE PROJ'!HR55/'WICHE Public Grads-RE PROJ'!T55</f>
        <v>5.2004266699645987E-2</v>
      </c>
      <c r="GC52" s="263">
        <f>+'WICHE Public Grads-RE PROJ'!HS55/'WICHE Public Grads-RE PROJ'!U55</f>
        <v>5.8563966632883761E-2</v>
      </c>
      <c r="GD52" s="263">
        <f>+'WICHE Public Grads-RE PROJ'!HT55/'WICHE Public Grads-RE PROJ'!V55</f>
        <v>6.3025277091141058E-2</v>
      </c>
      <c r="GE52" s="263">
        <f>+'WICHE Public Grads-RE PROJ'!HU55/'WICHE Public Grads-RE PROJ'!W55</f>
        <v>6.7643467643467639E-2</v>
      </c>
      <c r="GF52" s="269">
        <f>+'WICHE Public Grads-RE PROJ'!HV55/'WICHE Public Grads-RE PROJ'!Y55</f>
        <v>7.2583838760367309E-2</v>
      </c>
      <c r="GG52" s="269">
        <f>+'WICHE Public Grads-RE PROJ'!HW55/'WICHE Public Grads-RE PROJ'!Z55</f>
        <v>7.5311096351817194E-2</v>
      </c>
      <c r="GH52" s="269">
        <f>+'WICHE Public Grads-RE PROJ'!HX55/'WICHE Public Grads-RE PROJ'!AA55</f>
        <v>8.2143758186981511E-2</v>
      </c>
      <c r="GI52" s="269">
        <f>+'WICHE Public Grads-RE PROJ'!HY55/'WICHE Public Grads-RE PROJ'!AB55</f>
        <v>8.5522864407179905E-2</v>
      </c>
      <c r="GJ52" s="269">
        <f>+'WICHE Public Grads-RE PROJ'!HZ55/'WICHE Public Grads-RE PROJ'!AC55</f>
        <v>8.9016839633191971E-2</v>
      </c>
      <c r="GK52" s="269">
        <f>+'WICHE Public Grads-RE PROJ'!IA55/'WICHE Public Grads-RE PROJ'!AD55</f>
        <v>9.7841335536433344E-2</v>
      </c>
      <c r="GL52" s="269">
        <f>+'WICHE Public Grads-RE PROJ'!IB55/'WICHE Public Grads-RE PROJ'!AE55</f>
        <v>9.9420441590080802E-2</v>
      </c>
      <c r="GM52" s="269">
        <f>+'WICHE Public Grads-RE PROJ'!IC55/'WICHE Public Grads-RE PROJ'!AF55</f>
        <v>0.10362818378513121</v>
      </c>
      <c r="GN52" s="269">
        <f>+'WICHE Public Grads-RE PROJ'!ID55/'WICHE Public Grads-RE PROJ'!AG55</f>
        <v>0.10661617213416429</v>
      </c>
      <c r="GO52" s="269">
        <f>+'WICHE Public Grads-RE PROJ'!IE55/'WICHE Public Grads-RE PROJ'!AH55</f>
        <v>0.11048833053929297</v>
      </c>
      <c r="GP52" s="269">
        <f>+'WICHE Public Grads-RE PROJ'!IF55/'WICHE Public Grads-RE PROJ'!AI55</f>
        <v>0.11794592267775438</v>
      </c>
      <c r="GQ52" s="269">
        <f>+'WICHE Public Grads-RE PROJ'!IG55/'WICHE Public Grads-RE PROJ'!AJ55</f>
        <v>0.11743675142895522</v>
      </c>
      <c r="GR52" s="269">
        <f>+'WICHE Public Grads-RE PROJ'!IH55/'WICHE Public Grads-RE PROJ'!AK55</f>
        <v>0.12262284536581132</v>
      </c>
      <c r="GS52" s="269">
        <f>+'WICHE Public Grads-RE PROJ'!II55/'WICHE Public Grads-RE PROJ'!AL55</f>
        <v>0.12256230796151488</v>
      </c>
      <c r="GT52" s="269">
        <f>+'WICHE Public Grads-RE PROJ'!IJ55/'WICHE Public Grads-RE PROJ'!AM55</f>
        <v>0.11932153114789468</v>
      </c>
      <c r="GU52" s="269">
        <f>+'WICHE Public Grads-RE PROJ'!IK55/'WICHE Public Grads-RE PROJ'!AN55</f>
        <v>0.11996988905694293</v>
      </c>
      <c r="GV52" s="269">
        <f>+'WICHE Public Grads-RE PROJ'!IL55/'WICHE Public Grads-RE PROJ'!AO55</f>
        <v>0.12183943753182573</v>
      </c>
      <c r="GW52" s="269">
        <f>+'WICHE Public Grads-RE PROJ'!IM55/'WICHE Public Grads-RE PROJ'!AP55</f>
        <v>0.11991832175277232</v>
      </c>
      <c r="GX52" s="283">
        <f>+'WICHE Public Grads-RE PROJ'!IN55/'WICHE Public Grads-RE PROJ'!AQ55</f>
        <v>0.11854439077988273</v>
      </c>
      <c r="GY52" s="263">
        <f>+'WICHE Public Grads-RE PROJ'!IO55/'WICHE Public Grads-RE PROJ'!B55</f>
        <v>0.91682968515124685</v>
      </c>
      <c r="GZ52" s="263">
        <f>+'WICHE Public Grads-RE PROJ'!IP55/'WICHE Public Grads-RE PROJ'!C55</f>
        <v>0.91346672796689787</v>
      </c>
      <c r="HA52" s="263">
        <f>+'WICHE Public Grads-RE PROJ'!IQ55/'WICHE Public Grads-RE PROJ'!D55</f>
        <v>0.90878832358231176</v>
      </c>
      <c r="HB52" s="263">
        <f>+'WICHE Public Grads-RE PROJ'!IR55/'WICHE Public Grads-RE PROJ'!E55</f>
        <v>0.91531844979221033</v>
      </c>
      <c r="HC52" s="263">
        <f>+'WICHE Public Grads-RE PROJ'!IS55/'WICHE Public Grads-RE PROJ'!F55</f>
        <v>0.91527936145952105</v>
      </c>
      <c r="HD52" s="263">
        <f>+'WICHE Public Grads-RE PROJ'!IT55/'WICHE Public Grads-RE PROJ'!G55</f>
        <v>0.90936599684719777</v>
      </c>
      <c r="HE52" s="263">
        <f>+'WICHE Public Grads-RE PROJ'!IU55/'WICHE Public Grads-RE PROJ'!H55</f>
        <v>0.9039352856423698</v>
      </c>
      <c r="HF52" s="263">
        <f>+'WICHE Public Grads-RE PROJ'!IV55/'WICHE Public Grads-RE PROJ'!I55</f>
        <v>0.89887158732336392</v>
      </c>
      <c r="HG52" s="263">
        <f>+'WICHE Public Grads-RE PROJ'!IW55/'WICHE Public Grads-RE PROJ'!J55</f>
        <v>0.89630198992228205</v>
      </c>
      <c r="HH52" s="263">
        <f>+'WICHE Public Grads-RE PROJ'!IX55/'WICHE Public Grads-RE PROJ'!K55</f>
        <v>0.89036248125242246</v>
      </c>
      <c r="HI52" s="263">
        <f>+'WICHE Public Grads-RE PROJ'!IY55/'WICHE Public Grads-RE PROJ'!L55</f>
        <v>0.87915806851011147</v>
      </c>
      <c r="HJ52" s="263">
        <f>+'WICHE Public Grads-RE PROJ'!IZ55/'WICHE Public Grads-RE PROJ'!M55</f>
        <v>0.87999431027942854</v>
      </c>
      <c r="HK52" s="263">
        <f>+'WICHE Public Grads-RE PROJ'!JA55/'WICHE Public Grads-RE PROJ'!N55</f>
        <v>0.87149508699535971</v>
      </c>
      <c r="HL52" s="263">
        <f>+'WICHE Public Grads-RE PROJ'!JB55/'WICHE Public Grads-RE PROJ'!O55</f>
        <v>0.86299008366414143</v>
      </c>
      <c r="HM52" s="263">
        <f>+'WICHE Public Grads-RE PROJ'!JC55/'WICHE Public Grads-RE PROJ'!P55</f>
        <v>0.85086424455978282</v>
      </c>
      <c r="HN52" s="263">
        <f>+'WICHE Public Grads-RE PROJ'!JD55/'WICHE Public Grads-RE PROJ'!Q55</f>
        <v>0.8453914457228614</v>
      </c>
      <c r="HO52" s="263">
        <f>+'WICHE Public Grads-RE PROJ'!JE55/'WICHE Public Grads-RE PROJ'!R55</f>
        <v>0.83285519230474203</v>
      </c>
      <c r="HP52" s="263">
        <f>+'WICHE Public Grads-RE PROJ'!JF55/'WICHE Public Grads-RE PROJ'!S55</f>
        <v>0.82536309432808441</v>
      </c>
      <c r="HQ52" s="263">
        <f>+'WICHE Public Grads-RE PROJ'!JG55/'WICHE Public Grads-RE PROJ'!T55</f>
        <v>0.82116963222904138</v>
      </c>
      <c r="HR52" s="263">
        <f>+'WICHE Public Grads-RE PROJ'!JH55/'WICHE Public Grads-RE PROJ'!U55</f>
        <v>0.81041533215587713</v>
      </c>
      <c r="HS52" s="263">
        <f>+'WICHE Public Grads-RE PROJ'!JI55/'WICHE Public Grads-RE PROJ'!V55</f>
        <v>0.81090105978740457</v>
      </c>
      <c r="HT52" s="263">
        <f>+'WICHE Public Grads-RE PROJ'!JJ55/'WICHE Public Grads-RE PROJ'!W55</f>
        <v>0.80454135083056422</v>
      </c>
      <c r="HU52" s="269">
        <f>+'WICHE Public Grads-RE PROJ'!JK55/'WICHE Public Grads-RE PROJ'!Y55</f>
        <v>0.80165524373590424</v>
      </c>
      <c r="HV52" s="269">
        <f>+'WICHE Public Grads-RE PROJ'!JL55/'WICHE Public Grads-RE PROJ'!Z55</f>
        <v>0.79899776007488099</v>
      </c>
      <c r="HW52" s="269">
        <f>+'WICHE Public Grads-RE PROJ'!JM55/'WICHE Public Grads-RE PROJ'!AA55</f>
        <v>0.79254633833041743</v>
      </c>
      <c r="HX52" s="269">
        <f>+'WICHE Public Grads-RE PROJ'!JN55/'WICHE Public Grads-RE PROJ'!AB55</f>
        <v>0.78757066961201405</v>
      </c>
      <c r="HY52" s="269">
        <f>+'WICHE Public Grads-RE PROJ'!JO55/'WICHE Public Grads-RE PROJ'!AC55</f>
        <v>0.78668400449077724</v>
      </c>
      <c r="HZ52" s="269">
        <f>+'WICHE Public Grads-RE PROJ'!JP55/'WICHE Public Grads-RE PROJ'!AD55</f>
        <v>0.7803766208304892</v>
      </c>
      <c r="IA52" s="269">
        <f>+'WICHE Public Grads-RE PROJ'!JQ55/'WICHE Public Grads-RE PROJ'!AE55</f>
        <v>0.77803718073797623</v>
      </c>
      <c r="IB52" s="269">
        <f>+'WICHE Public Grads-RE PROJ'!JR55/'WICHE Public Grads-RE PROJ'!AF55</f>
        <v>0.77474466227965411</v>
      </c>
      <c r="IC52" s="269">
        <f>+'WICHE Public Grads-RE PROJ'!JS55/'WICHE Public Grads-RE PROJ'!AG55</f>
        <v>0.77242797747067427</v>
      </c>
      <c r="ID52" s="269">
        <f>+'WICHE Public Grads-RE PROJ'!JT55/'WICHE Public Grads-RE PROJ'!AH55</f>
        <v>0.7685031710179957</v>
      </c>
      <c r="IE52" s="269">
        <f>+'WICHE Public Grads-RE PROJ'!JU55/'WICHE Public Grads-RE PROJ'!AI55</f>
        <v>0.75632693952321861</v>
      </c>
      <c r="IF52" s="269">
        <f>+'WICHE Public Grads-RE PROJ'!JV55/'WICHE Public Grads-RE PROJ'!AJ55</f>
        <v>0.75887875999242993</v>
      </c>
      <c r="IG52" s="269">
        <f>+'WICHE Public Grads-RE PROJ'!JW55/'WICHE Public Grads-RE PROJ'!AK55</f>
        <v>0.74770380517102042</v>
      </c>
      <c r="IH52" s="269">
        <f>+'WICHE Public Grads-RE PROJ'!JX55/'WICHE Public Grads-RE PROJ'!AL55</f>
        <v>0.74406123465065621</v>
      </c>
      <c r="II52" s="269">
        <f>+'WICHE Public Grads-RE PROJ'!JY55/'WICHE Public Grads-RE PROJ'!AM55</f>
        <v>0.74943385390055439</v>
      </c>
      <c r="IJ52" s="269">
        <f>+'WICHE Public Grads-RE PROJ'!JZ55/'WICHE Public Grads-RE PROJ'!AN55</f>
        <v>0.7487059116136231</v>
      </c>
      <c r="IK52" s="269">
        <f>+'WICHE Public Grads-RE PROJ'!KA55/'WICHE Public Grads-RE PROJ'!AO55</f>
        <v>0.74333039076963381</v>
      </c>
      <c r="IL52" s="269">
        <f>+'WICHE Public Grads-RE PROJ'!KB55/'WICHE Public Grads-RE PROJ'!AP55</f>
        <v>0.7442985444661635</v>
      </c>
      <c r="IM52" s="283">
        <f>+'WICHE Public Grads-RE PROJ'!KC55/'WICHE Public Grads-RE PROJ'!AQ55</f>
        <v>0.73984823711355174</v>
      </c>
      <c r="IN52" s="448">
        <f t="shared" si="82"/>
        <v>1</v>
      </c>
      <c r="IO52" s="449">
        <f t="shared" si="83"/>
        <v>1</v>
      </c>
      <c r="IP52" s="449">
        <f t="shared" si="84"/>
        <v>1</v>
      </c>
      <c r="IQ52" s="449">
        <f t="shared" si="85"/>
        <v>1</v>
      </c>
      <c r="IR52" s="449">
        <f t="shared" si="86"/>
        <v>1</v>
      </c>
      <c r="IS52" s="449">
        <f t="shared" si="87"/>
        <v>1</v>
      </c>
      <c r="IT52" s="449">
        <f t="shared" si="88"/>
        <v>1</v>
      </c>
      <c r="IU52" s="449">
        <f t="shared" si="89"/>
        <v>1</v>
      </c>
      <c r="IV52" s="449">
        <f t="shared" si="90"/>
        <v>1</v>
      </c>
      <c r="IW52" s="449">
        <f t="shared" si="91"/>
        <v>1</v>
      </c>
      <c r="IX52" s="449">
        <f t="shared" si="92"/>
        <v>1</v>
      </c>
      <c r="IY52" s="449">
        <f t="shared" si="93"/>
        <v>1</v>
      </c>
      <c r="IZ52" s="449">
        <f t="shared" si="94"/>
        <v>1</v>
      </c>
      <c r="JA52" s="449">
        <f t="shared" si="95"/>
        <v>1</v>
      </c>
      <c r="JB52" s="449">
        <f t="shared" si="96"/>
        <v>1</v>
      </c>
      <c r="JC52" s="449">
        <f t="shared" si="97"/>
        <v>1</v>
      </c>
      <c r="JD52" s="449">
        <f t="shared" si="98"/>
        <v>1</v>
      </c>
      <c r="JE52" s="449">
        <f t="shared" si="99"/>
        <v>1</v>
      </c>
      <c r="JF52" s="449">
        <f t="shared" si="100"/>
        <v>1</v>
      </c>
      <c r="JG52" s="449">
        <f t="shared" si="101"/>
        <v>1</v>
      </c>
      <c r="JH52" s="449">
        <f t="shared" si="102"/>
        <v>1</v>
      </c>
      <c r="JI52" s="449">
        <f t="shared" si="103"/>
        <v>1</v>
      </c>
      <c r="JJ52" s="449">
        <f t="shared" si="104"/>
        <v>0.99947205879869372</v>
      </c>
      <c r="JK52" s="449">
        <f t="shared" si="105"/>
        <v>0.99886528185061452</v>
      </c>
      <c r="JL52" s="449">
        <f t="shared" si="106"/>
        <v>0.99859304973939134</v>
      </c>
      <c r="JM52" s="449">
        <f t="shared" si="107"/>
        <v>0.99743556720662563</v>
      </c>
      <c r="JN52" s="449">
        <f t="shared" si="108"/>
        <v>0.99846571565684938</v>
      </c>
      <c r="JO52" s="449">
        <f t="shared" si="109"/>
        <v>0.99875548677948822</v>
      </c>
      <c r="JP52" s="449">
        <f t="shared" si="110"/>
        <v>0.9984934517386973</v>
      </c>
      <c r="JQ52" s="449">
        <f t="shared" si="111"/>
        <v>0.99886752263151646</v>
      </c>
      <c r="JR52" s="449">
        <f t="shared" si="112"/>
        <v>0.99902290504916857</v>
      </c>
      <c r="JS52" s="449">
        <f t="shared" si="113"/>
        <v>0.99922191759554657</v>
      </c>
      <c r="JT52" s="449">
        <f t="shared" si="114"/>
        <v>0.9975159903666535</v>
      </c>
      <c r="JU52" s="449">
        <f t="shared" si="115"/>
        <v>0.9982680368262149</v>
      </c>
      <c r="JV52" s="449">
        <f t="shared" si="116"/>
        <v>1.0003200103021197</v>
      </c>
      <c r="JW52" s="449">
        <f t="shared" si="117"/>
        <v>0.99912232499822873</v>
      </c>
      <c r="JX52" s="449">
        <f t="shared" si="118"/>
        <v>0.99889214562929263</v>
      </c>
      <c r="JY52" s="449">
        <f t="shared" si="119"/>
        <v>0.99766952083613436</v>
      </c>
      <c r="JZ52" s="449">
        <f t="shared" si="119"/>
        <v>0.99936817678311218</v>
      </c>
      <c r="KA52" s="449">
        <f t="shared" si="119"/>
        <v>0.99798629533495931</v>
      </c>
      <c r="KB52" s="449">
        <f t="shared" si="119"/>
        <v>0.99697227920145881</v>
      </c>
    </row>
    <row r="53" spans="1:288" s="17" customFormat="1">
      <c r="A53" s="113" t="s">
        <v>77</v>
      </c>
      <c r="B53" s="262">
        <f>+'WICHE Public Grads-RE PROJ'!AR56/'WICHE Public Grads-RE PROJ'!B56</f>
        <v>4.0377031380314538E-2</v>
      </c>
      <c r="C53" s="262">
        <f>+'WICHE Public Grads-RE PROJ'!AS56/'WICHE Public Grads-RE PROJ'!C56</f>
        <v>4.2419425563856784E-2</v>
      </c>
      <c r="D53" s="262">
        <f>+'WICHE Public Grads-RE PROJ'!AT56/'WICHE Public Grads-RE PROJ'!D56</f>
        <v>4.4097713422248649E-2</v>
      </c>
      <c r="E53" s="262">
        <f>+'WICHE Public Grads-RE PROJ'!AU56/'WICHE Public Grads-RE PROJ'!E56</f>
        <v>4.3599297871179284E-2</v>
      </c>
      <c r="F53" s="262">
        <f>+'WICHE Public Grads-RE PROJ'!AV56/'WICHE Public Grads-RE PROJ'!F56</f>
        <v>4.6634644983739433E-2</v>
      </c>
      <c r="G53" s="262">
        <f>+'WICHE Public Grads-RE PROJ'!AW56/'WICHE Public Grads-RE PROJ'!G56</f>
        <v>4.5999939341764828E-2</v>
      </c>
      <c r="H53" s="267">
        <f>+'WICHE Public Grads-RE PROJ'!AX56/'WICHE Public Grads-RE PROJ'!H56</f>
        <v>4.6725116517297403E-2</v>
      </c>
      <c r="I53" s="267">
        <f>+'WICHE Public Grads-RE PROJ'!AY56/'WICHE Public Grads-RE PROJ'!I56</f>
        <v>4.7155118591041011E-2</v>
      </c>
      <c r="J53" s="267">
        <f>+'WICHE Public Grads-RE PROJ'!AZ56/'WICHE Public Grads-RE PROJ'!J56</f>
        <v>4.93087608367574E-2</v>
      </c>
      <c r="K53" s="267">
        <f>+'WICHE Public Grads-RE PROJ'!BA56/'WICHE Public Grads-RE PROJ'!K56</f>
        <v>5.0998969610937035E-2</v>
      </c>
      <c r="L53" s="262">
        <f>+'WICHE Public Grads-RE PROJ'!BB56/'WICHE Public Grads-RE PROJ'!L56</f>
        <v>5.1640784703030906E-2</v>
      </c>
      <c r="M53" s="267">
        <f>+'WICHE Public Grads-RE PROJ'!BC56/'WICHE Public Grads-RE PROJ'!M56</f>
        <v>5.2492644506360521E-2</v>
      </c>
      <c r="N53" s="267">
        <f>+'WICHE Public Grads-RE PROJ'!BD56/'WICHE Public Grads-RE PROJ'!N56</f>
        <v>5.2526830907619074E-2</v>
      </c>
      <c r="O53" s="267">
        <f>+'WICHE Public Grads-RE PROJ'!BE56/'WICHE Public Grads-RE PROJ'!O56</f>
        <v>5.3564646627575825E-2</v>
      </c>
      <c r="P53" s="267">
        <f>+'WICHE Public Grads-RE PROJ'!BF56/'WICHE Public Grads-RE PROJ'!P56</f>
        <v>5.5814382937141492E-2</v>
      </c>
      <c r="Q53" s="267">
        <f>+'WICHE Public Grads-RE PROJ'!BG56/'WICHE Public Grads-RE PROJ'!Q56</f>
        <v>5.5815478752443186E-2</v>
      </c>
      <c r="R53" s="267">
        <f>+'WICHE Public Grads-RE PROJ'!BH56/'WICHE Public Grads-RE PROJ'!R56</f>
        <v>5.6843427987883152E-2</v>
      </c>
      <c r="S53" s="267">
        <f>+'WICHE Public Grads-RE PROJ'!BI56/'WICHE Public Grads-RE PROJ'!S56</f>
        <v>5.9402707438574572E-2</v>
      </c>
      <c r="T53" s="267">
        <f>+'WICHE Public Grads-RE PROJ'!BJ56/'WICHE Public Grads-RE PROJ'!T56</f>
        <v>6.0681048567915744E-2</v>
      </c>
      <c r="U53" s="267">
        <f>+'WICHE Public Grads-RE PROJ'!BK56/'WICHE Public Grads-RE PROJ'!U56</f>
        <v>6.3010443736320199E-2</v>
      </c>
      <c r="V53" s="267">
        <f>+'WICHE Public Grads-RE PROJ'!BL56/'WICHE Public Grads-RE PROJ'!V56</f>
        <v>6.6061860107998055E-2</v>
      </c>
      <c r="W53" s="267">
        <f>+'WICHE Public Grads-RE PROJ'!BM56/'WICHE Public Grads-RE PROJ'!W56</f>
        <v>6.898440587818086E-2</v>
      </c>
      <c r="X53" s="268">
        <f>+'WICHE Public Grads-RE PROJ'!BN56/'WICHE Public Grads-RE PROJ'!Y56</f>
        <v>7.2036183680241728E-2</v>
      </c>
      <c r="Y53" s="268">
        <f>+'WICHE Public Grads-RE PROJ'!BO56/'WICHE Public Grads-RE PROJ'!Z56</f>
        <v>7.4251188538625362E-2</v>
      </c>
      <c r="Z53" s="268">
        <f>+'WICHE Public Grads-RE PROJ'!BP56/'WICHE Public Grads-RE PROJ'!AA56</f>
        <v>7.428701148045827E-2</v>
      </c>
      <c r="AA53" s="268">
        <f>+'WICHE Public Grads-RE PROJ'!BQ56/'WICHE Public Grads-RE PROJ'!AB56</f>
        <v>7.4992517281115806E-2</v>
      </c>
      <c r="AB53" s="268">
        <f>+'WICHE Public Grads-RE PROJ'!BR56/'WICHE Public Grads-RE PROJ'!AC56</f>
        <v>8.0739884254903277E-2</v>
      </c>
      <c r="AC53" s="268">
        <f>+'WICHE Public Grads-RE PROJ'!BS56/'WICHE Public Grads-RE PROJ'!AD56</f>
        <v>8.1531074361638131E-2</v>
      </c>
      <c r="AD53" s="268">
        <f>+'WICHE Public Grads-RE PROJ'!BT56/'WICHE Public Grads-RE PROJ'!AE56</f>
        <v>8.4553058651152257E-2</v>
      </c>
      <c r="AE53" s="268">
        <f>+'WICHE Public Grads-RE PROJ'!BU56/'WICHE Public Grads-RE PROJ'!AF56</f>
        <v>8.7422307395441975E-2</v>
      </c>
      <c r="AF53" s="268">
        <f>+'WICHE Public Grads-RE PROJ'!BV56/'WICHE Public Grads-RE PROJ'!AG56</f>
        <v>9.0080079781231073E-2</v>
      </c>
      <c r="AG53" s="268">
        <f>+'WICHE Public Grads-RE PROJ'!BW56/'WICHE Public Grads-RE PROJ'!AH56</f>
        <v>9.0400226906451095E-2</v>
      </c>
      <c r="AH53" s="268">
        <f>+'WICHE Public Grads-RE PROJ'!BX56/'WICHE Public Grads-RE PROJ'!AI56</f>
        <v>9.2127669324530856E-2</v>
      </c>
      <c r="AI53" s="268">
        <f>+'WICHE Public Grads-RE PROJ'!BY56/'WICHE Public Grads-RE PROJ'!AJ56</f>
        <v>9.4918388139969778E-2</v>
      </c>
      <c r="AJ53" s="268">
        <f>+'WICHE Public Grads-RE PROJ'!BZ56/'WICHE Public Grads-RE PROJ'!AK56</f>
        <v>9.7177332375562697E-2</v>
      </c>
      <c r="AK53" s="266">
        <f>+'WICHE Public Grads-RE PROJ'!CA56/'WICHE Public Grads-RE PROJ'!AL56</f>
        <v>9.8695477230444986E-2</v>
      </c>
      <c r="AL53" s="266">
        <f>+'WICHE Public Grads-RE PROJ'!CB56/'WICHE Public Grads-RE PROJ'!AM56</f>
        <v>0.10057406853840783</v>
      </c>
      <c r="AM53" s="266">
        <f>+'WICHE Public Grads-RE PROJ'!CC56/'WICHE Public Grads-RE PROJ'!AN56</f>
        <v>0.10370797079386271</v>
      </c>
      <c r="AN53" s="266">
        <f>+'WICHE Public Grads-RE PROJ'!CD56/'WICHE Public Grads-RE PROJ'!AO56</f>
        <v>0.11110323241640864</v>
      </c>
      <c r="AO53" s="266">
        <f>+'WICHE Public Grads-RE PROJ'!CE56/'WICHE Public Grads-RE PROJ'!AP56</f>
        <v>0.10718177109847254</v>
      </c>
      <c r="AP53" s="282">
        <f>+'WICHE Public Grads-RE PROJ'!CF56/'WICHE Public Grads-RE PROJ'!AQ56</f>
        <v>0.11074010337939026</v>
      </c>
      <c r="AQ53" s="262">
        <f>+'WICHE Public Grads-RE PROJ'!CG56/'WICHE Public Grads-RE PROJ'!B56</f>
        <v>1.8546166328395426E-3</v>
      </c>
      <c r="AR53" s="262">
        <f>+'WICHE Public Grads-RE PROJ'!CH56/'WICHE Public Grads-RE PROJ'!C56</f>
        <v>2.4084105803741027E-3</v>
      </c>
      <c r="AS53" s="262">
        <f>+'WICHE Public Grads-RE PROJ'!CI56/'WICHE Public Grads-RE PROJ'!D56</f>
        <v>1.8007009772076695E-3</v>
      </c>
      <c r="AT53" s="262">
        <f>+'WICHE Public Grads-RE PROJ'!CJ56/'WICHE Public Grads-RE PROJ'!E56</f>
        <v>1.994572709990467E-3</v>
      </c>
      <c r="AU53" s="262">
        <f>+'WICHE Public Grads-RE PROJ'!CK56/'WICHE Public Grads-RE PROJ'!F56</f>
        <v>2.0621077559804745E-3</v>
      </c>
      <c r="AV53" s="262">
        <f>+'WICHE Public Grads-RE PROJ'!CL56/'WICHE Public Grads-RE PROJ'!G56</f>
        <v>2.1836964661911995E-3</v>
      </c>
      <c r="AW53" s="267">
        <f>+'WICHE Public Grads-RE PROJ'!CM56/'WICHE Public Grads-RE PROJ'!H56</f>
        <v>2.0997448323332893E-3</v>
      </c>
      <c r="AX53" s="267">
        <f>+'WICHE Public Grads-RE PROJ'!CN56/'WICHE Public Grads-RE PROJ'!I56</f>
        <v>2.1177379996752499E-3</v>
      </c>
      <c r="AY53" s="267">
        <f>+'WICHE Public Grads-RE PROJ'!CO56/'WICHE Public Grads-RE PROJ'!J56</f>
        <v>2.2692472928761056E-3</v>
      </c>
      <c r="AZ53" s="267">
        <f>+'WICHE Public Grads-RE PROJ'!CP56/'WICHE Public Grads-RE PROJ'!K56</f>
        <v>2.4028515494998234E-3</v>
      </c>
      <c r="BA53" s="262">
        <f>+'WICHE Public Grads-RE PROJ'!CQ56/'WICHE Public Grads-RE PROJ'!L56</f>
        <v>2.3365975059970226E-3</v>
      </c>
      <c r="BB53" s="267">
        <f>+'WICHE Public Grads-RE PROJ'!CR56/'WICHE Public Grads-RE PROJ'!M56</f>
        <v>2.4319539839619811E-3</v>
      </c>
      <c r="BC53" s="267">
        <f>+'WICHE Public Grads-RE PROJ'!CS56/'WICHE Public Grads-RE PROJ'!N56</f>
        <v>2.6034205318368896E-3</v>
      </c>
      <c r="BD53" s="267">
        <f>+'WICHE Public Grads-RE PROJ'!CT56/'WICHE Public Grads-RE PROJ'!O56</f>
        <v>2.7794781884820708E-3</v>
      </c>
      <c r="BE53" s="267">
        <f>+'WICHE Public Grads-RE PROJ'!CU56/'WICHE Public Grads-RE PROJ'!P56</f>
        <v>2.5948994548595215E-3</v>
      </c>
      <c r="BF53" s="267">
        <f>+'WICHE Public Grads-RE PROJ'!CV56/'WICHE Public Grads-RE PROJ'!Q56</f>
        <v>2.584325979090623E-3</v>
      </c>
      <c r="BG53" s="267">
        <f>+'WICHE Public Grads-RE PROJ'!CW56/'WICHE Public Grads-RE PROJ'!R56</f>
        <v>2.6272476909733854E-3</v>
      </c>
      <c r="BH53" s="267">
        <f>+'WICHE Public Grads-RE PROJ'!CX56/'WICHE Public Grads-RE PROJ'!S56</f>
        <v>2.5906159783289431E-3</v>
      </c>
      <c r="BI53" s="267">
        <f>+'WICHE Public Grads-RE PROJ'!CY56/'WICHE Public Grads-RE PROJ'!T56</f>
        <v>2.890653566751139E-3</v>
      </c>
      <c r="BJ53" s="267">
        <f>+'WICHE Public Grads-RE PROJ'!CZ56/'WICHE Public Grads-RE PROJ'!U56</f>
        <v>3.1958136849988689E-3</v>
      </c>
      <c r="BK53" s="267">
        <f>+'WICHE Public Grads-RE PROJ'!DA56/'WICHE Public Grads-RE PROJ'!V56</f>
        <v>3.0057761198873994E-3</v>
      </c>
      <c r="BL53" s="267">
        <f>+'WICHE Public Grads-RE PROJ'!DB56/'WICHE Public Grads-RE PROJ'!W56</f>
        <v>2.7884555448439048E-3</v>
      </c>
      <c r="BM53" s="268">
        <f>+'WICHE Public Grads-RE PROJ'!DC56/'WICHE Public Grads-RE PROJ'!Y56</f>
        <v>2.8014694009943454E-3</v>
      </c>
      <c r="BN53" s="268">
        <f>+'WICHE Public Grads-RE PROJ'!DD56/'WICHE Public Grads-RE PROJ'!Z56</f>
        <v>3.1876525225959882E-3</v>
      </c>
      <c r="BO53" s="268">
        <f>+'WICHE Public Grads-RE PROJ'!DE56/'WICHE Public Grads-RE PROJ'!AA56</f>
        <v>3.205103935288672E-3</v>
      </c>
      <c r="BP53" s="268">
        <f>+'WICHE Public Grads-RE PROJ'!DF56/'WICHE Public Grads-RE PROJ'!AB56</f>
        <v>3.0965977314391263E-3</v>
      </c>
      <c r="BQ53" s="268">
        <f>+'WICHE Public Grads-RE PROJ'!DG56/'WICHE Public Grads-RE PROJ'!AC56</f>
        <v>3.0784854861089731E-3</v>
      </c>
      <c r="BR53" s="268">
        <f>+'WICHE Public Grads-RE PROJ'!DH56/'WICHE Public Grads-RE PROJ'!AD56</f>
        <v>3.3010724176938404E-3</v>
      </c>
      <c r="BS53" s="268">
        <f>+'WICHE Public Grads-RE PROJ'!DI56/'WICHE Public Grads-RE PROJ'!AE56</f>
        <v>3.4234726827352597E-3</v>
      </c>
      <c r="BT53" s="268">
        <f>+'WICHE Public Grads-RE PROJ'!DJ56/'WICHE Public Grads-RE PROJ'!AF56</f>
        <v>3.3779919613807527E-3</v>
      </c>
      <c r="BU53" s="268">
        <f>+'WICHE Public Grads-RE PROJ'!DK56/'WICHE Public Grads-RE PROJ'!AG56</f>
        <v>3.3782698072786399E-3</v>
      </c>
      <c r="BV53" s="268">
        <f>+'WICHE Public Grads-RE PROJ'!DL56/'WICHE Public Grads-RE PROJ'!AH56</f>
        <v>3.6669975021876165E-3</v>
      </c>
      <c r="BW53" s="268">
        <f>+'WICHE Public Grads-RE PROJ'!DM56/'WICHE Public Grads-RE PROJ'!AI56</f>
        <v>3.7195782281822846E-3</v>
      </c>
      <c r="BX53" s="268">
        <f>+'WICHE Public Grads-RE PROJ'!DN56/'WICHE Public Grads-RE PROJ'!AJ56</f>
        <v>3.8391036219432872E-3</v>
      </c>
      <c r="BY53" s="268">
        <f>+'WICHE Public Grads-RE PROJ'!DO56/'WICHE Public Grads-RE PROJ'!AK56</f>
        <v>3.6811607206802886E-3</v>
      </c>
      <c r="BZ53" s="266">
        <f>+'WICHE Public Grads-RE PROJ'!DP56/'WICHE Public Grads-RE PROJ'!AL56</f>
        <v>3.7521588915488545E-3</v>
      </c>
      <c r="CA53" s="266">
        <f>+'WICHE Public Grads-RE PROJ'!DQ56/'WICHE Public Grads-RE PROJ'!AM56</f>
        <v>3.7609500029737214E-3</v>
      </c>
      <c r="CB53" s="266">
        <f>+'WICHE Public Grads-RE PROJ'!DR56/'WICHE Public Grads-RE PROJ'!AN56</f>
        <v>3.5344660689349428E-3</v>
      </c>
      <c r="CC53" s="266">
        <f>+'WICHE Public Grads-RE PROJ'!DS56/'WICHE Public Grads-RE PROJ'!AO56</f>
        <v>3.5261412661582473E-3</v>
      </c>
      <c r="CD53" s="266">
        <f>+'WICHE Public Grads-RE PROJ'!DT56/'WICHE Public Grads-RE PROJ'!AP56</f>
        <v>3.7309312217130471E-3</v>
      </c>
      <c r="CE53" s="282">
        <f>+'WICHE Public Grads-RE PROJ'!DU56/'WICHE Public Grads-RE PROJ'!AQ56</f>
        <v>3.6256045409111285E-3</v>
      </c>
      <c r="CF53" s="262">
        <f>+'WICHE Public Grads-RE PROJ'!DV56/'WICHE Public Grads-RE PROJ'!B56</f>
        <v>3.8522414747475003E-2</v>
      </c>
      <c r="CG53" s="262">
        <f>+'WICHE Public Grads-RE PROJ'!DW56/'WICHE Public Grads-RE PROJ'!C56</f>
        <v>4.0011014983482682E-2</v>
      </c>
      <c r="CH53" s="262">
        <f>+'WICHE Public Grads-RE PROJ'!DX56/'WICHE Public Grads-RE PROJ'!D56</f>
        <v>4.2297012445040978E-2</v>
      </c>
      <c r="CI53" s="262">
        <f>+'WICHE Public Grads-RE PROJ'!DY56/'WICHE Public Grads-RE PROJ'!E56</f>
        <v>4.1604725161188814E-2</v>
      </c>
      <c r="CJ53" s="262">
        <f>+'WICHE Public Grads-RE PROJ'!DZ56/'WICHE Public Grads-RE PROJ'!F56</f>
        <v>4.4572537227758953E-2</v>
      </c>
      <c r="CK53" s="262">
        <f>+'WICHE Public Grads-RE PROJ'!EA56/'WICHE Public Grads-RE PROJ'!G56</f>
        <v>4.3816242875573626E-2</v>
      </c>
      <c r="CL53" s="267">
        <f>+'WICHE Public Grads-RE PROJ'!EB56/'WICHE Public Grads-RE PROJ'!H56</f>
        <v>4.462537168496411E-2</v>
      </c>
      <c r="CM53" s="267">
        <f>+'WICHE Public Grads-RE PROJ'!EC56/'WICHE Public Grads-RE PROJ'!I56</f>
        <v>4.5037380591365757E-2</v>
      </c>
      <c r="CN53" s="267">
        <f>+'WICHE Public Grads-RE PROJ'!ED56/'WICHE Public Grads-RE PROJ'!J56</f>
        <v>4.7039513543881292E-2</v>
      </c>
      <c r="CO53" s="267">
        <f>+'WICHE Public Grads-RE PROJ'!EE56/'WICHE Public Grads-RE PROJ'!K56</f>
        <v>4.859611806143721E-2</v>
      </c>
      <c r="CP53" s="262">
        <f>+'WICHE Public Grads-RE PROJ'!EF56/'WICHE Public Grads-RE PROJ'!L56</f>
        <v>4.9304187197033882E-2</v>
      </c>
      <c r="CQ53" s="267">
        <f>+'WICHE Public Grads-RE PROJ'!EG56/'WICHE Public Grads-RE PROJ'!M56</f>
        <v>5.0060690522398539E-2</v>
      </c>
      <c r="CR53" s="267">
        <f>+'WICHE Public Grads-RE PROJ'!EH56/'WICHE Public Grads-RE PROJ'!N56</f>
        <v>4.9923410375782185E-2</v>
      </c>
      <c r="CS53" s="267">
        <f>+'WICHE Public Grads-RE PROJ'!EI56/'WICHE Public Grads-RE PROJ'!O56</f>
        <v>5.0785168439093753E-2</v>
      </c>
      <c r="CT53" s="267">
        <f>+'WICHE Public Grads-RE PROJ'!EJ56/'WICHE Public Grads-RE PROJ'!P56</f>
        <v>5.3219483482281969E-2</v>
      </c>
      <c r="CU53" s="267">
        <f>+'WICHE Public Grads-RE PROJ'!EK56/'WICHE Public Grads-RE PROJ'!Q56</f>
        <v>5.3231152773352559E-2</v>
      </c>
      <c r="CV53" s="267">
        <f>+'WICHE Public Grads-RE PROJ'!EL56/'WICHE Public Grads-RE PROJ'!R56</f>
        <v>5.421618029690977E-2</v>
      </c>
      <c r="CW53" s="267">
        <f>+'WICHE Public Grads-RE PROJ'!EM56/'WICHE Public Grads-RE PROJ'!S56</f>
        <v>5.6812091460245635E-2</v>
      </c>
      <c r="CX53" s="267">
        <f>+'WICHE Public Grads-RE PROJ'!EN56/'WICHE Public Grads-RE PROJ'!T56</f>
        <v>5.7790395001164611E-2</v>
      </c>
      <c r="CY53" s="267">
        <f>+'WICHE Public Grads-RE PROJ'!EO56/'WICHE Public Grads-RE PROJ'!U56</f>
        <v>5.981463005132133E-2</v>
      </c>
      <c r="CZ53" s="267">
        <f>+'WICHE Public Grads-RE PROJ'!EP56/'WICHE Public Grads-RE PROJ'!V56</f>
        <v>6.3056083988110648E-2</v>
      </c>
      <c r="DA53" s="267">
        <f>+'WICHE Public Grads-RE PROJ'!EQ56/'WICHE Public Grads-RE PROJ'!W56</f>
        <v>6.6195950333336945E-2</v>
      </c>
      <c r="DB53" s="268">
        <f>+'WICHE Public Grads-RE PROJ'!ER56/'WICHE Public Grads-RE PROJ'!Y56</f>
        <v>6.9234714279247392E-2</v>
      </c>
      <c r="DC53" s="268">
        <f>+'WICHE Public Grads-RE PROJ'!ES56/'WICHE Public Grads-RE PROJ'!Z56</f>
        <v>7.1063536016029383E-2</v>
      </c>
      <c r="DD53" s="268">
        <f>+'WICHE Public Grads-RE PROJ'!ET56/'WICHE Public Grads-RE PROJ'!AA56</f>
        <v>7.1081907545169604E-2</v>
      </c>
      <c r="DE53" s="268">
        <f>+'WICHE Public Grads-RE PROJ'!EU56/'WICHE Public Grads-RE PROJ'!AB56</f>
        <v>7.1895919549676682E-2</v>
      </c>
      <c r="DF53" s="268">
        <f>+'WICHE Public Grads-RE PROJ'!EV56/'WICHE Public Grads-RE PROJ'!AC56</f>
        <v>7.7661398768794299E-2</v>
      </c>
      <c r="DG53" s="268">
        <f>+'WICHE Public Grads-RE PROJ'!EW56/'WICHE Public Grads-RE PROJ'!AD56</f>
        <v>7.8230001943944291E-2</v>
      </c>
      <c r="DH53" s="268">
        <f>+'WICHE Public Grads-RE PROJ'!EX56/'WICHE Public Grads-RE PROJ'!AE56</f>
        <v>8.1129585968417003E-2</v>
      </c>
      <c r="DI53" s="268">
        <f>+'WICHE Public Grads-RE PROJ'!EY56/'WICHE Public Grads-RE PROJ'!AF56</f>
        <v>8.4044315434061226E-2</v>
      </c>
      <c r="DJ53" s="268">
        <f>+'WICHE Public Grads-RE PROJ'!EZ56/'WICHE Public Grads-RE PROJ'!AG56</f>
        <v>8.6701809973952423E-2</v>
      </c>
      <c r="DK53" s="268">
        <f>+'WICHE Public Grads-RE PROJ'!FA56/'WICHE Public Grads-RE PROJ'!AH56</f>
        <v>8.6733229404263479E-2</v>
      </c>
      <c r="DL53" s="268">
        <f>+'WICHE Public Grads-RE PROJ'!FB56/'WICHE Public Grads-RE PROJ'!AI56</f>
        <v>8.8408091096348562E-2</v>
      </c>
      <c r="DM53" s="268">
        <f>+'WICHE Public Grads-RE PROJ'!FC56/'WICHE Public Grads-RE PROJ'!AJ56</f>
        <v>9.1079284518026493E-2</v>
      </c>
      <c r="DN53" s="268">
        <f>+'WICHE Public Grads-RE PROJ'!FD56/'WICHE Public Grads-RE PROJ'!AK56</f>
        <v>9.3496171654882415E-2</v>
      </c>
      <c r="DO53" s="266">
        <f>+'WICHE Public Grads-RE PROJ'!FE56/'WICHE Public Grads-RE PROJ'!AL56</f>
        <v>9.4943318338896132E-2</v>
      </c>
      <c r="DP53" s="266">
        <f>+'WICHE Public Grads-RE PROJ'!FF56/'WICHE Public Grads-RE PROJ'!AM56</f>
        <v>9.6813118535434117E-2</v>
      </c>
      <c r="DQ53" s="266">
        <f>+'WICHE Public Grads-RE PROJ'!FG56/'WICHE Public Grads-RE PROJ'!AN56</f>
        <v>0.10017350472492777</v>
      </c>
      <c r="DR53" s="266">
        <f>+'WICHE Public Grads-RE PROJ'!FH56/'WICHE Public Grads-RE PROJ'!AO56</f>
        <v>0.1075770911502504</v>
      </c>
      <c r="DS53" s="266">
        <f>+'WICHE Public Grads-RE PROJ'!FI56/'WICHE Public Grads-RE PROJ'!AP56</f>
        <v>0.1034508398767595</v>
      </c>
      <c r="DT53" s="282">
        <f>+'WICHE Public Grads-RE PROJ'!FJ56/'WICHE Public Grads-RE PROJ'!AQ56</f>
        <v>0.10711449883847914</v>
      </c>
      <c r="DU53" s="262">
        <f>+'WICHE Public Grads-RE PROJ'!FK56/'WICHE Public Grads-RE PROJ'!B56</f>
        <v>0.10550844977577946</v>
      </c>
      <c r="DV53" s="262">
        <f>+'WICHE Public Grads-RE PROJ'!FL56/'WICHE Public Grads-RE PROJ'!C56</f>
        <v>0.1077184224267218</v>
      </c>
      <c r="DW53" s="262">
        <f>+'WICHE Public Grads-RE PROJ'!FM56/'WICHE Public Grads-RE PROJ'!D56</f>
        <v>0.10996912955138269</v>
      </c>
      <c r="DX53" s="262">
        <f>+'WICHE Public Grads-RE PROJ'!FN56/'WICHE Public Grads-RE PROJ'!E56</f>
        <v>0.10950148338937059</v>
      </c>
      <c r="DY53" s="262">
        <f>+'WICHE Public Grads-RE PROJ'!FO56/'WICHE Public Grads-RE PROJ'!F56</f>
        <v>0.11132537722025218</v>
      </c>
      <c r="DZ53" s="262">
        <f>+'WICHE Public Grads-RE PROJ'!FP56/'WICHE Public Grads-RE PROJ'!G56</f>
        <v>0.11337490755451658</v>
      </c>
      <c r="EA53" s="267">
        <f>+'WICHE Public Grads-RE PROJ'!FQ56/'WICHE Public Grads-RE PROJ'!H56</f>
        <v>0.11100372901703667</v>
      </c>
      <c r="EB53" s="267">
        <f>+'WICHE Public Grads-RE PROJ'!FR56/'WICHE Public Grads-RE PROJ'!I56</f>
        <v>0.10798176824262051</v>
      </c>
      <c r="EC53" s="267">
        <f>+'WICHE Public Grads-RE PROJ'!FS56/'WICHE Public Grads-RE PROJ'!J56</f>
        <v>0.11420703026030249</v>
      </c>
      <c r="ED53" s="267">
        <f>+'WICHE Public Grads-RE PROJ'!FT56/'WICHE Public Grads-RE PROJ'!K56</f>
        <v>0.11450712347836062</v>
      </c>
      <c r="EE53" s="262">
        <f>+'WICHE Public Grads-RE PROJ'!FU56/'WICHE Public Grads-RE PROJ'!L56</f>
        <v>0.11212498000890614</v>
      </c>
      <c r="EF53" s="267">
        <f>+'WICHE Public Grads-RE PROJ'!FV56/'WICHE Public Grads-RE PROJ'!M56</f>
        <v>0.11498500510957776</v>
      </c>
      <c r="EG53" s="267">
        <f>+'WICHE Public Grads-RE PROJ'!FW56/'WICHE Public Grads-RE PROJ'!N56</f>
        <v>0.11823015747460869</v>
      </c>
      <c r="EH53" s="267">
        <f>+'WICHE Public Grads-RE PROJ'!FX56/'WICHE Public Grads-RE PROJ'!O56</f>
        <v>0.12167843300293131</v>
      </c>
      <c r="EI53" s="267">
        <f>+'WICHE Public Grads-RE PROJ'!FY56/'WICHE Public Grads-RE PROJ'!P56</f>
        <v>0.1242781793769933</v>
      </c>
      <c r="EJ53" s="267">
        <f>+'WICHE Public Grads-RE PROJ'!FZ56/'WICHE Public Grads-RE PROJ'!Q56</f>
        <v>0.12600592140444236</v>
      </c>
      <c r="EK53" s="267">
        <f>+'WICHE Public Grads-RE PROJ'!GA56/'WICHE Public Grads-RE PROJ'!R56</f>
        <v>0.12896327828365223</v>
      </c>
      <c r="EL53" s="267">
        <f>+'WICHE Public Grads-RE PROJ'!GB56/'WICHE Public Grads-RE PROJ'!S56</f>
        <v>0.13253788674733893</v>
      </c>
      <c r="EM53" s="267">
        <f>+'WICHE Public Grads-RE PROJ'!GC56/'WICHE Public Grads-RE PROJ'!T56</f>
        <v>0.13547872758615062</v>
      </c>
      <c r="EN53" s="267">
        <f>+'WICHE Public Grads-RE PROJ'!GD56/'WICHE Public Grads-RE PROJ'!U56</f>
        <v>0.13657552640743612</v>
      </c>
      <c r="EO53" s="267">
        <f>+'WICHE Public Grads-RE PROJ'!GE56/'WICHE Public Grads-RE PROJ'!V56</f>
        <v>0.13647289614147604</v>
      </c>
      <c r="EP53" s="267">
        <f>+'WICHE Public Grads-RE PROJ'!GF56/'WICHE Public Grads-RE PROJ'!W56</f>
        <v>0.13625375572573847</v>
      </c>
      <c r="EQ53" s="268">
        <f>+'WICHE Public Grads-RE PROJ'!GG56/'WICHE Public Grads-RE PROJ'!Y56</f>
        <v>0.13535810887613048</v>
      </c>
      <c r="ER53" s="268">
        <f>+'WICHE Public Grads-RE PROJ'!GH56/'WICHE Public Grads-RE PROJ'!Z56</f>
        <v>0.13732966488905107</v>
      </c>
      <c r="ES53" s="268">
        <f>+'WICHE Public Grads-RE PROJ'!GI56/'WICHE Public Grads-RE PROJ'!AA56</f>
        <v>0.13506059450623861</v>
      </c>
      <c r="ET53" s="268">
        <f>+'WICHE Public Grads-RE PROJ'!GJ56/'WICHE Public Grads-RE PROJ'!AB56</f>
        <v>0.13478331928899728</v>
      </c>
      <c r="EU53" s="268">
        <f>+'WICHE Public Grads-RE PROJ'!GK56/'WICHE Public Grads-RE PROJ'!AC56</f>
        <v>0.13522459866020525</v>
      </c>
      <c r="EV53" s="268">
        <f>+'WICHE Public Grads-RE PROJ'!GL56/'WICHE Public Grads-RE PROJ'!AD56</f>
        <v>0.135134563539245</v>
      </c>
      <c r="EW53" s="268">
        <f>+'WICHE Public Grads-RE PROJ'!GM56/'WICHE Public Grads-RE PROJ'!AE56</f>
        <v>0.13464053719628866</v>
      </c>
      <c r="EX53" s="268">
        <f>+'WICHE Public Grads-RE PROJ'!GN56/'WICHE Public Grads-RE PROJ'!AF56</f>
        <v>0.13202368462637307</v>
      </c>
      <c r="EY53" s="268">
        <f>+'WICHE Public Grads-RE PROJ'!GO56/'WICHE Public Grads-RE PROJ'!AG56</f>
        <v>0.1307529002458116</v>
      </c>
      <c r="EZ53" s="268">
        <f>+'WICHE Public Grads-RE PROJ'!GP56/'WICHE Public Grads-RE PROJ'!AH56</f>
        <v>0.13274397891029607</v>
      </c>
      <c r="FA53" s="268">
        <f>+'WICHE Public Grads-RE PROJ'!GQ56/'WICHE Public Grads-RE PROJ'!AI56</f>
        <v>0.13349357210018384</v>
      </c>
      <c r="FB53" s="268">
        <f>+'WICHE Public Grads-RE PROJ'!GR56/'WICHE Public Grads-RE PROJ'!AJ56</f>
        <v>0.13477917383698804</v>
      </c>
      <c r="FC53" s="268">
        <f>+'WICHE Public Grads-RE PROJ'!GS56/'WICHE Public Grads-RE PROJ'!AK56</f>
        <v>0.13704733199894018</v>
      </c>
      <c r="FD53" s="266">
        <f>+'WICHE Public Grads-RE PROJ'!GT56/'WICHE Public Grads-RE PROJ'!AL56</f>
        <v>0.13730011503492084</v>
      </c>
      <c r="FE53" s="266">
        <f>+'WICHE Public Grads-RE PROJ'!GU56/'WICHE Public Grads-RE PROJ'!AM56</f>
        <v>0.13576511574811259</v>
      </c>
      <c r="FF53" s="266">
        <f>+'WICHE Public Grads-RE PROJ'!GV56/'WICHE Public Grads-RE PROJ'!AN56</f>
        <v>0.13328730975224251</v>
      </c>
      <c r="FG53" s="266">
        <f>+'WICHE Public Grads-RE PROJ'!GW56/'WICHE Public Grads-RE PROJ'!AO56</f>
        <v>0.13328953786892206</v>
      </c>
      <c r="FH53" s="266">
        <f>+'WICHE Public Grads-RE PROJ'!GX56/'WICHE Public Grads-RE PROJ'!AP56</f>
        <v>0.13216879312196664</v>
      </c>
      <c r="FI53" s="282">
        <f>+'WICHE Public Grads-RE PROJ'!GY56/'WICHE Public Grads-RE PROJ'!AQ56</f>
        <v>0.12953135547285685</v>
      </c>
      <c r="FJ53" s="262">
        <f>+'WICHE Public Grads-RE PROJ'!GZ56/'WICHE Public Grads-RE PROJ'!B56</f>
        <v>5.6870215615375933E-2</v>
      </c>
      <c r="FK53" s="262">
        <f>+'WICHE Public Grads-RE PROJ'!HA56/'WICHE Public Grads-RE PROJ'!C56</f>
        <v>6.100650823837743E-2</v>
      </c>
      <c r="FL53" s="262">
        <f>+'WICHE Public Grads-RE PROJ'!HB56/'WICHE Public Grads-RE PROJ'!D56</f>
        <v>6.4518892881492346E-2</v>
      </c>
      <c r="FM53" s="262">
        <f>+'WICHE Public Grads-RE PROJ'!HC56/'WICHE Public Grads-RE PROJ'!E56</f>
        <v>6.4858511839993568E-2</v>
      </c>
      <c r="FN53" s="262">
        <f>+'WICHE Public Grads-RE PROJ'!HD56/'WICHE Public Grads-RE PROJ'!F56</f>
        <v>6.7301153733866526E-2</v>
      </c>
      <c r="FO53" s="262">
        <f>+'WICHE Public Grads-RE PROJ'!HE56/'WICHE Public Grads-RE PROJ'!G56</f>
        <v>7.1322419517020466E-2</v>
      </c>
      <c r="FP53" s="267">
        <f>+'WICHE Public Grads-RE PROJ'!HF56/'WICHE Public Grads-RE PROJ'!H56</f>
        <v>7.3470210739290956E-2</v>
      </c>
      <c r="FQ53" s="267">
        <f>+'WICHE Public Grads-RE PROJ'!HG56/'WICHE Public Grads-RE PROJ'!I56</f>
        <v>7.950436697700905E-2</v>
      </c>
      <c r="FR53" s="267">
        <f>+'WICHE Public Grads-RE PROJ'!HH56/'WICHE Public Grads-RE PROJ'!J56</f>
        <v>7.5909626675773029E-2</v>
      </c>
      <c r="FS53" s="267">
        <f>+'WICHE Public Grads-RE PROJ'!HI56/'WICHE Public Grads-RE PROJ'!K56</f>
        <v>7.8987744859976658E-2</v>
      </c>
      <c r="FT53" s="262">
        <f>+'WICHE Public Grads-RE PROJ'!HJ56/'WICHE Public Grads-RE PROJ'!L56</f>
        <v>7.7696879957766224E-2</v>
      </c>
      <c r="FU53" s="267">
        <f>+'WICHE Public Grads-RE PROJ'!HK56/'WICHE Public Grads-RE PROJ'!M56</f>
        <v>8.0516481413793028E-2</v>
      </c>
      <c r="FV53" s="267">
        <f>+'WICHE Public Grads-RE PROJ'!HL56/'WICHE Public Grads-RE PROJ'!N56</f>
        <v>8.463516671687131E-2</v>
      </c>
      <c r="FW53" s="267">
        <f>+'WICHE Public Grads-RE PROJ'!HM56/'WICHE Public Grads-RE PROJ'!O56</f>
        <v>9.0199551426335775E-2</v>
      </c>
      <c r="FX53" s="267">
        <f>+'WICHE Public Grads-RE PROJ'!HN56/'WICHE Public Grads-RE PROJ'!P56</f>
        <v>9.6873040360400564E-2</v>
      </c>
      <c r="FY53" s="267">
        <f>+'WICHE Public Grads-RE PROJ'!HO56/'WICHE Public Grads-RE PROJ'!Q56</f>
        <v>0.10290722698282272</v>
      </c>
      <c r="FZ53" s="267">
        <f>+'WICHE Public Grads-RE PROJ'!HP56/'WICHE Public Grads-RE PROJ'!R56</f>
        <v>0.10882708147364877</v>
      </c>
      <c r="GA53" s="267">
        <f>+'WICHE Public Grads-RE PROJ'!HQ56/'WICHE Public Grads-RE PROJ'!S56</f>
        <v>0.11495497971872044</v>
      </c>
      <c r="GB53" s="267">
        <f>+'WICHE Public Grads-RE PROJ'!HR56/'WICHE Public Grads-RE PROJ'!T56</f>
        <v>0.11977713874910137</v>
      </c>
      <c r="GC53" s="267">
        <f>+'WICHE Public Grads-RE PROJ'!HS56/'WICHE Public Grads-RE PROJ'!U56</f>
        <v>0.12667015204514465</v>
      </c>
      <c r="GD53" s="267">
        <f>+'WICHE Public Grads-RE PROJ'!HT56/'WICHE Public Grads-RE PROJ'!V56</f>
        <v>0.130792042617247</v>
      </c>
      <c r="GE53" s="267">
        <f>+'WICHE Public Grads-RE PROJ'!HU56/'WICHE Public Grads-RE PROJ'!W56</f>
        <v>0.13724554306360567</v>
      </c>
      <c r="GF53" s="268">
        <f>+'WICHE Public Grads-RE PROJ'!HV56/'WICHE Public Grads-RE PROJ'!Y56</f>
        <v>0.1427075180561605</v>
      </c>
      <c r="GG53" s="268">
        <f>+'WICHE Public Grads-RE PROJ'!HW56/'WICHE Public Grads-RE PROJ'!Z56</f>
        <v>0.14915155083241372</v>
      </c>
      <c r="GH53" s="268">
        <f>+'WICHE Public Grads-RE PROJ'!HX56/'WICHE Public Grads-RE PROJ'!AA56</f>
        <v>0.15135002373654841</v>
      </c>
      <c r="GI53" s="268">
        <f>+'WICHE Public Grads-RE PROJ'!HY56/'WICHE Public Grads-RE PROJ'!AB56</f>
        <v>0.15502088748959314</v>
      </c>
      <c r="GJ53" s="268">
        <f>+'WICHE Public Grads-RE PROJ'!HZ56/'WICHE Public Grads-RE PROJ'!AC56</f>
        <v>0.16205841855790398</v>
      </c>
      <c r="GK53" s="268">
        <f>+'WICHE Public Grads-RE PROJ'!IA56/'WICHE Public Grads-RE PROJ'!AD56</f>
        <v>0.16973112096383688</v>
      </c>
      <c r="GL53" s="268">
        <f>+'WICHE Public Grads-RE PROJ'!IB56/'WICHE Public Grads-RE PROJ'!AE56</f>
        <v>0.17691009076375033</v>
      </c>
      <c r="GM53" s="268">
        <f>+'WICHE Public Grads-RE PROJ'!IC56/'WICHE Public Grads-RE PROJ'!AF56</f>
        <v>0.18183593083517857</v>
      </c>
      <c r="GN53" s="268">
        <f>+'WICHE Public Grads-RE PROJ'!ID56/'WICHE Public Grads-RE PROJ'!AG56</f>
        <v>0.18997836363362192</v>
      </c>
      <c r="GO53" s="268">
        <f>+'WICHE Public Grads-RE PROJ'!IE56/'WICHE Public Grads-RE PROJ'!AH56</f>
        <v>0.20154386502429714</v>
      </c>
      <c r="GP53" s="268">
        <f>+'WICHE Public Grads-RE PROJ'!IF56/'WICHE Public Grads-RE PROJ'!AI56</f>
        <v>0.21192189243728504</v>
      </c>
      <c r="GQ53" s="268">
        <f>+'WICHE Public Grads-RE PROJ'!IG56/'WICHE Public Grads-RE PROJ'!AJ56</f>
        <v>0.22061336856623676</v>
      </c>
      <c r="GR53" s="268">
        <f>+'WICHE Public Grads-RE PROJ'!IH56/'WICHE Public Grads-RE PROJ'!AK56</f>
        <v>0.2158640648578167</v>
      </c>
      <c r="GS53" s="266">
        <f>+'WICHE Public Grads-RE PROJ'!II56/'WICHE Public Grads-RE PROJ'!AL56</f>
        <v>0.21841689172133291</v>
      </c>
      <c r="GT53" s="266">
        <f>+'WICHE Public Grads-RE PROJ'!IJ56/'WICHE Public Grads-RE PROJ'!AM56</f>
        <v>0.2183717737824169</v>
      </c>
      <c r="GU53" s="266">
        <f>+'WICHE Public Grads-RE PROJ'!IK56/'WICHE Public Grads-RE PROJ'!AN56</f>
        <v>0.22213524983203703</v>
      </c>
      <c r="GV53" s="266">
        <f>+'WICHE Public Grads-RE PROJ'!IL56/'WICHE Public Grads-RE PROJ'!AO56</f>
        <v>0.22062178888265541</v>
      </c>
      <c r="GW53" s="266">
        <f>+'WICHE Public Grads-RE PROJ'!IM56/'WICHE Public Grads-RE PROJ'!AP56</f>
        <v>0.22057580720639575</v>
      </c>
      <c r="GX53" s="282">
        <f>+'WICHE Public Grads-RE PROJ'!IN56/'WICHE Public Grads-RE PROJ'!AQ56</f>
        <v>0.22157770912298197</v>
      </c>
      <c r="GY53" s="262">
        <f>+'WICHE Public Grads-RE PROJ'!IO56/'WICHE Public Grads-RE PROJ'!B56</f>
        <v>0.7972443032285299</v>
      </c>
      <c r="GZ53" s="262">
        <f>+'WICHE Public Grads-RE PROJ'!IP56/'WICHE Public Grads-RE PROJ'!C56</f>
        <v>0.78885564377104389</v>
      </c>
      <c r="HA53" s="262">
        <f>+'WICHE Public Grads-RE PROJ'!IQ56/'WICHE Public Grads-RE PROJ'!D56</f>
        <v>0.78141426414487636</v>
      </c>
      <c r="HB53" s="262">
        <f>+'WICHE Public Grads-RE PROJ'!IR56/'WICHE Public Grads-RE PROJ'!E56</f>
        <v>0.78204070689945659</v>
      </c>
      <c r="HC53" s="262">
        <f>+'WICHE Public Grads-RE PROJ'!IS56/'WICHE Public Grads-RE PROJ'!F56</f>
        <v>0.77473882406214178</v>
      </c>
      <c r="HD53" s="262">
        <f>+'WICHE Public Grads-RE PROJ'!IT56/'WICHE Public Grads-RE PROJ'!G56</f>
        <v>0.7693027335866981</v>
      </c>
      <c r="HE53" s="267">
        <f>+'WICHE Public Grads-RE PROJ'!IU56/'WICHE Public Grads-RE PROJ'!H56</f>
        <v>0.76880094372637497</v>
      </c>
      <c r="HF53" s="267">
        <f>+'WICHE Public Grads-RE PROJ'!IV56/'WICHE Public Grads-RE PROJ'!I56</f>
        <v>0.76535874618932942</v>
      </c>
      <c r="HG53" s="267">
        <f>+'WICHE Public Grads-RE PROJ'!IW56/'WICHE Public Grads-RE PROJ'!J56</f>
        <v>0.76057458222716712</v>
      </c>
      <c r="HH53" s="267">
        <f>+'WICHE Public Grads-RE PROJ'!IX56/'WICHE Public Grads-RE PROJ'!K56</f>
        <v>0.75550616205822074</v>
      </c>
      <c r="HI53" s="262">
        <f>+'WICHE Public Grads-RE PROJ'!IY56/'WICHE Public Grads-RE PROJ'!L56</f>
        <v>0.75853735533144528</v>
      </c>
      <c r="HJ53" s="267">
        <f>+'WICHE Public Grads-RE PROJ'!IZ56/'WICHE Public Grads-RE PROJ'!M56</f>
        <v>0.75200586896347965</v>
      </c>
      <c r="HK53" s="267">
        <f>+'WICHE Public Grads-RE PROJ'!JA56/'WICHE Public Grads-RE PROJ'!N56</f>
        <v>0.74457936961829907</v>
      </c>
      <c r="HL53" s="267">
        <f>+'WICHE Public Grads-RE PROJ'!JB56/'WICHE Public Grads-RE PROJ'!O56</f>
        <v>0.73341145451692846</v>
      </c>
      <c r="HM53" s="267">
        <f>+'WICHE Public Grads-RE PROJ'!JC56/'WICHE Public Grads-RE PROJ'!P56</f>
        <v>0.72327484390208241</v>
      </c>
      <c r="HN53" s="267">
        <f>+'WICHE Public Grads-RE PROJ'!JD56/'WICHE Public Grads-RE PROJ'!Q56</f>
        <v>0.71321807276731564</v>
      </c>
      <c r="HO53" s="267">
        <f>+'WICHE Public Grads-RE PROJ'!JE56/'WICHE Public Grads-RE PROJ'!R56</f>
        <v>0.70127958369621701</v>
      </c>
      <c r="HP53" s="267">
        <f>+'WICHE Public Grads-RE PROJ'!JF56/'WICHE Public Grads-RE PROJ'!S56</f>
        <v>0.69237563825219828</v>
      </c>
      <c r="HQ53" s="267">
        <f>+'WICHE Public Grads-RE PROJ'!JG56/'WICHE Public Grads-RE PROJ'!T56</f>
        <v>0.68226941148072873</v>
      </c>
      <c r="HR53" s="267">
        <f>+'WICHE Public Grads-RE PROJ'!JH56/'WICHE Public Grads-RE PROJ'!U56</f>
        <v>0.67374387781109901</v>
      </c>
      <c r="HS53" s="267">
        <f>+'WICHE Public Grads-RE PROJ'!JI56/'WICHE Public Grads-RE PROJ'!V56</f>
        <v>0.66667139837325329</v>
      </c>
      <c r="HT53" s="267">
        <f>+'WICHE Public Grads-RE PROJ'!JJ56/'WICHE Public Grads-RE PROJ'!W56</f>
        <v>0.65751629533247502</v>
      </c>
      <c r="HU53" s="268">
        <f>+'WICHE Public Grads-RE PROJ'!JK56/'WICHE Public Grads-RE PROJ'!Y56</f>
        <v>0.64972358756968562</v>
      </c>
      <c r="HV53" s="268">
        <f>+'WICHE Public Grads-RE PROJ'!JL56/'WICHE Public Grads-RE PROJ'!Z56</f>
        <v>0.63826612903580349</v>
      </c>
      <c r="HW53" s="268">
        <f>+'WICHE Public Grads-RE PROJ'!JM56/'WICHE Public Grads-RE PROJ'!AA56</f>
        <v>0.64008924954013002</v>
      </c>
      <c r="HX53" s="268">
        <f>+'WICHE Public Grads-RE PROJ'!JN56/'WICHE Public Grads-RE PROJ'!AB56</f>
        <v>0.63330551728185647</v>
      </c>
      <c r="HY53" s="268">
        <f>+'WICHE Public Grads-RE PROJ'!JO56/'WICHE Public Grads-RE PROJ'!AC56</f>
        <v>0.62184523880649523</v>
      </c>
      <c r="HZ53" s="268">
        <f>+'WICHE Public Grads-RE PROJ'!JP56/'WICHE Public Grads-RE PROJ'!AD56</f>
        <v>0.61398565758886914</v>
      </c>
      <c r="IA53" s="268">
        <f>+'WICHE Public Grads-RE PROJ'!JQ56/'WICHE Public Grads-RE PROJ'!AE56</f>
        <v>0.60515655229214604</v>
      </c>
      <c r="IB53" s="268">
        <f>+'WICHE Public Grads-RE PROJ'!JR56/'WICHE Public Grads-RE PROJ'!AF56</f>
        <v>0.60117121871544366</v>
      </c>
      <c r="IC53" s="268">
        <f>+'WICHE Public Grads-RE PROJ'!JS56/'WICHE Public Grads-RE PROJ'!AG56</f>
        <v>0.59258673433006803</v>
      </c>
      <c r="ID53" s="268">
        <f>+'WICHE Public Grads-RE PROJ'!JT56/'WICHE Public Grads-RE PROJ'!AH56</f>
        <v>0.57944175303869538</v>
      </c>
      <c r="IE53" s="268">
        <f>+'WICHE Public Grads-RE PROJ'!JU56/'WICHE Public Grads-RE PROJ'!AI56</f>
        <v>0.56782243524766041</v>
      </c>
      <c r="IF53" s="268">
        <f>+'WICHE Public Grads-RE PROJ'!JV56/'WICHE Public Grads-RE PROJ'!AJ56</f>
        <v>0.55679373529803544</v>
      </c>
      <c r="IG53" s="268">
        <f>+'WICHE Public Grads-RE PROJ'!JW56/'WICHE Public Grads-RE PROJ'!AK56</f>
        <v>0.55801559611279705</v>
      </c>
      <c r="IH53" s="266">
        <f>+'WICHE Public Grads-RE PROJ'!JX56/'WICHE Public Grads-RE PROJ'!AL56</f>
        <v>0.55450118836926188</v>
      </c>
      <c r="II53" s="266">
        <f>+'WICHE Public Grads-RE PROJ'!JY56/'WICHE Public Grads-RE PROJ'!AM56</f>
        <v>0.55445264680944173</v>
      </c>
      <c r="IJ53" s="266">
        <f>+'WICHE Public Grads-RE PROJ'!JZ56/'WICHE Public Grads-RE PROJ'!AN56</f>
        <v>0.54239061633731422</v>
      </c>
      <c r="IK53" s="266">
        <f>+'WICHE Public Grads-RE PROJ'!KA56/'WICHE Public Grads-RE PROJ'!AO56</f>
        <v>0.53762155910531773</v>
      </c>
      <c r="IL53" s="266">
        <f>+'WICHE Public Grads-RE PROJ'!KB56/'WICHE Public Grads-RE PROJ'!AP56</f>
        <v>0.5415849670425219</v>
      </c>
      <c r="IM53" s="282">
        <f>+'WICHE Public Grads-RE PROJ'!KC56/'WICHE Public Grads-RE PROJ'!AQ56</f>
        <v>0.53933149017984294</v>
      </c>
      <c r="IN53" s="278">
        <f t="shared" si="82"/>
        <v>0.99999999999999978</v>
      </c>
      <c r="IO53" s="278">
        <f t="shared" si="83"/>
        <v>0.99999999999999989</v>
      </c>
      <c r="IP53" s="278">
        <f t="shared" si="84"/>
        <v>1</v>
      </c>
      <c r="IQ53" s="278">
        <f t="shared" si="85"/>
        <v>1</v>
      </c>
      <c r="IR53" s="278">
        <f t="shared" si="86"/>
        <v>0.99999999999999989</v>
      </c>
      <c r="IS53" s="278">
        <f t="shared" si="87"/>
        <v>1</v>
      </c>
      <c r="IT53" s="278">
        <f t="shared" si="88"/>
        <v>1</v>
      </c>
      <c r="IU53" s="278">
        <f t="shared" si="89"/>
        <v>1</v>
      </c>
      <c r="IV53" s="278">
        <f t="shared" si="90"/>
        <v>1</v>
      </c>
      <c r="IW53" s="278">
        <f t="shared" si="91"/>
        <v>1.0000000000074951</v>
      </c>
      <c r="IX53" s="278">
        <f t="shared" si="92"/>
        <v>1.0000000000011486</v>
      </c>
      <c r="IY53" s="278">
        <f t="shared" si="93"/>
        <v>0.99999999999321099</v>
      </c>
      <c r="IZ53" s="278">
        <f t="shared" si="94"/>
        <v>0.99997152471739814</v>
      </c>
      <c r="JA53" s="278">
        <f t="shared" si="95"/>
        <v>0.99885408557377131</v>
      </c>
      <c r="JB53" s="278">
        <f t="shared" si="96"/>
        <v>1.0002404465766177</v>
      </c>
      <c r="JC53" s="278">
        <f t="shared" si="97"/>
        <v>0.99794669990702389</v>
      </c>
      <c r="JD53" s="278">
        <f t="shared" si="98"/>
        <v>0.99591337144140124</v>
      </c>
      <c r="JE53" s="278">
        <f t="shared" si="99"/>
        <v>0.99927121215683223</v>
      </c>
      <c r="JF53" s="278">
        <f t="shared" si="100"/>
        <v>0.9982063263838965</v>
      </c>
      <c r="JG53" s="278">
        <f t="shared" si="101"/>
        <v>1</v>
      </c>
      <c r="JH53" s="278">
        <f t="shared" si="102"/>
        <v>0.99999819723997441</v>
      </c>
      <c r="JI53" s="278">
        <f t="shared" si="103"/>
        <v>1</v>
      </c>
      <c r="JJ53" s="278">
        <f t="shared" si="104"/>
        <v>0.99982539818221827</v>
      </c>
      <c r="JK53" s="278">
        <f t="shared" si="105"/>
        <v>0.99899853329589361</v>
      </c>
      <c r="JL53" s="278">
        <f t="shared" si="106"/>
        <v>1.0007868792633752</v>
      </c>
      <c r="JM53" s="278">
        <f t="shared" si="107"/>
        <v>0.99810224134156267</v>
      </c>
      <c r="JN53" s="278">
        <f t="shared" si="108"/>
        <v>0.99986814027950777</v>
      </c>
      <c r="JO53" s="278">
        <f t="shared" si="109"/>
        <v>1.0003824164535891</v>
      </c>
      <c r="JP53" s="278">
        <f t="shared" si="110"/>
        <v>1.0012602389033374</v>
      </c>
      <c r="JQ53" s="278">
        <f t="shared" si="111"/>
        <v>1.0024531415724374</v>
      </c>
      <c r="JR53" s="278">
        <f t="shared" si="112"/>
        <v>1.0033980779907326</v>
      </c>
      <c r="JS53" s="278">
        <f t="shared" si="113"/>
        <v>1.0041298238797398</v>
      </c>
      <c r="JT53" s="278">
        <f t="shared" si="114"/>
        <v>1.0053655691096601</v>
      </c>
      <c r="JU53" s="278">
        <f t="shared" si="115"/>
        <v>1.0071046658412302</v>
      </c>
      <c r="JV53" s="278">
        <f t="shared" si="116"/>
        <v>1.0081043253451165</v>
      </c>
      <c r="JW53" s="278">
        <f t="shared" si="117"/>
        <v>1.0089136723559606</v>
      </c>
      <c r="JX53" s="278">
        <f t="shared" si="118"/>
        <v>1.009163604878379</v>
      </c>
      <c r="JY53" s="278">
        <f t="shared" si="119"/>
        <v>1.0015211467154566</v>
      </c>
      <c r="JZ53" s="278">
        <f t="shared" si="119"/>
        <v>1.0026361182733039</v>
      </c>
      <c r="KA53" s="278">
        <f t="shared" si="119"/>
        <v>1.0015113384693568</v>
      </c>
      <c r="KB53" s="278">
        <f t="shared" si="119"/>
        <v>1.001180658155072</v>
      </c>
    </row>
    <row r="54" spans="1:288" s="17" customFormat="1">
      <c r="A54" s="113"/>
      <c r="B54" s="262"/>
      <c r="C54" s="262"/>
      <c r="D54" s="262"/>
      <c r="E54" s="262"/>
      <c r="F54" s="262"/>
      <c r="G54" s="262"/>
      <c r="H54" s="267"/>
      <c r="I54" s="267"/>
      <c r="J54" s="267"/>
      <c r="K54" s="267"/>
      <c r="L54" s="262"/>
      <c r="M54" s="267"/>
      <c r="N54" s="267"/>
      <c r="O54" s="267"/>
      <c r="P54" s="267"/>
      <c r="Q54" s="267"/>
      <c r="R54" s="267"/>
      <c r="S54" s="267"/>
      <c r="T54" s="267"/>
      <c r="U54" s="267"/>
      <c r="V54" s="267"/>
      <c r="W54" s="267"/>
      <c r="X54" s="268"/>
      <c r="Y54" s="268"/>
      <c r="Z54" s="268"/>
      <c r="AA54" s="268"/>
      <c r="AB54" s="266"/>
      <c r="AC54" s="266"/>
      <c r="AD54" s="266"/>
      <c r="AE54" s="266"/>
      <c r="AF54" s="266"/>
      <c r="AG54" s="268"/>
      <c r="AH54" s="266"/>
      <c r="AI54" s="266"/>
      <c r="AJ54" s="266"/>
      <c r="AK54" s="266"/>
      <c r="AL54" s="266"/>
      <c r="AM54" s="266"/>
      <c r="AN54" s="266"/>
      <c r="AO54" s="266"/>
      <c r="AP54" s="282"/>
      <c r="AQ54" s="262"/>
      <c r="AR54" s="262"/>
      <c r="AS54" s="262"/>
      <c r="AT54" s="262"/>
      <c r="AU54" s="262"/>
      <c r="AV54" s="262"/>
      <c r="AW54" s="267"/>
      <c r="AX54" s="267"/>
      <c r="AY54" s="267"/>
      <c r="AZ54" s="267"/>
      <c r="BA54" s="262"/>
      <c r="BB54" s="267"/>
      <c r="BC54" s="267"/>
      <c r="BD54" s="267"/>
      <c r="BE54" s="267"/>
      <c r="BF54" s="267"/>
      <c r="BG54" s="267"/>
      <c r="BH54" s="267"/>
      <c r="BI54" s="267"/>
      <c r="BJ54" s="267"/>
      <c r="BK54" s="267"/>
      <c r="BL54" s="267"/>
      <c r="BM54" s="268"/>
      <c r="BN54" s="268"/>
      <c r="BO54" s="268"/>
      <c r="BP54" s="268"/>
      <c r="BQ54" s="266"/>
      <c r="BR54" s="266"/>
      <c r="BS54" s="266"/>
      <c r="BT54" s="266"/>
      <c r="BU54" s="266"/>
      <c r="BV54" s="268"/>
      <c r="BW54" s="266"/>
      <c r="BX54" s="266"/>
      <c r="BY54" s="266"/>
      <c r="BZ54" s="266"/>
      <c r="CA54" s="266"/>
      <c r="CB54" s="266"/>
      <c r="CC54" s="266"/>
      <c r="CD54" s="266"/>
      <c r="CE54" s="282"/>
      <c r="CF54" s="262"/>
      <c r="CG54" s="262"/>
      <c r="CH54" s="262"/>
      <c r="CI54" s="262"/>
      <c r="CJ54" s="262"/>
      <c r="CK54" s="262"/>
      <c r="CL54" s="267"/>
      <c r="CM54" s="267"/>
      <c r="CN54" s="267"/>
      <c r="CO54" s="267"/>
      <c r="CP54" s="262"/>
      <c r="CQ54" s="267"/>
      <c r="CR54" s="267"/>
      <c r="CS54" s="267"/>
      <c r="CT54" s="267"/>
      <c r="CU54" s="267"/>
      <c r="CV54" s="267"/>
      <c r="CW54" s="267"/>
      <c r="CX54" s="267"/>
      <c r="CY54" s="267"/>
      <c r="CZ54" s="267"/>
      <c r="DA54" s="267"/>
      <c r="DB54" s="268"/>
      <c r="DC54" s="268"/>
      <c r="DD54" s="268"/>
      <c r="DE54" s="268"/>
      <c r="DF54" s="266"/>
      <c r="DG54" s="266"/>
      <c r="DH54" s="266"/>
      <c r="DI54" s="266"/>
      <c r="DJ54" s="266"/>
      <c r="DK54" s="268"/>
      <c r="DL54" s="266"/>
      <c r="DM54" s="266"/>
      <c r="DN54" s="266"/>
      <c r="DO54" s="266"/>
      <c r="DP54" s="266"/>
      <c r="DQ54" s="266"/>
      <c r="DR54" s="266"/>
      <c r="DS54" s="266"/>
      <c r="DT54" s="282"/>
      <c r="DU54" s="262"/>
      <c r="DV54" s="262"/>
      <c r="DW54" s="262"/>
      <c r="DX54" s="262"/>
      <c r="DY54" s="262"/>
      <c r="DZ54" s="262"/>
      <c r="EA54" s="267"/>
      <c r="EB54" s="267"/>
      <c r="EC54" s="267"/>
      <c r="ED54" s="267"/>
      <c r="EE54" s="262"/>
      <c r="EF54" s="267"/>
      <c r="EG54" s="267"/>
      <c r="EH54" s="267"/>
      <c r="EI54" s="267"/>
      <c r="EJ54" s="267"/>
      <c r="EK54" s="267"/>
      <c r="EL54" s="267"/>
      <c r="EM54" s="267"/>
      <c r="EN54" s="267"/>
      <c r="EO54" s="267"/>
      <c r="EP54" s="267"/>
      <c r="EQ54" s="268"/>
      <c r="ER54" s="268"/>
      <c r="ES54" s="268"/>
      <c r="ET54" s="268"/>
      <c r="EU54" s="266"/>
      <c r="EV54" s="266"/>
      <c r="EW54" s="266"/>
      <c r="EX54" s="266"/>
      <c r="EY54" s="266"/>
      <c r="EZ54" s="268"/>
      <c r="FA54" s="266"/>
      <c r="FB54" s="266"/>
      <c r="FC54" s="266"/>
      <c r="FD54" s="266"/>
      <c r="FE54" s="266"/>
      <c r="FF54" s="266"/>
      <c r="FG54" s="266"/>
      <c r="FH54" s="266"/>
      <c r="FI54" s="282"/>
      <c r="FJ54" s="262"/>
      <c r="FK54" s="262"/>
      <c r="FL54" s="262"/>
      <c r="FM54" s="262"/>
      <c r="FN54" s="262"/>
      <c r="FO54" s="262"/>
      <c r="FP54" s="267"/>
      <c r="FQ54" s="267"/>
      <c r="FR54" s="267"/>
      <c r="FS54" s="267"/>
      <c r="FT54" s="262"/>
      <c r="FU54" s="267"/>
      <c r="FV54" s="267"/>
      <c r="FW54" s="267"/>
      <c r="FX54" s="267"/>
      <c r="FY54" s="267"/>
      <c r="FZ54" s="267"/>
      <c r="GA54" s="267"/>
      <c r="GB54" s="267"/>
      <c r="GC54" s="267"/>
      <c r="GD54" s="267"/>
      <c r="GE54" s="267"/>
      <c r="GF54" s="268"/>
      <c r="GG54" s="268"/>
      <c r="GH54" s="268"/>
      <c r="GI54" s="268"/>
      <c r="GJ54" s="266"/>
      <c r="GK54" s="266"/>
      <c r="GL54" s="266"/>
      <c r="GM54" s="266"/>
      <c r="GN54" s="266"/>
      <c r="GO54" s="268"/>
      <c r="GP54" s="266"/>
      <c r="GQ54" s="266"/>
      <c r="GR54" s="266"/>
      <c r="GS54" s="266"/>
      <c r="GT54" s="266"/>
      <c r="GU54" s="266"/>
      <c r="GV54" s="266"/>
      <c r="GW54" s="266"/>
      <c r="GX54" s="282"/>
      <c r="GY54" s="262"/>
      <c r="GZ54" s="262"/>
      <c r="HA54" s="262"/>
      <c r="HB54" s="262"/>
      <c r="HC54" s="262"/>
      <c r="HD54" s="262"/>
      <c r="HE54" s="267"/>
      <c r="HF54" s="267"/>
      <c r="HG54" s="267"/>
      <c r="HH54" s="267"/>
      <c r="HI54" s="262"/>
      <c r="HJ54" s="267"/>
      <c r="HK54" s="267"/>
      <c r="HL54" s="267"/>
      <c r="HM54" s="267"/>
      <c r="HN54" s="267"/>
      <c r="HO54" s="267"/>
      <c r="HP54" s="267"/>
      <c r="HQ54" s="267"/>
      <c r="HR54" s="267"/>
      <c r="HS54" s="267"/>
      <c r="HT54" s="267"/>
      <c r="HU54" s="268"/>
      <c r="HV54" s="268"/>
      <c r="HW54" s="268"/>
      <c r="HX54" s="268"/>
      <c r="HY54" s="266"/>
      <c r="HZ54" s="266"/>
      <c r="IA54" s="266"/>
      <c r="IB54" s="266"/>
      <c r="IC54" s="266"/>
      <c r="ID54" s="268"/>
      <c r="IE54" s="266"/>
      <c r="IF54" s="266"/>
      <c r="IG54" s="266"/>
      <c r="IH54" s="266"/>
      <c r="II54" s="266"/>
      <c r="IJ54" s="266"/>
      <c r="IK54" s="266"/>
      <c r="IL54" s="266"/>
      <c r="IM54" s="282"/>
      <c r="IN54" s="278"/>
      <c r="IO54" s="278"/>
      <c r="IP54" s="278"/>
      <c r="IQ54" s="278"/>
      <c r="IR54" s="278"/>
      <c r="IS54" s="278"/>
      <c r="IT54" s="278"/>
      <c r="IU54" s="278"/>
      <c r="IV54" s="278"/>
      <c r="IW54" s="278"/>
      <c r="IX54" s="278"/>
      <c r="IY54" s="278"/>
      <c r="IZ54" s="278"/>
      <c r="JA54" s="278"/>
      <c r="JB54" s="278"/>
      <c r="JC54" s="278"/>
      <c r="JD54" s="278"/>
      <c r="JE54" s="278"/>
      <c r="JF54" s="278"/>
      <c r="JG54" s="278"/>
      <c r="JH54" s="278"/>
      <c r="JI54" s="278"/>
      <c r="JJ54" s="278"/>
      <c r="JK54" s="278"/>
      <c r="JL54" s="278"/>
      <c r="JM54" s="278"/>
      <c r="JN54" s="278"/>
      <c r="JO54" s="278"/>
      <c r="JP54" s="278"/>
      <c r="JQ54" s="278"/>
      <c r="JR54" s="278"/>
      <c r="JS54" s="278"/>
      <c r="JT54" s="278"/>
      <c r="JU54" s="278"/>
      <c r="JV54" s="278"/>
      <c r="JW54" s="278"/>
      <c r="JX54" s="278"/>
      <c r="JY54" s="278"/>
      <c r="JZ54" s="278"/>
      <c r="KA54" s="278"/>
      <c r="KB54" s="278"/>
    </row>
    <row r="55" spans="1:288">
      <c r="A55" s="175" t="s">
        <v>78</v>
      </c>
      <c r="B55" s="262">
        <f>+'WICHE Public Grads-RE PROJ'!AR58/'WICHE Public Grads-RE PROJ'!B58</f>
        <v>2.8433218861932719E-2</v>
      </c>
      <c r="C55" s="262">
        <f>+'WICHE Public Grads-RE PROJ'!AS58/'WICHE Public Grads-RE PROJ'!C58</f>
        <v>2.7314452031792232E-2</v>
      </c>
      <c r="D55" s="262">
        <f>+'WICHE Public Grads-RE PROJ'!AT58/'WICHE Public Grads-RE PROJ'!D58</f>
        <v>3.0763387770603876E-2</v>
      </c>
      <c r="E55" s="262">
        <f>+'WICHE Public Grads-RE PROJ'!AU58/'WICHE Public Grads-RE PROJ'!E58</f>
        <v>2.8965778029873324E-2</v>
      </c>
      <c r="F55" s="262">
        <f>+'WICHE Public Grads-RE PROJ'!AV58/'WICHE Public Grads-RE PROJ'!F58</f>
        <v>2.9788365819370038E-2</v>
      </c>
      <c r="G55" s="262">
        <f>+'WICHE Public Grads-RE PROJ'!AW58/'WICHE Public Grads-RE PROJ'!G58</f>
        <v>3.2298642199119466E-2</v>
      </c>
      <c r="H55" s="267">
        <f>+'WICHE Public Grads-RE PROJ'!AX58/'WICHE Public Grads-RE PROJ'!H58</f>
        <v>3.0769230769230771E-2</v>
      </c>
      <c r="I55" s="267">
        <f>+'WICHE Public Grads-RE PROJ'!AY58/'WICHE Public Grads-RE PROJ'!I58</f>
        <v>3.0299816150473766E-2</v>
      </c>
      <c r="J55" s="267">
        <f>+'WICHE Public Grads-RE PROJ'!AZ58/'WICHE Public Grads-RE PROJ'!J58</f>
        <v>3.1810404917305621E-2</v>
      </c>
      <c r="K55" s="267">
        <f>+'WICHE Public Grads-RE PROJ'!BA58/'WICHE Public Grads-RE PROJ'!K58</f>
        <v>3.3796235356061605E-2</v>
      </c>
      <c r="L55" s="262">
        <f>+'WICHE Public Grads-RE PROJ'!BB58/'WICHE Public Grads-RE PROJ'!L58</f>
        <v>3.4120085377548182E-2</v>
      </c>
      <c r="M55" s="267">
        <f>+'WICHE Public Grads-RE PROJ'!BC58/'WICHE Public Grads-RE PROJ'!M58</f>
        <v>3.4365996376273501E-2</v>
      </c>
      <c r="N55" s="267">
        <f>+'WICHE Public Grads-RE PROJ'!BD58/'WICHE Public Grads-RE PROJ'!N58</f>
        <v>3.5519046654904116E-2</v>
      </c>
      <c r="O55" s="267">
        <f>+'WICHE Public Grads-RE PROJ'!BE58/'WICHE Public Grads-RE PROJ'!O58</f>
        <v>3.5618752639729689E-2</v>
      </c>
      <c r="P55" s="267">
        <f>+'WICHE Public Grads-RE PROJ'!BF58/'WICHE Public Grads-RE PROJ'!P58</f>
        <v>3.7767102865661754E-2</v>
      </c>
      <c r="Q55" s="267">
        <f>+'WICHE Public Grads-RE PROJ'!BG58/'WICHE Public Grads-RE PROJ'!Q58</f>
        <v>3.5401294584587517E-2</v>
      </c>
      <c r="R55" s="267">
        <f>+'WICHE Public Grads-RE PROJ'!BH58/'WICHE Public Grads-RE PROJ'!R58</f>
        <v>3.6726619641323302E-2</v>
      </c>
      <c r="S55" s="267">
        <f>+'WICHE Public Grads-RE PROJ'!BI58/'WICHE Public Grads-RE PROJ'!S58</f>
        <v>3.7891786776481355E-2</v>
      </c>
      <c r="T55" s="267">
        <f>+'WICHE Public Grads-RE PROJ'!BJ58/'WICHE Public Grads-RE PROJ'!T58</f>
        <v>4.1136396579214377E-2</v>
      </c>
      <c r="U55" s="267">
        <f>+'WICHE Public Grads-RE PROJ'!BK58/'WICHE Public Grads-RE PROJ'!U58</f>
        <v>4.0981689480922533E-2</v>
      </c>
      <c r="V55" s="267">
        <f>+'WICHE Public Grads-RE PROJ'!BL58/'WICHE Public Grads-RE PROJ'!V58</f>
        <v>4.5198803285415971E-2</v>
      </c>
      <c r="W55" s="267">
        <f>+'WICHE Public Grads-RE PROJ'!BM58/'WICHE Public Grads-RE PROJ'!W58</f>
        <v>4.8358332984985465E-2</v>
      </c>
      <c r="X55" s="268">
        <f>+'WICHE Public Grads-RE PROJ'!BN58/'WICHE Public Grads-RE PROJ'!Y58</f>
        <v>4.7115610347823994E-2</v>
      </c>
      <c r="Y55" s="268">
        <f>+'WICHE Public Grads-RE PROJ'!BO58/'WICHE Public Grads-RE PROJ'!Z58</f>
        <v>4.8716515718344629E-2</v>
      </c>
      <c r="Z55" s="268">
        <f>+'WICHE Public Grads-RE PROJ'!BP58/'WICHE Public Grads-RE PROJ'!AA58</f>
        <v>5.2135680347654804E-2</v>
      </c>
      <c r="AA55" s="268">
        <f>+'WICHE Public Grads-RE PROJ'!BQ58/'WICHE Public Grads-RE PROJ'!AB58</f>
        <v>5.1578798084115515E-2</v>
      </c>
      <c r="AB55" s="266">
        <f>+'WICHE Public Grads-RE PROJ'!BR58/'WICHE Public Grads-RE PROJ'!AC58</f>
        <v>5.7023299304155908E-2</v>
      </c>
      <c r="AC55" s="266">
        <f>+'WICHE Public Grads-RE PROJ'!BS58/'WICHE Public Grads-RE PROJ'!AD58</f>
        <v>5.449709312499515E-2</v>
      </c>
      <c r="AD55" s="266">
        <f>+'WICHE Public Grads-RE PROJ'!BT58/'WICHE Public Grads-RE PROJ'!AE58</f>
        <v>5.9879153382545292E-2</v>
      </c>
      <c r="AE55" s="266">
        <f>+'WICHE Public Grads-RE PROJ'!BU58/'WICHE Public Grads-RE PROJ'!AF58</f>
        <v>6.0817626783362236E-2</v>
      </c>
      <c r="AF55" s="266">
        <f>+'WICHE Public Grads-RE PROJ'!BV58/'WICHE Public Grads-RE PROJ'!AG58</f>
        <v>6.1681751182577141E-2</v>
      </c>
      <c r="AG55" s="268">
        <f>+'WICHE Public Grads-RE PROJ'!BW58/'WICHE Public Grads-RE PROJ'!AH58</f>
        <v>6.2457682396925049E-2</v>
      </c>
      <c r="AH55" s="266">
        <f>+'WICHE Public Grads-RE PROJ'!BX58/'WICHE Public Grads-RE PROJ'!AI58</f>
        <v>6.0849205318141704E-2</v>
      </c>
      <c r="AI55" s="266">
        <f>+'WICHE Public Grads-RE PROJ'!BY58/'WICHE Public Grads-RE PROJ'!AJ58</f>
        <v>6.5235346722721077E-2</v>
      </c>
      <c r="AJ55" s="266">
        <f>+'WICHE Public Grads-RE PROJ'!BZ58/'WICHE Public Grads-RE PROJ'!AK58</f>
        <v>6.7676112163419608E-2</v>
      </c>
      <c r="AK55" s="266">
        <f>+'WICHE Public Grads-RE PROJ'!CA58/'WICHE Public Grads-RE PROJ'!AL58</f>
        <v>6.755381327129345E-2</v>
      </c>
      <c r="AL55" s="266">
        <f>+'WICHE Public Grads-RE PROJ'!CB58/'WICHE Public Grads-RE PROJ'!AM58</f>
        <v>7.3487890848876553E-2</v>
      </c>
      <c r="AM55" s="266">
        <f>+'WICHE Public Grads-RE PROJ'!CC58/'WICHE Public Grads-RE PROJ'!AN58</f>
        <v>7.0927339575492868E-2</v>
      </c>
      <c r="AN55" s="266">
        <f>+'WICHE Public Grads-RE PROJ'!CD58/'WICHE Public Grads-RE PROJ'!AO58</f>
        <v>7.3926663385991076E-2</v>
      </c>
      <c r="AO55" s="266">
        <f>+'WICHE Public Grads-RE PROJ'!CE58/'WICHE Public Grads-RE PROJ'!AP58</f>
        <v>7.2086147323146874E-2</v>
      </c>
      <c r="AP55" s="282">
        <f>+'WICHE Public Grads-RE PROJ'!CF58/'WICHE Public Grads-RE PROJ'!AQ58</f>
        <v>7.3178187273696946E-2</v>
      </c>
      <c r="AQ55" s="262">
        <f>+'WICHE Public Grads-RE PROJ'!CG58/'WICHE Public Grads-RE PROJ'!B58</f>
        <v>1.8832391713747645E-3</v>
      </c>
      <c r="AR55" s="262">
        <f>+'WICHE Public Grads-RE PROJ'!CH58/'WICHE Public Grads-RE PROJ'!C58</f>
        <v>1.6791671331019813E-3</v>
      </c>
      <c r="AS55" s="262">
        <f>+'WICHE Public Grads-RE PROJ'!CI58/'WICHE Public Grads-RE PROJ'!D58</f>
        <v>2.1268515001898977E-3</v>
      </c>
      <c r="AT55" s="262">
        <f>+'WICHE Public Grads-RE PROJ'!CJ58/'WICHE Public Grads-RE PROJ'!E58</f>
        <v>2.2310455662696163E-3</v>
      </c>
      <c r="AU55" s="262">
        <f>+'WICHE Public Grads-RE PROJ'!CK58/'WICHE Public Grads-RE PROJ'!F58</f>
        <v>2.2417265093658575E-3</v>
      </c>
      <c r="AV55" s="262">
        <f>+'WICHE Public Grads-RE PROJ'!CL58/'WICHE Public Grads-RE PROJ'!G58</f>
        <v>2.4418217470124682E-3</v>
      </c>
      <c r="AW55" s="267">
        <f>+'WICHE Public Grads-RE PROJ'!CM58/'WICHE Public Grads-RE PROJ'!H58</f>
        <v>2.2592791823561054E-3</v>
      </c>
      <c r="AX55" s="267">
        <f>+'WICHE Public Grads-RE PROJ'!CN58/'WICHE Public Grads-RE PROJ'!I58</f>
        <v>2.3688304341677275E-3</v>
      </c>
      <c r="AY55" s="267">
        <f>+'WICHE Public Grads-RE PROJ'!CO58/'WICHE Public Grads-RE PROJ'!J58</f>
        <v>2.6614282998542551E-3</v>
      </c>
      <c r="AZ55" s="267">
        <f>+'WICHE Public Grads-RE PROJ'!CP58/'WICHE Public Grads-RE PROJ'!K58</f>
        <v>2.171909964459655E-3</v>
      </c>
      <c r="BA55" s="262">
        <f>+'WICHE Public Grads-RE PROJ'!CQ58/'WICHE Public Grads-RE PROJ'!L58</f>
        <v>2.2891081758282549E-3</v>
      </c>
      <c r="BB55" s="267">
        <f>+'WICHE Public Grads-RE PROJ'!CR58/'WICHE Public Grads-RE PROJ'!M58</f>
        <v>2.5841328303680164E-3</v>
      </c>
      <c r="BC55" s="267">
        <f>+'WICHE Public Grads-RE PROJ'!CS58/'WICHE Public Grads-RE PROJ'!N58</f>
        <v>2.9502791195441529E-3</v>
      </c>
      <c r="BD55" s="267">
        <f>+'WICHE Public Grads-RE PROJ'!CT58/'WICHE Public Grads-RE PROJ'!O58</f>
        <v>2.6186118541461356E-3</v>
      </c>
      <c r="BE55" s="267">
        <f>+'WICHE Public Grads-RE PROJ'!CU58/'WICHE Public Grads-RE PROJ'!P58</f>
        <v>3.2300811661421236E-3</v>
      </c>
      <c r="BF55" s="267">
        <f>+'WICHE Public Grads-RE PROJ'!CV58/'WICHE Public Grads-RE PROJ'!Q58</f>
        <v>2.7170293812098772E-3</v>
      </c>
      <c r="BG55" s="267">
        <f>+'WICHE Public Grads-RE PROJ'!CW58/'WICHE Public Grads-RE PROJ'!R58</f>
        <v>2.7069939352924333E-3</v>
      </c>
      <c r="BH55" s="267">
        <f>+'WICHE Public Grads-RE PROJ'!CX58/'WICHE Public Grads-RE PROJ'!S58</f>
        <v>2.2020132692747653E-3</v>
      </c>
      <c r="BI55" s="267">
        <f>+'WICHE Public Grads-RE PROJ'!CY58/'WICHE Public Grads-RE PROJ'!T58</f>
        <v>2.7540223220756631E-3</v>
      </c>
      <c r="BJ55" s="267">
        <f>+'WICHE Public Grads-RE PROJ'!CZ58/'WICHE Public Grads-RE PROJ'!U58</f>
        <v>4.3485360495497012E-3</v>
      </c>
      <c r="BK55" s="267">
        <f>+'WICHE Public Grads-RE PROJ'!DA58/'WICHE Public Grads-RE PROJ'!V58</f>
        <v>5.5565059717345468E-3</v>
      </c>
      <c r="BL55" s="267">
        <f>+'WICHE Public Grads-RE PROJ'!DB58/'WICHE Public Grads-RE PROJ'!W58</f>
        <v>3.7287134658567779E-3</v>
      </c>
      <c r="BM55" s="268">
        <f>+'WICHE Public Grads-RE PROJ'!DC58/'WICHE Public Grads-RE PROJ'!Y58</f>
        <v>2.8532101163171036E-3</v>
      </c>
      <c r="BN55" s="268">
        <f>+'WICHE Public Grads-RE PROJ'!DD58/'WICHE Public Grads-RE PROJ'!Z58</f>
        <v>2.9670729985899562E-3</v>
      </c>
      <c r="BO55" s="268">
        <f>+'WICHE Public Grads-RE PROJ'!DE58/'WICHE Public Grads-RE PROJ'!AA58</f>
        <v>3.3007914800880457E-3</v>
      </c>
      <c r="BP55" s="268">
        <f>+'WICHE Public Grads-RE PROJ'!DF58/'WICHE Public Grads-RE PROJ'!AB58</f>
        <v>2.9715825458957686E-3</v>
      </c>
      <c r="BQ55" s="266">
        <f>+'WICHE Public Grads-RE PROJ'!DG58/'WICHE Public Grads-RE PROJ'!AC58</f>
        <v>2.8755501238167452E-3</v>
      </c>
      <c r="BR55" s="266">
        <f>+'WICHE Public Grads-RE PROJ'!DH58/'WICHE Public Grads-RE PROJ'!AD58</f>
        <v>2.9687309044257003E-3</v>
      </c>
      <c r="BS55" s="266">
        <f>+'WICHE Public Grads-RE PROJ'!DI58/'WICHE Public Grads-RE PROJ'!AE58</f>
        <v>2.1710471226482246E-3</v>
      </c>
      <c r="BT55" s="266">
        <f>+'WICHE Public Grads-RE PROJ'!DJ58/'WICHE Public Grads-RE PROJ'!AF58</f>
        <v>2.4697997636138713E-3</v>
      </c>
      <c r="BU55" s="266">
        <f>+'WICHE Public Grads-RE PROJ'!DK58/'WICHE Public Grads-RE PROJ'!AG58</f>
        <v>2.2963787215061989E-3</v>
      </c>
      <c r="BV55" s="268">
        <f>+'WICHE Public Grads-RE PROJ'!DL58/'WICHE Public Grads-RE PROJ'!AH58</f>
        <v>2.1504397991936619E-3</v>
      </c>
      <c r="BW55" s="266">
        <f>+'WICHE Public Grads-RE PROJ'!DM58/'WICHE Public Grads-RE PROJ'!AI58</f>
        <v>1.9962812350999832E-3</v>
      </c>
      <c r="BX55" s="266">
        <f>+'WICHE Public Grads-RE PROJ'!DN58/'WICHE Public Grads-RE PROJ'!AJ58</f>
        <v>1.8224663293400889E-3</v>
      </c>
      <c r="BY55" s="266">
        <f>+'WICHE Public Grads-RE PROJ'!DO58/'WICHE Public Grads-RE PROJ'!AK58</f>
        <v>1.9745656395788059E-3</v>
      </c>
      <c r="BZ55" s="266">
        <f>+'WICHE Public Grads-RE PROJ'!DP58/'WICHE Public Grads-RE PROJ'!AL58</f>
        <v>2.6901925096180879E-3</v>
      </c>
      <c r="CA55" s="266">
        <f>+'WICHE Public Grads-RE PROJ'!DQ58/'WICHE Public Grads-RE PROJ'!AM58</f>
        <v>2.736131247305461E-3</v>
      </c>
      <c r="CB55" s="266">
        <f>+'WICHE Public Grads-RE PROJ'!DR58/'WICHE Public Grads-RE PROJ'!AN58</f>
        <v>2.3383887135524652E-3</v>
      </c>
      <c r="CC55" s="266">
        <f>+'WICHE Public Grads-RE PROJ'!DS58/'WICHE Public Grads-RE PROJ'!AO58</f>
        <v>2.3690072524603671E-3</v>
      </c>
      <c r="CD55" s="266">
        <f>+'WICHE Public Grads-RE PROJ'!DT58/'WICHE Public Grads-RE PROJ'!AP58</f>
        <v>2.9918765997699924E-3</v>
      </c>
      <c r="CE55" s="282">
        <f>+'WICHE Public Grads-RE PROJ'!DU58/'WICHE Public Grads-RE PROJ'!AQ58</f>
        <v>2.9831449993114158E-3</v>
      </c>
      <c r="CF55" s="262">
        <f>+'WICHE Public Grads-RE PROJ'!DV58/'WICHE Public Grads-RE PROJ'!B58</f>
        <v>2.6549979690557956E-2</v>
      </c>
      <c r="CG55" s="262">
        <f>+'WICHE Public Grads-RE PROJ'!DW58/'WICHE Public Grads-RE PROJ'!C58</f>
        <v>2.5635284898690248E-2</v>
      </c>
      <c r="CH55" s="262">
        <f>+'WICHE Public Grads-RE PROJ'!DX58/'WICHE Public Grads-RE PROJ'!D58</f>
        <v>2.8636536270413977E-2</v>
      </c>
      <c r="CI55" s="262">
        <f>+'WICHE Public Grads-RE PROJ'!DY58/'WICHE Public Grads-RE PROJ'!E58</f>
        <v>2.6734732463603705E-2</v>
      </c>
      <c r="CJ55" s="262">
        <f>+'WICHE Public Grads-RE PROJ'!DZ58/'WICHE Public Grads-RE PROJ'!F58</f>
        <v>2.754663931000418E-2</v>
      </c>
      <c r="CK55" s="262">
        <f>+'WICHE Public Grads-RE PROJ'!EA58/'WICHE Public Grads-RE PROJ'!G58</f>
        <v>2.9856820452106997E-2</v>
      </c>
      <c r="CL55" s="267">
        <f>+'WICHE Public Grads-RE PROJ'!EB58/'WICHE Public Grads-RE PROJ'!H58</f>
        <v>2.8509951586874662E-2</v>
      </c>
      <c r="CM55" s="267">
        <f>+'WICHE Public Grads-RE PROJ'!EC58/'WICHE Public Grads-RE PROJ'!I58</f>
        <v>2.7930985716306037E-2</v>
      </c>
      <c r="CN55" s="267">
        <f>+'WICHE Public Grads-RE PROJ'!ED58/'WICHE Public Grads-RE PROJ'!J58</f>
        <v>2.9148976617451364E-2</v>
      </c>
      <c r="CO55" s="267">
        <f>+'WICHE Public Grads-RE PROJ'!EE58/'WICHE Public Grads-RE PROJ'!K58</f>
        <v>3.1624325391601947E-2</v>
      </c>
      <c r="CP55" s="262">
        <f>+'WICHE Public Grads-RE PROJ'!EF58/'WICHE Public Grads-RE PROJ'!L58</f>
        <v>3.1830977201719922E-2</v>
      </c>
      <c r="CQ55" s="267">
        <f>+'WICHE Public Grads-RE PROJ'!EG58/'WICHE Public Grads-RE PROJ'!M58</f>
        <v>3.1781863545905488E-2</v>
      </c>
      <c r="CR55" s="267">
        <f>+'WICHE Public Grads-RE PROJ'!EH58/'WICHE Public Grads-RE PROJ'!N58</f>
        <v>3.2568767535359963E-2</v>
      </c>
      <c r="CS55" s="267">
        <f>+'WICHE Public Grads-RE PROJ'!EI58/'WICHE Public Grads-RE PROJ'!O58</f>
        <v>3.3000140785583554E-2</v>
      </c>
      <c r="CT55" s="267">
        <f>+'WICHE Public Grads-RE PROJ'!EJ58/'WICHE Public Grads-RE PROJ'!P58</f>
        <v>3.4537021699519631E-2</v>
      </c>
      <c r="CU55" s="267">
        <f>+'WICHE Public Grads-RE PROJ'!EK58/'WICHE Public Grads-RE PROJ'!Q58</f>
        <v>3.2684265203377638E-2</v>
      </c>
      <c r="CV55" s="267">
        <f>+'WICHE Public Grads-RE PROJ'!EL58/'WICHE Public Grads-RE PROJ'!R58</f>
        <v>3.401962570603087E-2</v>
      </c>
      <c r="CW55" s="267">
        <f>+'WICHE Public Grads-RE PROJ'!EM58/'WICHE Public Grads-RE PROJ'!S58</f>
        <v>3.568977350720659E-2</v>
      </c>
      <c r="CX55" s="267">
        <f>+'WICHE Public Grads-RE PROJ'!EN58/'WICHE Public Grads-RE PROJ'!T58</f>
        <v>3.8382374257138717E-2</v>
      </c>
      <c r="CY55" s="267">
        <f>+'WICHE Public Grads-RE PROJ'!EO58/'WICHE Public Grads-RE PROJ'!U58</f>
        <v>3.6633153431372835E-2</v>
      </c>
      <c r="CZ55" s="267">
        <f>+'WICHE Public Grads-RE PROJ'!EP58/'WICHE Public Grads-RE PROJ'!V58</f>
        <v>3.9642297313681421E-2</v>
      </c>
      <c r="DA55" s="267">
        <f>+'WICHE Public Grads-RE PROJ'!EQ58/'WICHE Public Grads-RE PROJ'!W58</f>
        <v>4.4629619519128687E-2</v>
      </c>
      <c r="DB55" s="268">
        <f>+'WICHE Public Grads-RE PROJ'!ER58/'WICHE Public Grads-RE PROJ'!Y58</f>
        <v>4.426240023150689E-2</v>
      </c>
      <c r="DC55" s="268">
        <f>+'WICHE Public Grads-RE PROJ'!ES58/'WICHE Public Grads-RE PROJ'!Z58</f>
        <v>4.5749442719754674E-2</v>
      </c>
      <c r="DD55" s="268">
        <f>+'WICHE Public Grads-RE PROJ'!ET58/'WICHE Public Grads-RE PROJ'!AA58</f>
        <v>4.8834888867566754E-2</v>
      </c>
      <c r="DE55" s="268">
        <f>+'WICHE Public Grads-RE PROJ'!EU58/'WICHE Public Grads-RE PROJ'!AB58</f>
        <v>4.8607215538219742E-2</v>
      </c>
      <c r="DF55" s="266">
        <f>+'WICHE Public Grads-RE PROJ'!EV58/'WICHE Public Grads-RE PROJ'!AC58</f>
        <v>5.4147749180339169E-2</v>
      </c>
      <c r="DG55" s="266">
        <f>+'WICHE Public Grads-RE PROJ'!EW58/'WICHE Public Grads-RE PROJ'!AD58</f>
        <v>5.1528362220569453E-2</v>
      </c>
      <c r="DH55" s="266">
        <f>+'WICHE Public Grads-RE PROJ'!EX58/'WICHE Public Grads-RE PROJ'!AE58</f>
        <v>5.7708106259897071E-2</v>
      </c>
      <c r="DI55" s="266">
        <f>+'WICHE Public Grads-RE PROJ'!EY58/'WICHE Public Grads-RE PROJ'!AF58</f>
        <v>5.8347827019748354E-2</v>
      </c>
      <c r="DJ55" s="266">
        <f>+'WICHE Public Grads-RE PROJ'!EZ58/'WICHE Public Grads-RE PROJ'!AG58</f>
        <v>5.9385372461070944E-2</v>
      </c>
      <c r="DK55" s="268">
        <f>+'WICHE Public Grads-RE PROJ'!FA58/'WICHE Public Grads-RE PROJ'!AH58</f>
        <v>6.0307242597731389E-2</v>
      </c>
      <c r="DL55" s="266">
        <f>+'WICHE Public Grads-RE PROJ'!FB58/'WICHE Public Grads-RE PROJ'!AI58</f>
        <v>5.885292408304172E-2</v>
      </c>
      <c r="DM55" s="266">
        <f>+'WICHE Public Grads-RE PROJ'!FC58/'WICHE Public Grads-RE PROJ'!AJ58</f>
        <v>6.3412880393380999E-2</v>
      </c>
      <c r="DN55" s="266">
        <f>+'WICHE Public Grads-RE PROJ'!FD58/'WICHE Public Grads-RE PROJ'!AK58</f>
        <v>6.5701546523840804E-2</v>
      </c>
      <c r="DO55" s="266">
        <f>+'WICHE Public Grads-RE PROJ'!FE58/'WICHE Public Grads-RE PROJ'!AL58</f>
        <v>6.4863620761675372E-2</v>
      </c>
      <c r="DP55" s="266">
        <f>+'WICHE Public Grads-RE PROJ'!FF58/'WICHE Public Grads-RE PROJ'!AM58</f>
        <v>7.0751759601571096E-2</v>
      </c>
      <c r="DQ55" s="266">
        <f>+'WICHE Public Grads-RE PROJ'!FG58/'WICHE Public Grads-RE PROJ'!AN58</f>
        <v>6.8588950861940404E-2</v>
      </c>
      <c r="DR55" s="266">
        <f>+'WICHE Public Grads-RE PROJ'!FH58/'WICHE Public Grads-RE PROJ'!AO58</f>
        <v>7.1557656133530712E-2</v>
      </c>
      <c r="DS55" s="266">
        <f>+'WICHE Public Grads-RE PROJ'!FI58/'WICHE Public Grads-RE PROJ'!AP58</f>
        <v>6.9094270723376885E-2</v>
      </c>
      <c r="DT55" s="282">
        <f>+'WICHE Public Grads-RE PROJ'!FJ58/'WICHE Public Grads-RE PROJ'!AQ58</f>
        <v>7.0195042274385513E-2</v>
      </c>
      <c r="DU55" s="262">
        <f>+'WICHE Public Grads-RE PROJ'!FK58/'WICHE Public Grads-RE PROJ'!B58</f>
        <v>0.10069790628115653</v>
      </c>
      <c r="DV55" s="262">
        <f>+'WICHE Public Grads-RE PROJ'!FL58/'WICHE Public Grads-RE PROJ'!C58</f>
        <v>0.10672040001492593</v>
      </c>
      <c r="DW55" s="262">
        <f>+'WICHE Public Grads-RE PROJ'!FM58/'WICHE Public Grads-RE PROJ'!D58</f>
        <v>0.11169768325104444</v>
      </c>
      <c r="DX55" s="262">
        <f>+'WICHE Public Grads-RE PROJ'!FN58/'WICHE Public Grads-RE PROJ'!E58</f>
        <v>0.10489695594630365</v>
      </c>
      <c r="DY55" s="262">
        <f>+'WICHE Public Grads-RE PROJ'!FO58/'WICHE Public Grads-RE PROJ'!F58</f>
        <v>0.10843877047000267</v>
      </c>
      <c r="DZ55" s="262">
        <f>+'WICHE Public Grads-RE PROJ'!FP58/'WICHE Public Grads-RE PROJ'!G58</f>
        <v>0.11439564911761442</v>
      </c>
      <c r="EA55" s="267">
        <f>+'WICHE Public Grads-RE PROJ'!FQ58/'WICHE Public Grads-RE PROJ'!H58</f>
        <v>0.11310740541509773</v>
      </c>
      <c r="EB55" s="267">
        <f>+'WICHE Public Grads-RE PROJ'!FR58/'WICHE Public Grads-RE PROJ'!I58</f>
        <v>0.10323858011596662</v>
      </c>
      <c r="EC55" s="267">
        <f>+'WICHE Public Grads-RE PROJ'!FS58/'WICHE Public Grads-RE PROJ'!J58</f>
        <v>0.11124136619986059</v>
      </c>
      <c r="ED55" s="267">
        <f>+'WICHE Public Grads-RE PROJ'!FT58/'WICHE Public Grads-RE PROJ'!K58</f>
        <v>0.11086613136764513</v>
      </c>
      <c r="EE55" s="262">
        <f>+'WICHE Public Grads-RE PROJ'!FU58/'WICHE Public Grads-RE PROJ'!L58</f>
        <v>0.11188789556717295</v>
      </c>
      <c r="EF55" s="267">
        <f>+'WICHE Public Grads-RE PROJ'!FV58/'WICHE Public Grads-RE PROJ'!M58</f>
        <v>0.11738497638637241</v>
      </c>
      <c r="EG55" s="267">
        <f>+'WICHE Public Grads-RE PROJ'!FW58/'WICHE Public Grads-RE PROJ'!N58</f>
        <v>0.11268909264454921</v>
      </c>
      <c r="EH55" s="267">
        <f>+'WICHE Public Grads-RE PROJ'!FX58/'WICHE Public Grads-RE PROJ'!O58</f>
        <v>0.11406447979726876</v>
      </c>
      <c r="EI55" s="267">
        <f>+'WICHE Public Grads-RE PROJ'!FY58/'WICHE Public Grads-RE PROJ'!P58</f>
        <v>0.1155099111037491</v>
      </c>
      <c r="EJ55" s="267">
        <f>+'WICHE Public Grads-RE PROJ'!FZ58/'WICHE Public Grads-RE PROJ'!Q58</f>
        <v>0.12490343890679524</v>
      </c>
      <c r="EK55" s="267">
        <f>+'WICHE Public Grads-RE PROJ'!GA58/'WICHE Public Grads-RE PROJ'!R58</f>
        <v>0.12428746193289779</v>
      </c>
      <c r="EL55" s="267">
        <f>+'WICHE Public Grads-RE PROJ'!GB58/'WICHE Public Grads-RE PROJ'!S58</f>
        <v>0.12071036376115306</v>
      </c>
      <c r="EM55" s="267">
        <f>+'WICHE Public Grads-RE PROJ'!GC58/'WICHE Public Grads-RE PROJ'!T58</f>
        <v>0.12251050876938686</v>
      </c>
      <c r="EN55" s="267">
        <f>+'WICHE Public Grads-RE PROJ'!GD58/'WICHE Public Grads-RE PROJ'!U58</f>
        <v>0.12667723102765488</v>
      </c>
      <c r="EO55" s="267">
        <f>+'WICHE Public Grads-RE PROJ'!GE58/'WICHE Public Grads-RE PROJ'!V58</f>
        <v>0.12330436914158856</v>
      </c>
      <c r="EP55" s="267">
        <f>+'WICHE Public Grads-RE PROJ'!GF58/'WICHE Public Grads-RE PROJ'!W58</f>
        <v>0.12456579381757972</v>
      </c>
      <c r="EQ55" s="268">
        <f>+'WICHE Public Grads-RE PROJ'!GG58/'WICHE Public Grads-RE PROJ'!Y58</f>
        <v>0.1225148491518684</v>
      </c>
      <c r="ER55" s="268">
        <f>+'WICHE Public Grads-RE PROJ'!GH58/'WICHE Public Grads-RE PROJ'!Z58</f>
        <v>0.12458233782165049</v>
      </c>
      <c r="ES55" s="268">
        <f>+'WICHE Public Grads-RE PROJ'!GI58/'WICHE Public Grads-RE PROJ'!AA58</f>
        <v>0.12375724783987008</v>
      </c>
      <c r="ET55" s="268">
        <f>+'WICHE Public Grads-RE PROJ'!GJ58/'WICHE Public Grads-RE PROJ'!AB58</f>
        <v>0.12327367165702127</v>
      </c>
      <c r="EU55" s="266">
        <f>+'WICHE Public Grads-RE PROJ'!GK58/'WICHE Public Grads-RE PROJ'!AC58</f>
        <v>0.12208462999447865</v>
      </c>
      <c r="EV55" s="266">
        <f>+'WICHE Public Grads-RE PROJ'!GL58/'WICHE Public Grads-RE PROJ'!AD58</f>
        <v>0.11928699827761437</v>
      </c>
      <c r="EW55" s="266">
        <f>+'WICHE Public Grads-RE PROJ'!GM58/'WICHE Public Grads-RE PROJ'!AE58</f>
        <v>0.11988259619202621</v>
      </c>
      <c r="EX55" s="266">
        <f>+'WICHE Public Grads-RE PROJ'!GN58/'WICHE Public Grads-RE PROJ'!AF58</f>
        <v>0.11506346242119224</v>
      </c>
      <c r="EY55" s="266">
        <f>+'WICHE Public Grads-RE PROJ'!GO58/'WICHE Public Grads-RE PROJ'!AG58</f>
        <v>0.11715608343685106</v>
      </c>
      <c r="EZ55" s="268">
        <f>+'WICHE Public Grads-RE PROJ'!GP58/'WICHE Public Grads-RE PROJ'!AH58</f>
        <v>0.11499856611515047</v>
      </c>
      <c r="FA55" s="266">
        <f>+'WICHE Public Grads-RE PROJ'!GQ58/'WICHE Public Grads-RE PROJ'!AI58</f>
        <v>0.11760655799020245</v>
      </c>
      <c r="FB55" s="266">
        <f>+'WICHE Public Grads-RE PROJ'!GR58/'WICHE Public Grads-RE PROJ'!AJ58</f>
        <v>0.11516965870565199</v>
      </c>
      <c r="FC55" s="266">
        <f>+'WICHE Public Grads-RE PROJ'!GS58/'WICHE Public Grads-RE PROJ'!AK58</f>
        <v>0.12291344491075068</v>
      </c>
      <c r="FD55" s="266">
        <f>+'WICHE Public Grads-RE PROJ'!GT58/'WICHE Public Grads-RE PROJ'!AL58</f>
        <v>0.12339401336649686</v>
      </c>
      <c r="FE55" s="266">
        <f>+'WICHE Public Grads-RE PROJ'!GU58/'WICHE Public Grads-RE PROJ'!AM58</f>
        <v>0.12085150350832684</v>
      </c>
      <c r="FF55" s="266">
        <f>+'WICHE Public Grads-RE PROJ'!GV58/'WICHE Public Grads-RE PROJ'!AN58</f>
        <v>0.12218669990860968</v>
      </c>
      <c r="FG55" s="266">
        <f>+'WICHE Public Grads-RE PROJ'!GW58/'WICHE Public Grads-RE PROJ'!AO58</f>
        <v>0.12303683751894809</v>
      </c>
      <c r="FH55" s="266">
        <f>+'WICHE Public Grads-RE PROJ'!GX58/'WICHE Public Grads-RE PROJ'!AP58</f>
        <v>0.12219823531886653</v>
      </c>
      <c r="FI55" s="282">
        <f>+'WICHE Public Grads-RE PROJ'!GY58/'WICHE Public Grads-RE PROJ'!AQ58</f>
        <v>0.12177396956832334</v>
      </c>
      <c r="FJ55" s="262">
        <f>+'WICHE Public Grads-RE PROJ'!GZ58/'WICHE Public Grads-RE PROJ'!B58</f>
        <v>6.4916362025036006E-2</v>
      </c>
      <c r="FK55" s="262">
        <f>+'WICHE Public Grads-RE PROJ'!HA58/'WICHE Public Grads-RE PROJ'!C58</f>
        <v>6.548751819097727E-2</v>
      </c>
      <c r="FL55" s="262">
        <f>+'WICHE Public Grads-RE PROJ'!HB58/'WICHE Public Grads-RE PROJ'!D58</f>
        <v>7.2654766426129891E-2</v>
      </c>
      <c r="FM55" s="262">
        <f>+'WICHE Public Grads-RE PROJ'!HC58/'WICHE Public Grads-RE PROJ'!E58</f>
        <v>7.3359803365475512E-2</v>
      </c>
      <c r="FN55" s="262">
        <f>+'WICHE Public Grads-RE PROJ'!HD58/'WICHE Public Grads-RE PROJ'!F58</f>
        <v>7.355902579885254E-2</v>
      </c>
      <c r="FO55" s="262">
        <f>+'WICHE Public Grads-RE PROJ'!HE58/'WICHE Public Grads-RE PROJ'!G58</f>
        <v>7.8878241888342152E-2</v>
      </c>
      <c r="FP55" s="267">
        <f>+'WICHE Public Grads-RE PROJ'!HF58/'WICHE Public Grads-RE PROJ'!H58</f>
        <v>8.1262327416173563E-2</v>
      </c>
      <c r="FQ55" s="267">
        <f>+'WICHE Public Grads-RE PROJ'!HG58/'WICHE Public Grads-RE PROJ'!I58</f>
        <v>7.9974543911752224E-2</v>
      </c>
      <c r="FR55" s="267">
        <f>+'WICHE Public Grads-RE PROJ'!HH58/'WICHE Public Grads-RE PROJ'!J58</f>
        <v>8.6781572777390528E-2</v>
      </c>
      <c r="FS55" s="267">
        <f>+'WICHE Public Grads-RE PROJ'!HI58/'WICHE Public Grads-RE PROJ'!K58</f>
        <v>8.4342503619849934E-2</v>
      </c>
      <c r="FT55" s="262">
        <f>+'WICHE Public Grads-RE PROJ'!HJ58/'WICHE Public Grads-RE PROJ'!L58</f>
        <v>8.9275218857301941E-2</v>
      </c>
      <c r="FU55" s="267">
        <f>+'WICHE Public Grads-RE PROJ'!HK58/'WICHE Public Grads-RE PROJ'!M58</f>
        <v>9.6533697686161518E-2</v>
      </c>
      <c r="FV55" s="267">
        <f>+'WICHE Public Grads-RE PROJ'!HL58/'WICHE Public Grads-RE PROJ'!N58</f>
        <v>9.5999768605559255E-2</v>
      </c>
      <c r="FW55" s="267">
        <f>+'WICHE Public Grads-RE PROJ'!HM58/'WICHE Public Grads-RE PROJ'!O58</f>
        <v>0.10466000281571167</v>
      </c>
      <c r="FX55" s="267">
        <f>+'WICHE Public Grads-RE PROJ'!HN58/'WICHE Public Grads-RE PROJ'!P58</f>
        <v>0.10002208602506764</v>
      </c>
      <c r="FY55" s="267">
        <f>+'WICHE Public Grads-RE PROJ'!HO58/'WICHE Public Grads-RE PROJ'!Q58</f>
        <v>0.11025279028262433</v>
      </c>
      <c r="FZ55" s="267">
        <f>+'WICHE Public Grads-RE PROJ'!HP58/'WICHE Public Grads-RE PROJ'!R58</f>
        <v>0.11585413467294828</v>
      </c>
      <c r="GA55" s="267">
        <f>+'WICHE Public Grads-RE PROJ'!HQ58/'WICHE Public Grads-RE PROJ'!S58</f>
        <v>0.11041523678792038</v>
      </c>
      <c r="GB55" s="267">
        <f>+'WICHE Public Grads-RE PROJ'!HR58/'WICHE Public Grads-RE PROJ'!T58</f>
        <v>0.1177851862588781</v>
      </c>
      <c r="GC55" s="267">
        <f>+'WICHE Public Grads-RE PROJ'!HS58/'WICHE Public Grads-RE PROJ'!U58</f>
        <v>0.13643382920677408</v>
      </c>
      <c r="GD55" s="267">
        <f>+'WICHE Public Grads-RE PROJ'!HT58/'WICHE Public Grads-RE PROJ'!V58</f>
        <v>0.14236963884077455</v>
      </c>
      <c r="GE55" s="267">
        <f>+'WICHE Public Grads-RE PROJ'!HU58/'WICHE Public Grads-RE PROJ'!W58</f>
        <v>0.1507670058364754</v>
      </c>
      <c r="GF55" s="268">
        <f>+'WICHE Public Grads-RE PROJ'!HV58/'WICHE Public Grads-RE PROJ'!Y58</f>
        <v>0.15062030634706794</v>
      </c>
      <c r="GG55" s="268">
        <f>+'WICHE Public Grads-RE PROJ'!HW58/'WICHE Public Grads-RE PROJ'!Z58</f>
        <v>0.16048255207570666</v>
      </c>
      <c r="GH55" s="268">
        <f>+'WICHE Public Grads-RE PROJ'!HX58/'WICHE Public Grads-RE PROJ'!AA58</f>
        <v>0.16807356242032176</v>
      </c>
      <c r="GI55" s="268">
        <f>+'WICHE Public Grads-RE PROJ'!HY58/'WICHE Public Grads-RE PROJ'!AB58</f>
        <v>0.17378740929451034</v>
      </c>
      <c r="GJ55" s="266">
        <f>+'WICHE Public Grads-RE PROJ'!HZ58/'WICHE Public Grads-RE PROJ'!AC58</f>
        <v>0.17953876039946784</v>
      </c>
      <c r="GK55" s="266">
        <f>+'WICHE Public Grads-RE PROJ'!IA58/'WICHE Public Grads-RE PROJ'!AD58</f>
        <v>0.18702426817350304</v>
      </c>
      <c r="GL55" s="266">
        <f>+'WICHE Public Grads-RE PROJ'!IB58/'WICHE Public Grads-RE PROJ'!AE58</f>
        <v>0.19578171080703191</v>
      </c>
      <c r="GM55" s="266">
        <f>+'WICHE Public Grads-RE PROJ'!IC58/'WICHE Public Grads-RE PROJ'!AF58</f>
        <v>0.2008615701562175</v>
      </c>
      <c r="GN55" s="266">
        <f>+'WICHE Public Grads-RE PROJ'!ID58/'WICHE Public Grads-RE PROJ'!AG58</f>
        <v>0.21139812403152439</v>
      </c>
      <c r="GO55" s="268">
        <f>+'WICHE Public Grads-RE PROJ'!IE58/'WICHE Public Grads-RE PROJ'!AH58</f>
        <v>0.22542128559845601</v>
      </c>
      <c r="GP55" s="266">
        <f>+'WICHE Public Grads-RE PROJ'!IF58/'WICHE Public Grads-RE PROJ'!AI58</f>
        <v>0.23910009521030309</v>
      </c>
      <c r="GQ55" s="266">
        <f>+'WICHE Public Grads-RE PROJ'!IG58/'WICHE Public Grads-RE PROJ'!AJ58</f>
        <v>0.24991350817542585</v>
      </c>
      <c r="GR55" s="266">
        <f>+'WICHE Public Grads-RE PROJ'!IH58/'WICHE Public Grads-RE PROJ'!AK58</f>
        <v>0.25150317923845095</v>
      </c>
      <c r="GS55" s="266">
        <f>+'WICHE Public Grads-RE PROJ'!II58/'WICHE Public Grads-RE PROJ'!AL58</f>
        <v>0.25922029219588655</v>
      </c>
      <c r="GT55" s="266">
        <f>+'WICHE Public Grads-RE PROJ'!IJ58/'WICHE Public Grads-RE PROJ'!AM58</f>
        <v>0.25664616163205939</v>
      </c>
      <c r="GU55" s="266">
        <f>+'WICHE Public Grads-RE PROJ'!IK58/'WICHE Public Grads-RE PROJ'!AN58</f>
        <v>0.26463813979426482</v>
      </c>
      <c r="GV55" s="266">
        <f>+'WICHE Public Grads-RE PROJ'!IL58/'WICHE Public Grads-RE PROJ'!AO58</f>
        <v>0.25555572595626991</v>
      </c>
      <c r="GW55" s="266">
        <f>+'WICHE Public Grads-RE PROJ'!IM58/'WICHE Public Grads-RE PROJ'!AP58</f>
        <v>0.26714896764752921</v>
      </c>
      <c r="GX55" s="282">
        <f>+'WICHE Public Grads-RE PROJ'!IN58/'WICHE Public Grads-RE PROJ'!AQ58</f>
        <v>0.2631858343904836</v>
      </c>
      <c r="GY55" s="262">
        <f>+'WICHE Public Grads-RE PROJ'!IO58/'WICHE Public Grads-RE PROJ'!B58</f>
        <v>0.80595251283187475</v>
      </c>
      <c r="GZ55" s="262">
        <f>+'WICHE Public Grads-RE PROJ'!IP58/'WICHE Public Grads-RE PROJ'!C58</f>
        <v>0.80047762976230452</v>
      </c>
      <c r="HA55" s="262">
        <f>+'WICHE Public Grads-RE PROJ'!IQ58/'WICHE Public Grads-RE PROJ'!D58</f>
        <v>0.78488416255222182</v>
      </c>
      <c r="HB55" s="262">
        <f>+'WICHE Public Grads-RE PROJ'!IR58/'WICHE Public Grads-RE PROJ'!E58</f>
        <v>0.79277746265834748</v>
      </c>
      <c r="HC55" s="262">
        <f>+'WICHE Public Grads-RE PROJ'!IS58/'WICHE Public Grads-RE PROJ'!F58</f>
        <v>0.7882138379117748</v>
      </c>
      <c r="HD55" s="262">
        <f>+'WICHE Public Grads-RE PROJ'!IT58/'WICHE Public Grads-RE PROJ'!G58</f>
        <v>0.77442746679492402</v>
      </c>
      <c r="HE55" s="267">
        <f>+'WICHE Public Grads-RE PROJ'!IU58/'WICHE Public Grads-RE PROJ'!H58</f>
        <v>0.77486103639949799</v>
      </c>
      <c r="HF55" s="267">
        <f>+'WICHE Public Grads-RE PROJ'!IV58/'WICHE Public Grads-RE PROJ'!I58</f>
        <v>0.78648705982180733</v>
      </c>
      <c r="HG55" s="267">
        <f>+'WICHE Public Grads-RE PROJ'!IW58/'WICHE Public Grads-RE PROJ'!J58</f>
        <v>0.77016665610544321</v>
      </c>
      <c r="HH55" s="267">
        <f>+'WICHE Public Grads-RE PROJ'!IX58/'WICHE Public Grads-RE PROJ'!K58</f>
        <v>0.77099512965644335</v>
      </c>
      <c r="HI55" s="262">
        <f>+'WICHE Public Grads-RE PROJ'!IY58/'WICHE Public Grads-RE PROJ'!L58</f>
        <v>0.76471680019797694</v>
      </c>
      <c r="HJ55" s="267">
        <f>+'WICHE Public Grads-RE PROJ'!IZ58/'WICHE Public Grads-RE PROJ'!M58</f>
        <v>0.75171532955119258</v>
      </c>
      <c r="HK55" s="267">
        <f>+'WICHE Public Grads-RE PROJ'!JA58/'WICHE Public Grads-RE PROJ'!N58</f>
        <v>0.75579209209498743</v>
      </c>
      <c r="HL55" s="267">
        <f>+'WICHE Public Grads-RE PROJ'!JB58/'WICHE Public Grads-RE PROJ'!O58</f>
        <v>0.74565676474728992</v>
      </c>
      <c r="HM55" s="267">
        <f>+'WICHE Public Grads-RE PROJ'!JC58/'WICHE Public Grads-RE PROJ'!P58</f>
        <v>0.74670090000552147</v>
      </c>
      <c r="HN55" s="267">
        <f>+'WICHE Public Grads-RE PROJ'!JD58/'WICHE Public Grads-RE PROJ'!Q58</f>
        <v>0.7294424762259929</v>
      </c>
      <c r="HO55" s="267">
        <f>+'WICHE Public Grads-RE PROJ'!JE58/'WICHE Public Grads-RE PROJ'!R58</f>
        <v>0.7231317837528306</v>
      </c>
      <c r="HP55" s="267">
        <f>+'WICHE Public Grads-RE PROJ'!JF58/'WICHE Public Grads-RE PROJ'!S58</f>
        <v>0.7309826126744452</v>
      </c>
      <c r="HQ55" s="267">
        <f>+'WICHE Public Grads-RE PROJ'!JG58/'WICHE Public Grads-RE PROJ'!T58</f>
        <v>0.7185679083925206</v>
      </c>
      <c r="HR55" s="267">
        <f>+'WICHE Public Grads-RE PROJ'!JH58/'WICHE Public Grads-RE PROJ'!U58</f>
        <v>0.6959072502846485</v>
      </c>
      <c r="HS55" s="267">
        <f>+'WICHE Public Grads-RE PROJ'!JI58/'WICHE Public Grads-RE PROJ'!V58</f>
        <v>0.6891271887322209</v>
      </c>
      <c r="HT55" s="267">
        <f>+'WICHE Public Grads-RE PROJ'!JJ58/'WICHE Public Grads-RE PROJ'!W58</f>
        <v>0.67630886736095941</v>
      </c>
      <c r="HU55" s="268">
        <f>+'WICHE Public Grads-RE PROJ'!JK58/'WICHE Public Grads-RE PROJ'!Y58</f>
        <v>0.67814535090760053</v>
      </c>
      <c r="HV55" s="268">
        <f>+'WICHE Public Grads-RE PROJ'!JL58/'WICHE Public Grads-RE PROJ'!Z58</f>
        <v>0.66231203867527266</v>
      </c>
      <c r="HW55" s="268">
        <f>+'WICHE Public Grads-RE PROJ'!JM58/'WICHE Public Grads-RE PROJ'!AA58</f>
        <v>0.65154537127490475</v>
      </c>
      <c r="HX55" s="268">
        <f>+'WICHE Public Grads-RE PROJ'!JN58/'WICHE Public Grads-RE PROJ'!AB58</f>
        <v>0.64408538477940847</v>
      </c>
      <c r="HY55" s="266">
        <f>+'WICHE Public Grads-RE PROJ'!JO58/'WICHE Public Grads-RE PROJ'!AC58</f>
        <v>0.63635525237758939</v>
      </c>
      <c r="HZ55" s="266">
        <f>+'WICHE Public Grads-RE PROJ'!JP58/'WICHE Public Grads-RE PROJ'!AD58</f>
        <v>0.63347950096482653</v>
      </c>
      <c r="IA55" s="266">
        <f>+'WICHE Public Grads-RE PROJ'!JQ58/'WICHE Public Grads-RE PROJ'!AE58</f>
        <v>0.61880820967216643</v>
      </c>
      <c r="IB55" s="266">
        <f>+'WICHE Public Grads-RE PROJ'!JR58/'WICHE Public Grads-RE PROJ'!AF58</f>
        <v>0.61821946680508921</v>
      </c>
      <c r="IC55" s="266">
        <f>+'WICHE Public Grads-RE PROJ'!JS58/'WICHE Public Grads-RE PROJ'!AG58</f>
        <v>0.60467904378221971</v>
      </c>
      <c r="ID55" s="268">
        <f>+'WICHE Public Grads-RE PROJ'!JT58/'WICHE Public Grads-RE PROJ'!AH58</f>
        <v>0.59250745900703661</v>
      </c>
      <c r="IE55" s="266">
        <f>+'WICHE Public Grads-RE PROJ'!JU58/'WICHE Public Grads-RE PROJ'!AI58</f>
        <v>0.57760958246045047</v>
      </c>
      <c r="IF55" s="266">
        <f>+'WICHE Public Grads-RE PROJ'!JV58/'WICHE Public Grads-RE PROJ'!AJ58</f>
        <v>0.5657058450238136</v>
      </c>
      <c r="IG55" s="266">
        <f>+'WICHE Public Grads-RE PROJ'!JW58/'WICHE Public Grads-RE PROJ'!AK58</f>
        <v>0.55892941022777121</v>
      </c>
      <c r="IH55" s="266">
        <f>+'WICHE Public Grads-RE PROJ'!JX58/'WICHE Public Grads-RE PROJ'!AL58</f>
        <v>0.551241706657846</v>
      </c>
      <c r="II55" s="266">
        <f>+'WICHE Public Grads-RE PROJ'!JY58/'WICHE Public Grads-RE PROJ'!AM58</f>
        <v>0.55007743704263834</v>
      </c>
      <c r="IJ55" s="266">
        <f>+'WICHE Public Grads-RE PROJ'!JZ58/'WICHE Public Grads-RE PROJ'!AN58</f>
        <v>0.54247573072734889</v>
      </c>
      <c r="IK55" s="266">
        <f>+'WICHE Public Grads-RE PROJ'!KA58/'WICHE Public Grads-RE PROJ'!AO58</f>
        <v>0.54646724119017709</v>
      </c>
      <c r="IL55" s="266">
        <f>+'WICHE Public Grads-RE PROJ'!KB58/'WICHE Public Grads-RE PROJ'!AP58</f>
        <v>0.53864912062195747</v>
      </c>
      <c r="IM55" s="282">
        <f>+'WICHE Public Grads-RE PROJ'!KC58/'WICHE Public Grads-RE PROJ'!AQ58</f>
        <v>0.54155617060861261</v>
      </c>
      <c r="IN55" s="278">
        <f t="shared" ref="IN55:IN64" si="120">+B55+DU55+FJ55+GY55</f>
        <v>1</v>
      </c>
      <c r="IO55" s="278">
        <f t="shared" ref="IO55:IO64" si="121">+C55+DV55+FK55+GZ55</f>
        <v>1</v>
      </c>
      <c r="IP55" s="278">
        <f t="shared" ref="IP55:IP64" si="122">+D55+DW55+FL55+HA55</f>
        <v>1</v>
      </c>
      <c r="IQ55" s="278">
        <f t="shared" ref="IQ55:IQ64" si="123">+E55+DX55+FM55+HB55</f>
        <v>1</v>
      </c>
      <c r="IR55" s="278">
        <f t="shared" ref="IR55:IR64" si="124">+F55+DY55+FN55+HC55</f>
        <v>1</v>
      </c>
      <c r="IS55" s="278">
        <f t="shared" ref="IS55:IS64" si="125">+G55+DZ55+FO55+HD55</f>
        <v>1</v>
      </c>
      <c r="IT55" s="278">
        <f t="shared" ref="IT55:IT64" si="126">+H55+EA55+FP55+HE55</f>
        <v>1</v>
      </c>
      <c r="IU55" s="278">
        <f t="shared" ref="IU55:IU64" si="127">+I55+EB55+FQ55+HF55</f>
        <v>1</v>
      </c>
      <c r="IV55" s="278">
        <f t="shared" ref="IV55:IV64" si="128">+J55+EC55+FR55+HG55</f>
        <v>1</v>
      </c>
      <c r="IW55" s="278">
        <f t="shared" ref="IW55:IW64" si="129">+K55+ED55+FS55+HH55</f>
        <v>1</v>
      </c>
      <c r="IX55" s="278">
        <f t="shared" ref="IX55:IX64" si="130">+L55+EE55+FT55+HI55</f>
        <v>1</v>
      </c>
      <c r="IY55" s="278">
        <f t="shared" ref="IY55:IY64" si="131">+M55+EF55+FU55+HJ55</f>
        <v>1</v>
      </c>
      <c r="IZ55" s="278">
        <f t="shared" ref="IZ55:IZ64" si="132">+N55+EG55+FV55+HK55</f>
        <v>1</v>
      </c>
      <c r="JA55" s="278">
        <f t="shared" ref="JA55:JA64" si="133">+O55+EH55+FW55+HL55</f>
        <v>1</v>
      </c>
      <c r="JB55" s="278">
        <f t="shared" ref="JB55:JB64" si="134">+P55+EI55+FX55+HM55</f>
        <v>1</v>
      </c>
      <c r="JC55" s="278">
        <f t="shared" ref="JC55:JC64" si="135">+Q55+EJ55+FY55+HN55</f>
        <v>1</v>
      </c>
      <c r="JD55" s="278">
        <f t="shared" ref="JD55:JD64" si="136">+R55+EK55+FZ55+HO55</f>
        <v>1</v>
      </c>
      <c r="JE55" s="278">
        <f t="shared" ref="JE55:JE64" si="137">+S55+EL55+GA55+HP55</f>
        <v>1</v>
      </c>
      <c r="JF55" s="278">
        <f t="shared" ref="JF55:JF64" si="138">+T55+EM55+GB55+HQ55</f>
        <v>1</v>
      </c>
      <c r="JG55" s="278">
        <f t="shared" ref="JG55:JG64" si="139">+U55+EN55+GC55+HR55</f>
        <v>1</v>
      </c>
      <c r="JH55" s="278">
        <f t="shared" ref="JH55:JH64" si="140">+V55+EO55+GD55+HS55</f>
        <v>1</v>
      </c>
      <c r="JI55" s="278">
        <f t="shared" ref="JI55:JI64" si="141">+W55+EP55+GE55+HT55</f>
        <v>1</v>
      </c>
      <c r="JJ55" s="278">
        <f t="shared" ref="JJ55:JJ64" si="142">+X55+EQ55+GF55+HU55</f>
        <v>0.99839611675436091</v>
      </c>
      <c r="JK55" s="278">
        <f t="shared" ref="JK55:JK64" si="143">+Y55+ER55+GG55+HV55</f>
        <v>0.99609344429097446</v>
      </c>
      <c r="JL55" s="278">
        <f t="shared" ref="JL55:JL64" si="144">+Z55+ES55+GH55+HW55</f>
        <v>0.99551186188275143</v>
      </c>
      <c r="JM55" s="278">
        <f t="shared" ref="JM55:JM64" si="145">+AA55+ET55+GI55+HX55</f>
        <v>0.99272526381505555</v>
      </c>
      <c r="JN55" s="278">
        <f t="shared" ref="JN55:JN64" si="146">+AB55+EU55+GJ55+HY55</f>
        <v>0.99500194207569181</v>
      </c>
      <c r="JO55" s="278">
        <f t="shared" ref="JO55:JO64" si="147">+AC55+EV55+GK55+HZ55</f>
        <v>0.99428786054093909</v>
      </c>
      <c r="JP55" s="278">
        <f t="shared" ref="JP55:JP64" si="148">+AD55+EW55+GL55+IA55</f>
        <v>0.99435167005376979</v>
      </c>
      <c r="JQ55" s="278">
        <f t="shared" ref="JQ55:JQ64" si="149">+AE55+EX55+GM55+IB55</f>
        <v>0.99496212616586122</v>
      </c>
      <c r="JR55" s="278">
        <f t="shared" ref="JR55:JR64" si="150">+AF55+EY55+GN55+IC55</f>
        <v>0.99491500243317232</v>
      </c>
      <c r="JS55" s="278">
        <f t="shared" ref="JS55:JS64" si="151">+AG55+EZ55+GO55+ID55</f>
        <v>0.99538499311756812</v>
      </c>
      <c r="JT55" s="278">
        <f t="shared" ref="JT55:JT64" si="152">+AH55+FA55+GP55+IE55</f>
        <v>0.99516544097909776</v>
      </c>
      <c r="JU55" s="278">
        <f t="shared" ref="JU55:JU64" si="153">+AI55+FB55+GQ55+IF55</f>
        <v>0.99602435862761252</v>
      </c>
      <c r="JV55" s="278">
        <f t="shared" ref="JV55:JV64" si="154">+AJ55+FC55+GR55+IG55</f>
        <v>1.0010221465403926</v>
      </c>
      <c r="JW55" s="278">
        <f t="shared" ref="JW55:JW64" si="155">+AK55+FD55+GS55+IH55</f>
        <v>1.0014098254915229</v>
      </c>
      <c r="JX55" s="278">
        <f t="shared" ref="JX55:JX64" si="156">+AL55+FE55+GT55+II55</f>
        <v>1.001062993031901</v>
      </c>
      <c r="JY55" s="278">
        <f t="shared" ref="JY55:KB64" si="157">+AM55+FF55+GU55+IJ55</f>
        <v>1.0002279100057163</v>
      </c>
      <c r="JZ55" s="278">
        <f t="shared" si="157"/>
        <v>0.99898646805138613</v>
      </c>
      <c r="KA55" s="278">
        <f t="shared" si="157"/>
        <v>1.0000824709115002</v>
      </c>
      <c r="KB55" s="278">
        <f t="shared" si="157"/>
        <v>0.99969416184111648</v>
      </c>
    </row>
    <row r="56" spans="1:288" s="17" customFormat="1">
      <c r="A56" s="175" t="s">
        <v>79</v>
      </c>
      <c r="B56" s="262">
        <f>+'WICHE Public Grads-RE PROJ'!AR59/'WICHE Public Grads-RE PROJ'!B59</f>
        <v>1.4592335889316684E-2</v>
      </c>
      <c r="C56" s="262">
        <f>+'WICHE Public Grads-RE PROJ'!AS59/'WICHE Public Grads-RE PROJ'!C59</f>
        <v>1.4592335889316682E-2</v>
      </c>
      <c r="D56" s="262">
        <f>+'WICHE Public Grads-RE PROJ'!AT59/'WICHE Public Grads-RE PROJ'!D59</f>
        <v>1.2825017568517217E-2</v>
      </c>
      <c r="E56" s="262">
        <f>+'WICHE Public Grads-RE PROJ'!AU59/'WICHE Public Grads-RE PROJ'!E59</f>
        <v>1.2346752456308147E-2</v>
      </c>
      <c r="F56" s="262">
        <f>+'WICHE Public Grads-RE PROJ'!AV59/'WICHE Public Grads-RE PROJ'!F59</f>
        <v>1.6786774056803729E-2</v>
      </c>
      <c r="G56" s="262">
        <f>+'WICHE Public Grads-RE PROJ'!AW59/'WICHE Public Grads-RE PROJ'!G59</f>
        <v>1.4643481154838173E-2</v>
      </c>
      <c r="H56" s="267">
        <f>+'WICHE Public Grads-RE PROJ'!AX59/'WICHE Public Grads-RE PROJ'!H59</f>
        <v>1.2077890066551638E-2</v>
      </c>
      <c r="I56" s="267">
        <f>+'WICHE Public Grads-RE PROJ'!AY59/'WICHE Public Grads-RE PROJ'!I59</f>
        <v>1.4514514514514515E-2</v>
      </c>
      <c r="J56" s="267">
        <f>+'WICHE Public Grads-RE PROJ'!AZ59/'WICHE Public Grads-RE PROJ'!J59</f>
        <v>1.5294500488122356E-2</v>
      </c>
      <c r="K56" s="267">
        <f>+'WICHE Public Grads-RE PROJ'!BA59/'WICHE Public Grads-RE PROJ'!K59</f>
        <v>1.5489173383910227E-2</v>
      </c>
      <c r="L56" s="262">
        <f>+'WICHE Public Grads-RE PROJ'!BB59/'WICHE Public Grads-RE PROJ'!L59</f>
        <v>1.7549432224251569E-2</v>
      </c>
      <c r="M56" s="267">
        <f>+'WICHE Public Grads-RE PROJ'!BC59/'WICHE Public Grads-RE PROJ'!M59</f>
        <v>1.7455781262068433E-2</v>
      </c>
      <c r="N56" s="267">
        <f>+'WICHE Public Grads-RE PROJ'!BD59/'WICHE Public Grads-RE PROJ'!N59</f>
        <v>1.566500979063112E-2</v>
      </c>
      <c r="O56" s="267">
        <f>+'WICHE Public Grads-RE PROJ'!BE59/'WICHE Public Grads-RE PROJ'!O59</f>
        <v>1.9882235986847137E-2</v>
      </c>
      <c r="P56" s="267">
        <f>+'WICHE Public Grads-RE PROJ'!BF59/'WICHE Public Grads-RE PROJ'!P59</f>
        <v>2.0463320463320462E-2</v>
      </c>
      <c r="Q56" s="267">
        <f>+'WICHE Public Grads-RE PROJ'!BG59/'WICHE Public Grads-RE PROJ'!Q59</f>
        <v>1.9770359668466277E-2</v>
      </c>
      <c r="R56" s="267">
        <f>+'WICHE Public Grads-RE PROJ'!BH59/'WICHE Public Grads-RE PROJ'!R59</f>
        <v>2.1393728222996514E-2</v>
      </c>
      <c r="S56" s="267">
        <f>+'WICHE Public Grads-RE PROJ'!BI59/'WICHE Public Grads-RE PROJ'!S59</f>
        <v>2.1712907117008445E-2</v>
      </c>
      <c r="T56" s="267">
        <f>+'WICHE Public Grads-RE PROJ'!BJ59/'WICHE Public Grads-RE PROJ'!T59</f>
        <v>2.2531807520079609E-2</v>
      </c>
      <c r="U56" s="267">
        <f>+'WICHE Public Grads-RE PROJ'!BK59/'WICHE Public Grads-RE PROJ'!U59</f>
        <v>2.1960698569101763E-2</v>
      </c>
      <c r="V56" s="267">
        <f>+'WICHE Public Grads-RE PROJ'!BL59/'WICHE Public Grads-RE PROJ'!V59</f>
        <v>2.5253994727636713E-2</v>
      </c>
      <c r="W56" s="267">
        <f>+'WICHE Public Grads-RE PROJ'!BM59/'WICHE Public Grads-RE PROJ'!W59</f>
        <v>2.9503953144089018E-2</v>
      </c>
      <c r="X56" s="268">
        <f>+'WICHE Public Grads-RE PROJ'!BN59/'WICHE Public Grads-RE PROJ'!Y59</f>
        <v>3.0259948952722767E-2</v>
      </c>
      <c r="Y56" s="268">
        <f>+'WICHE Public Grads-RE PROJ'!BO59/'WICHE Public Grads-RE PROJ'!Z59</f>
        <v>2.5468771252312457E-2</v>
      </c>
      <c r="Z56" s="268">
        <f>+'WICHE Public Grads-RE PROJ'!BP59/'WICHE Public Grads-RE PROJ'!AA59</f>
        <v>3.2223639377128133E-2</v>
      </c>
      <c r="AA56" s="268">
        <f>+'WICHE Public Grads-RE PROJ'!BQ59/'WICHE Public Grads-RE PROJ'!AB59</f>
        <v>3.0023102148328061E-2</v>
      </c>
      <c r="AB56" s="266">
        <f>+'WICHE Public Grads-RE PROJ'!BR59/'WICHE Public Grads-RE PROJ'!AC59</f>
        <v>3.2355659607329973E-2</v>
      </c>
      <c r="AC56" s="266">
        <f>+'WICHE Public Grads-RE PROJ'!BS59/'WICHE Public Grads-RE PROJ'!AD59</f>
        <v>3.7238715914334301E-2</v>
      </c>
      <c r="AD56" s="266">
        <f>+'WICHE Public Grads-RE PROJ'!BT59/'WICHE Public Grads-RE PROJ'!AE59</f>
        <v>3.3076556951215134E-2</v>
      </c>
      <c r="AE56" s="266">
        <f>+'WICHE Public Grads-RE PROJ'!BU59/'WICHE Public Grads-RE PROJ'!AF59</f>
        <v>3.5240851706620183E-2</v>
      </c>
      <c r="AF56" s="266">
        <f>+'WICHE Public Grads-RE PROJ'!BV59/'WICHE Public Grads-RE PROJ'!AG59</f>
        <v>4.0473975045940948E-2</v>
      </c>
      <c r="AG56" s="268">
        <f>+'WICHE Public Grads-RE PROJ'!BW59/'WICHE Public Grads-RE PROJ'!AH59</f>
        <v>3.6453786260589406E-2</v>
      </c>
      <c r="AH56" s="266">
        <f>+'WICHE Public Grads-RE PROJ'!BX59/'WICHE Public Grads-RE PROJ'!AI59</f>
        <v>3.8823787399905219E-2</v>
      </c>
      <c r="AI56" s="266">
        <f>+'WICHE Public Grads-RE PROJ'!BY59/'WICHE Public Grads-RE PROJ'!AJ59</f>
        <v>3.457335731203396E-2</v>
      </c>
      <c r="AJ56" s="266">
        <f>+'WICHE Public Grads-RE PROJ'!BZ59/'WICHE Public Grads-RE PROJ'!AK59</f>
        <v>4.0885362933421397E-2</v>
      </c>
      <c r="AK56" s="266">
        <f>+'WICHE Public Grads-RE PROJ'!CA59/'WICHE Public Grads-RE PROJ'!AL59</f>
        <v>4.2092014140276371E-2</v>
      </c>
      <c r="AL56" s="266">
        <f>+'WICHE Public Grads-RE PROJ'!CB59/'WICHE Public Grads-RE PROJ'!AM59</f>
        <v>4.057522688384925E-2</v>
      </c>
      <c r="AM56" s="266">
        <f>+'WICHE Public Grads-RE PROJ'!CC59/'WICHE Public Grads-RE PROJ'!AN59</f>
        <v>3.8475975221832423E-2</v>
      </c>
      <c r="AN56" s="266">
        <f>+'WICHE Public Grads-RE PROJ'!CD59/'WICHE Public Grads-RE PROJ'!AO59</f>
        <v>4.4071163432214414E-2</v>
      </c>
      <c r="AO56" s="266">
        <f>+'WICHE Public Grads-RE PROJ'!CE59/'WICHE Public Grads-RE PROJ'!AP59</f>
        <v>4.4839074262944013E-2</v>
      </c>
      <c r="AP56" s="282">
        <f>+'WICHE Public Grads-RE PROJ'!CF59/'WICHE Public Grads-RE PROJ'!AQ59</f>
        <v>4.8348577287339843E-2</v>
      </c>
      <c r="AQ56" s="262">
        <f>+'WICHE Public Grads-RE PROJ'!CG59/'WICHE Public Grads-RE PROJ'!B59</f>
        <v>4.5019667000730139E-3</v>
      </c>
      <c r="AR56" s="262">
        <f>+'WICHE Public Grads-RE PROJ'!CH59/'WICHE Public Grads-RE PROJ'!C59</f>
        <v>4.5019667000730139E-3</v>
      </c>
      <c r="AS56" s="262">
        <f>+'WICHE Public Grads-RE PROJ'!CI59/'WICHE Public Grads-RE PROJ'!D59</f>
        <v>4.216444132115249E-3</v>
      </c>
      <c r="AT56" s="262">
        <f>+'WICHE Public Grads-RE PROJ'!CJ59/'WICHE Public Grads-RE PROJ'!E59</f>
        <v>4.2604990870359098E-3</v>
      </c>
      <c r="AU56" s="262">
        <f>+'WICHE Public Grads-RE PROJ'!CK59/'WICHE Public Grads-RE PROJ'!F59</f>
        <v>5.0021195421788896E-3</v>
      </c>
      <c r="AV56" s="262">
        <f>+'WICHE Public Grads-RE PROJ'!CL59/'WICHE Public Grads-RE PROJ'!G59</f>
        <v>4.2432814710042432E-3</v>
      </c>
      <c r="AW56" s="267">
        <f>+'WICHE Public Grads-RE PROJ'!CM59/'WICHE Public Grads-RE PROJ'!H59</f>
        <v>3.5329882507600034E-3</v>
      </c>
      <c r="AX56" s="267">
        <f>+'WICHE Public Grads-RE PROJ'!CN59/'WICHE Public Grads-RE PROJ'!I59</f>
        <v>4.1708375041708372E-3</v>
      </c>
      <c r="AY56" s="267">
        <f>+'WICHE Public Grads-RE PROJ'!CO59/'WICHE Public Grads-RE PROJ'!J59</f>
        <v>4.7185161080377479E-3</v>
      </c>
      <c r="AZ56" s="267">
        <f>+'WICHE Public Grads-RE PROJ'!CP59/'WICHE Public Grads-RE PROJ'!K59</f>
        <v>5.9269796111901373E-3</v>
      </c>
      <c r="BA56" s="262">
        <f>+'WICHE Public Grads-RE PROJ'!CQ59/'WICHE Public Grads-RE PROJ'!L59</f>
        <v>6.1145080600333518E-3</v>
      </c>
      <c r="BB56" s="267">
        <f>+'WICHE Public Grads-RE PROJ'!CR59/'WICHE Public Grads-RE PROJ'!M59</f>
        <v>6.0245616745191934E-3</v>
      </c>
      <c r="BC56" s="267">
        <f>+'WICHE Public Grads-RE PROJ'!CS59/'WICHE Public Grads-RE PROJ'!N59</f>
        <v>5.3471908419942763E-3</v>
      </c>
      <c r="BD56" s="267">
        <f>+'WICHE Public Grads-RE PROJ'!CT59/'WICHE Public Grads-RE PROJ'!O59</f>
        <v>6.7293721801636461E-3</v>
      </c>
      <c r="BE56" s="267">
        <f>+'WICHE Public Grads-RE PROJ'!CU59/'WICHE Public Grads-RE PROJ'!P59</f>
        <v>5.3281853281853279E-3</v>
      </c>
      <c r="BF56" s="267">
        <f>+'WICHE Public Grads-RE PROJ'!CV59/'WICHE Public Grads-RE PROJ'!Q59</f>
        <v>5.7790282107824499E-3</v>
      </c>
      <c r="BG56" s="267">
        <f>+'WICHE Public Grads-RE PROJ'!CW59/'WICHE Public Grads-RE PROJ'!R59</f>
        <v>5.0871080139372827E-3</v>
      </c>
      <c r="BH56" s="267">
        <f>+'WICHE Public Grads-RE PROJ'!CX59/'WICHE Public Grads-RE PROJ'!S59</f>
        <v>6.3861491520613069E-3</v>
      </c>
      <c r="BI56" s="267">
        <f>+'WICHE Public Grads-RE PROJ'!CY59/'WICHE Public Grads-RE PROJ'!T59</f>
        <v>7.107825716113441E-3</v>
      </c>
      <c r="BJ56" s="267">
        <f>+'WICHE Public Grads-RE PROJ'!CZ59/'WICHE Public Grads-RE PROJ'!U59</f>
        <v>7.5134154279787452E-3</v>
      </c>
      <c r="BK56" s="267">
        <f>+'WICHE Public Grads-RE PROJ'!DA59/'WICHE Public Grads-RE PROJ'!V59</f>
        <v>6.113763830996894E-3</v>
      </c>
      <c r="BL56" s="267">
        <f>+'WICHE Public Grads-RE PROJ'!DB59/'WICHE Public Grads-RE PROJ'!W59</f>
        <v>7.038057017369214E-3</v>
      </c>
      <c r="BM56" s="268">
        <f>+'WICHE Public Grads-RE PROJ'!DC59/'WICHE Public Grads-RE PROJ'!Y59</f>
        <v>7.2601703477854678E-3</v>
      </c>
      <c r="BN56" s="268">
        <f>+'WICHE Public Grads-RE PROJ'!DD59/'WICHE Public Grads-RE PROJ'!Z59</f>
        <v>7.2808695228624813E-3</v>
      </c>
      <c r="BO56" s="268">
        <f>+'WICHE Public Grads-RE PROJ'!DE59/'WICHE Public Grads-RE PROJ'!AA59</f>
        <v>6.794333797628815E-3</v>
      </c>
      <c r="BP56" s="268">
        <f>+'WICHE Public Grads-RE PROJ'!DF59/'WICHE Public Grads-RE PROJ'!AB59</f>
        <v>7.1402238388284531E-3</v>
      </c>
      <c r="BQ56" s="266">
        <f>+'WICHE Public Grads-RE PROJ'!DG59/'WICHE Public Grads-RE PROJ'!AC59</f>
        <v>7.0101390971127981E-3</v>
      </c>
      <c r="BR56" s="266">
        <f>+'WICHE Public Grads-RE PROJ'!DH59/'WICHE Public Grads-RE PROJ'!AD59</f>
        <v>8.0130974093988189E-3</v>
      </c>
      <c r="BS56" s="266">
        <f>+'WICHE Public Grads-RE PROJ'!DI59/'WICHE Public Grads-RE PROJ'!AE59</f>
        <v>8.6489648933035495E-3</v>
      </c>
      <c r="BT56" s="266">
        <f>+'WICHE Public Grads-RE PROJ'!DJ59/'WICHE Public Grads-RE PROJ'!AF59</f>
        <v>8.3319370224679244E-3</v>
      </c>
      <c r="BU56" s="266">
        <f>+'WICHE Public Grads-RE PROJ'!DK59/'WICHE Public Grads-RE PROJ'!AG59</f>
        <v>8.6843969365458795E-3</v>
      </c>
      <c r="BV56" s="268">
        <f>+'WICHE Public Grads-RE PROJ'!DL59/'WICHE Public Grads-RE PROJ'!AH59</f>
        <v>9.9532507468126415E-3</v>
      </c>
      <c r="BW56" s="266">
        <f>+'WICHE Public Grads-RE PROJ'!DM59/'WICHE Public Grads-RE PROJ'!AI59</f>
        <v>8.0103079407551486E-3</v>
      </c>
      <c r="BX56" s="266">
        <f>+'WICHE Public Grads-RE PROJ'!DN59/'WICHE Public Grads-RE PROJ'!AJ59</f>
        <v>8.7213084407788636E-3</v>
      </c>
      <c r="BY56" s="266">
        <f>+'WICHE Public Grads-RE PROJ'!DO59/'WICHE Public Grads-RE PROJ'!AK59</f>
        <v>1.0263072907936405E-2</v>
      </c>
      <c r="BZ56" s="266">
        <f>+'WICHE Public Grads-RE PROJ'!DP59/'WICHE Public Grads-RE PROJ'!AL59</f>
        <v>1.0484859653949677E-2</v>
      </c>
      <c r="CA56" s="266">
        <f>+'WICHE Public Grads-RE PROJ'!DQ59/'WICHE Public Grads-RE PROJ'!AM59</f>
        <v>1.0066276966411679E-2</v>
      </c>
      <c r="CB56" s="266">
        <f>+'WICHE Public Grads-RE PROJ'!DR59/'WICHE Public Grads-RE PROJ'!AN59</f>
        <v>9.9464243173642969E-3</v>
      </c>
      <c r="CC56" s="266">
        <f>+'WICHE Public Grads-RE PROJ'!DS59/'WICHE Public Grads-RE PROJ'!AO59</f>
        <v>1.1235453667033289E-2</v>
      </c>
      <c r="CD56" s="266">
        <f>+'WICHE Public Grads-RE PROJ'!DT59/'WICHE Public Grads-RE PROJ'!AP59</f>
        <v>1.0385500417477043E-2</v>
      </c>
      <c r="CE56" s="282">
        <f>+'WICHE Public Grads-RE PROJ'!DU59/'WICHE Public Grads-RE PROJ'!AQ59</f>
        <v>1.3734703392981626E-2</v>
      </c>
      <c r="CF56" s="262">
        <f>+'WICHE Public Grads-RE PROJ'!DV59/'WICHE Public Grads-RE PROJ'!B59</f>
        <v>1.0090369189243669E-2</v>
      </c>
      <c r="CG56" s="262">
        <f>+'WICHE Public Grads-RE PROJ'!DW59/'WICHE Public Grads-RE PROJ'!C59</f>
        <v>1.0090369189243669E-2</v>
      </c>
      <c r="CH56" s="262">
        <f>+'WICHE Public Grads-RE PROJ'!DX59/'WICHE Public Grads-RE PROJ'!D59</f>
        <v>8.608573436401968E-3</v>
      </c>
      <c r="CI56" s="262">
        <f>+'WICHE Public Grads-RE PROJ'!DY59/'WICHE Public Grads-RE PROJ'!E59</f>
        <v>8.0862533692722376E-3</v>
      </c>
      <c r="CJ56" s="262">
        <f>+'WICHE Public Grads-RE PROJ'!DZ59/'WICHE Public Grads-RE PROJ'!F59</f>
        <v>1.1784654514624841E-2</v>
      </c>
      <c r="CK56" s="262">
        <f>+'WICHE Public Grads-RE PROJ'!EA59/'WICHE Public Grads-RE PROJ'!G59</f>
        <v>1.0400199683833929E-2</v>
      </c>
      <c r="CL56" s="267">
        <f>+'WICHE Public Grads-RE PROJ'!EB59/'WICHE Public Grads-RE PROJ'!H59</f>
        <v>8.5449018157916362E-3</v>
      </c>
      <c r="CM56" s="267">
        <f>+'WICHE Public Grads-RE PROJ'!EC59/'WICHE Public Grads-RE PROJ'!I59</f>
        <v>1.0343677010343676E-2</v>
      </c>
      <c r="CN56" s="267">
        <f>+'WICHE Public Grads-RE PROJ'!ED59/'WICHE Public Grads-RE PROJ'!J59</f>
        <v>1.0575984380084608E-2</v>
      </c>
      <c r="CO56" s="267">
        <f>+'WICHE Public Grads-RE PROJ'!EE59/'WICHE Public Grads-RE PROJ'!K59</f>
        <v>9.5621937727200877E-3</v>
      </c>
      <c r="CP56" s="262">
        <f>+'WICHE Public Grads-RE PROJ'!EF59/'WICHE Public Grads-RE PROJ'!L59</f>
        <v>1.1434924164218216E-2</v>
      </c>
      <c r="CQ56" s="267">
        <f>+'WICHE Public Grads-RE PROJ'!EG59/'WICHE Public Grads-RE PROJ'!M59</f>
        <v>1.143121958754924E-2</v>
      </c>
      <c r="CR56" s="267">
        <f>+'WICHE Public Grads-RE PROJ'!EH59/'WICHE Public Grads-RE PROJ'!N59</f>
        <v>1.0317818948636842E-2</v>
      </c>
      <c r="CS56" s="267">
        <f>+'WICHE Public Grads-RE PROJ'!EI59/'WICHE Public Grads-RE PROJ'!O59</f>
        <v>1.315286380668349E-2</v>
      </c>
      <c r="CT56" s="267">
        <f>+'WICHE Public Grads-RE PROJ'!EJ59/'WICHE Public Grads-RE PROJ'!P59</f>
        <v>1.5135135135135135E-2</v>
      </c>
      <c r="CU56" s="267">
        <f>+'WICHE Public Grads-RE PROJ'!EK59/'WICHE Public Grads-RE PROJ'!Q59</f>
        <v>1.3991331457683826E-2</v>
      </c>
      <c r="CV56" s="267">
        <f>+'WICHE Public Grads-RE PROJ'!EL59/'WICHE Public Grads-RE PROJ'!R59</f>
        <v>1.6306620209059233E-2</v>
      </c>
      <c r="CW56" s="267">
        <f>+'WICHE Public Grads-RE PROJ'!EM59/'WICHE Public Grads-RE PROJ'!S59</f>
        <v>1.5326757964947138E-2</v>
      </c>
      <c r="CX56" s="267">
        <f>+'WICHE Public Grads-RE PROJ'!EN59/'WICHE Public Grads-RE PROJ'!T59</f>
        <v>1.5423981803966166E-2</v>
      </c>
      <c r="CY56" s="267">
        <f>+'WICHE Public Grads-RE PROJ'!EO59/'WICHE Public Grads-RE PROJ'!U59</f>
        <v>1.4447283141123018E-2</v>
      </c>
      <c r="CZ56" s="267">
        <f>+'WICHE Public Grads-RE PROJ'!EP59/'WICHE Public Grads-RE PROJ'!V59</f>
        <v>1.9140230896639819E-2</v>
      </c>
      <c r="DA56" s="267">
        <f>+'WICHE Public Grads-RE PROJ'!EQ59/'WICHE Public Grads-RE PROJ'!W59</f>
        <v>2.2465896126719804E-2</v>
      </c>
      <c r="DB56" s="268">
        <f>+'WICHE Public Grads-RE PROJ'!ER59/'WICHE Public Grads-RE PROJ'!Y59</f>
        <v>2.29997786049373E-2</v>
      </c>
      <c r="DC56" s="268">
        <f>+'WICHE Public Grads-RE PROJ'!ES59/'WICHE Public Grads-RE PROJ'!Z59</f>
        <v>1.8187901729449975E-2</v>
      </c>
      <c r="DD56" s="268">
        <f>+'WICHE Public Grads-RE PROJ'!ET59/'WICHE Public Grads-RE PROJ'!AA59</f>
        <v>2.5429305579499319E-2</v>
      </c>
      <c r="DE56" s="268">
        <f>+'WICHE Public Grads-RE PROJ'!EU59/'WICHE Public Grads-RE PROJ'!AB59</f>
        <v>2.2882878309499609E-2</v>
      </c>
      <c r="DF56" s="266">
        <f>+'WICHE Public Grads-RE PROJ'!EV59/'WICHE Public Grads-RE PROJ'!AC59</f>
        <v>2.534552051021717E-2</v>
      </c>
      <c r="DG56" s="266">
        <f>+'WICHE Public Grads-RE PROJ'!EW59/'WICHE Public Grads-RE PROJ'!AD59</f>
        <v>2.9225618504935484E-2</v>
      </c>
      <c r="DH56" s="266">
        <f>+'WICHE Public Grads-RE PROJ'!EX59/'WICHE Public Grads-RE PROJ'!AE59</f>
        <v>2.4427592057911587E-2</v>
      </c>
      <c r="DI56" s="266">
        <f>+'WICHE Public Grads-RE PROJ'!EY59/'WICHE Public Grads-RE PROJ'!AF59</f>
        <v>2.6908914684152258E-2</v>
      </c>
      <c r="DJ56" s="266">
        <f>+'WICHE Public Grads-RE PROJ'!EZ59/'WICHE Public Grads-RE PROJ'!AG59</f>
        <v>3.1789578109395068E-2</v>
      </c>
      <c r="DK56" s="268">
        <f>+'WICHE Public Grads-RE PROJ'!FA59/'WICHE Public Grads-RE PROJ'!AH59</f>
        <v>2.6500535513776766E-2</v>
      </c>
      <c r="DL56" s="266">
        <f>+'WICHE Public Grads-RE PROJ'!FB59/'WICHE Public Grads-RE PROJ'!AI59</f>
        <v>3.081347945915007E-2</v>
      </c>
      <c r="DM56" s="266">
        <f>+'WICHE Public Grads-RE PROJ'!FC59/'WICHE Public Grads-RE PROJ'!AJ59</f>
        <v>2.5852048871255098E-2</v>
      </c>
      <c r="DN56" s="266">
        <f>+'WICHE Public Grads-RE PROJ'!FD59/'WICHE Public Grads-RE PROJ'!AK59</f>
        <v>3.0622290025484993E-2</v>
      </c>
      <c r="DO56" s="266">
        <f>+'WICHE Public Grads-RE PROJ'!FE59/'WICHE Public Grads-RE PROJ'!AL59</f>
        <v>3.16071544863267E-2</v>
      </c>
      <c r="DP56" s="266">
        <f>+'WICHE Public Grads-RE PROJ'!FF59/'WICHE Public Grads-RE PROJ'!AM59</f>
        <v>3.0508949917437574E-2</v>
      </c>
      <c r="DQ56" s="266">
        <f>+'WICHE Public Grads-RE PROJ'!FG59/'WICHE Public Grads-RE PROJ'!AN59</f>
        <v>2.8529550904468126E-2</v>
      </c>
      <c r="DR56" s="266">
        <f>+'WICHE Public Grads-RE PROJ'!FH59/'WICHE Public Grads-RE PROJ'!AO59</f>
        <v>3.2835709765181118E-2</v>
      </c>
      <c r="DS56" s="266">
        <f>+'WICHE Public Grads-RE PROJ'!FI59/'WICHE Public Grads-RE PROJ'!AP59</f>
        <v>3.4453573845466968E-2</v>
      </c>
      <c r="DT56" s="282">
        <f>+'WICHE Public Grads-RE PROJ'!FJ59/'WICHE Public Grads-RE PROJ'!AQ59</f>
        <v>3.4613873894358223E-2</v>
      </c>
      <c r="DU56" s="262">
        <f>+'WICHE Public Grads-RE PROJ'!FK59/'WICHE Public Grads-RE PROJ'!B59</f>
        <v>7.2223259101814779E-3</v>
      </c>
      <c r="DV56" s="262">
        <f>+'WICHE Public Grads-RE PROJ'!FL59/'WICHE Public Grads-RE PROJ'!C59</f>
        <v>7.2223259101814779E-3</v>
      </c>
      <c r="DW56" s="262">
        <f>+'WICHE Public Grads-RE PROJ'!FM59/'WICHE Public Grads-RE PROJ'!D59</f>
        <v>5.0070274068868591E-3</v>
      </c>
      <c r="DX56" s="262">
        <f>+'WICHE Public Grads-RE PROJ'!FN59/'WICHE Public Grads-RE PROJ'!E59</f>
        <v>5.6516824623945748E-3</v>
      </c>
      <c r="DY56" s="262">
        <f>+'WICHE Public Grads-RE PROJ'!FO59/'WICHE Public Grads-RE PROJ'!F59</f>
        <v>1.1106401017380247E-2</v>
      </c>
      <c r="DZ56" s="262">
        <f>+'WICHE Public Grads-RE PROJ'!FP59/'WICHE Public Grads-RE PROJ'!G59</f>
        <v>4.9088942507696147E-3</v>
      </c>
      <c r="EA56" s="267">
        <f>+'WICHE Public Grads-RE PROJ'!FQ59/'WICHE Public Grads-RE PROJ'!H59</f>
        <v>8.216251745953496E-3</v>
      </c>
      <c r="EB56" s="267">
        <f>+'WICHE Public Grads-RE PROJ'!FR59/'WICHE Public Grads-RE PROJ'!I59</f>
        <v>6.3396730063396732E-3</v>
      </c>
      <c r="EC56" s="267">
        <f>+'WICHE Public Grads-RE PROJ'!FS59/'WICHE Public Grads-RE PROJ'!J59</f>
        <v>7.4031890660592259E-3</v>
      </c>
      <c r="ED56" s="267">
        <f>+'WICHE Public Grads-RE PROJ'!FT59/'WICHE Public Grads-RE PROJ'!K59</f>
        <v>6.6382171645329542E-3</v>
      </c>
      <c r="EE56" s="262">
        <f>+'WICHE Public Grads-RE PROJ'!FU59/'WICHE Public Grads-RE PROJ'!L59</f>
        <v>8.7350115143333597E-3</v>
      </c>
      <c r="EF56" s="267">
        <f>+'WICHE Public Grads-RE PROJ'!FV59/'WICHE Public Grads-RE PROJ'!M59</f>
        <v>1.1508457557735382E-2</v>
      </c>
      <c r="EG56" s="267">
        <f>+'WICHE Public Grads-RE PROJ'!FW59/'WICHE Public Grads-RE PROJ'!N59</f>
        <v>1.295375809609881E-2</v>
      </c>
      <c r="EH56" s="267">
        <f>+'WICHE Public Grads-RE PROJ'!FX59/'WICHE Public Grads-RE PROJ'!O59</f>
        <v>1.3229333945094441E-2</v>
      </c>
      <c r="EI56" s="267">
        <f>+'WICHE Public Grads-RE PROJ'!FY59/'WICHE Public Grads-RE PROJ'!P59</f>
        <v>1.6911196911196913E-2</v>
      </c>
      <c r="EJ56" s="267">
        <f>+'WICHE Public Grads-RE PROJ'!FZ59/'WICHE Public Grads-RE PROJ'!Q59</f>
        <v>1.7261044787468635E-2</v>
      </c>
      <c r="EK56" s="267">
        <f>+'WICHE Public Grads-RE PROJ'!GA59/'WICHE Public Grads-RE PROJ'!R59</f>
        <v>1.986062717770035E-2</v>
      </c>
      <c r="EL56" s="267">
        <f>+'WICHE Public Grads-RE PROJ'!GB59/'WICHE Public Grads-RE PROJ'!S59</f>
        <v>1.9442276307386645E-2</v>
      </c>
      <c r="EM56" s="267">
        <f>+'WICHE Public Grads-RE PROJ'!GC59/'WICHE Public Grads-RE PROJ'!T59</f>
        <v>2.0612694576728978E-2</v>
      </c>
      <c r="EN56" s="267">
        <f>+'WICHE Public Grads-RE PROJ'!GD59/'WICHE Public Grads-RE PROJ'!U59</f>
        <v>2.0557754661823704E-2</v>
      </c>
      <c r="EO56" s="267">
        <f>+'WICHE Public Grads-RE PROJ'!GE59/'WICHE Public Grads-RE PROJ'!V59</f>
        <v>2.3465877582292793E-2</v>
      </c>
      <c r="EP56" s="267">
        <f>+'WICHE Public Grads-RE PROJ'!GF59/'WICHE Public Grads-RE PROJ'!W59</f>
        <v>2.4395508765487402E-2</v>
      </c>
      <c r="EQ56" s="268">
        <f>+'WICHE Public Grads-RE PROJ'!GG59/'WICHE Public Grads-RE PROJ'!Y59</f>
        <v>3.0390901966967823E-2</v>
      </c>
      <c r="ER56" s="268">
        <f>+'WICHE Public Grads-RE PROJ'!GH59/'WICHE Public Grads-RE PROJ'!Z59</f>
        <v>3.3104934192419291E-2</v>
      </c>
      <c r="ES56" s="268">
        <f>+'WICHE Public Grads-RE PROJ'!GI59/'WICHE Public Grads-RE PROJ'!AA59</f>
        <v>3.1502676705626551E-2</v>
      </c>
      <c r="ET56" s="268">
        <f>+'WICHE Public Grads-RE PROJ'!GJ59/'WICHE Public Grads-RE PROJ'!AB59</f>
        <v>3.567723029290553E-2</v>
      </c>
      <c r="EU56" s="266">
        <f>+'WICHE Public Grads-RE PROJ'!GK59/'WICHE Public Grads-RE PROJ'!AC59</f>
        <v>3.7325170670918735E-2</v>
      </c>
      <c r="EV56" s="266">
        <f>+'WICHE Public Grads-RE PROJ'!GL59/'WICHE Public Grads-RE PROJ'!AD59</f>
        <v>4.2073404353250757E-2</v>
      </c>
      <c r="EW56" s="266">
        <f>+'WICHE Public Grads-RE PROJ'!GM59/'WICHE Public Grads-RE PROJ'!AE59</f>
        <v>4.803528607242212E-2</v>
      </c>
      <c r="EX56" s="266">
        <f>+'WICHE Public Grads-RE PROJ'!GN59/'WICHE Public Grads-RE PROJ'!AF59</f>
        <v>5.0829683263013889E-2</v>
      </c>
      <c r="EY56" s="266">
        <f>+'WICHE Public Grads-RE PROJ'!GO59/'WICHE Public Grads-RE PROJ'!AG59</f>
        <v>6.1907588678179921E-2</v>
      </c>
      <c r="EZ56" s="268">
        <f>+'WICHE Public Grads-RE PROJ'!GP59/'WICHE Public Grads-RE PROJ'!AH59</f>
        <v>6.5400135293173275E-2</v>
      </c>
      <c r="FA56" s="266">
        <f>+'WICHE Public Grads-RE PROJ'!GQ59/'WICHE Public Grads-RE PROJ'!AI59</f>
        <v>6.3370452210392947E-2</v>
      </c>
      <c r="FB56" s="266">
        <f>+'WICHE Public Grads-RE PROJ'!GR59/'WICHE Public Grads-RE PROJ'!AJ59</f>
        <v>7.6389205921044367E-2</v>
      </c>
      <c r="FC56" s="266">
        <f>+'WICHE Public Grads-RE PROJ'!GS59/'WICHE Public Grads-RE PROJ'!AK59</f>
        <v>9.9408326368245592E-2</v>
      </c>
      <c r="FD56" s="266">
        <f>+'WICHE Public Grads-RE PROJ'!GT59/'WICHE Public Grads-RE PROJ'!AL59</f>
        <v>0.10638360532876746</v>
      </c>
      <c r="FE56" s="266">
        <f>+'WICHE Public Grads-RE PROJ'!GU59/'WICHE Public Grads-RE PROJ'!AM59</f>
        <v>0.1031083990717145</v>
      </c>
      <c r="FF56" s="266">
        <f>+'WICHE Public Grads-RE PROJ'!GV59/'WICHE Public Grads-RE PROJ'!AN59</f>
        <v>0.10785551708486772</v>
      </c>
      <c r="FG56" s="266">
        <f>+'WICHE Public Grads-RE PROJ'!GW59/'WICHE Public Grads-RE PROJ'!AO59</f>
        <v>0.11010991289367807</v>
      </c>
      <c r="FH56" s="266">
        <f>+'WICHE Public Grads-RE PROJ'!GX59/'WICHE Public Grads-RE PROJ'!AP59</f>
        <v>0.12384122435060954</v>
      </c>
      <c r="FI56" s="282">
        <f>+'WICHE Public Grads-RE PROJ'!GY59/'WICHE Public Grads-RE PROJ'!AQ59</f>
        <v>0.12359253111251295</v>
      </c>
      <c r="FJ56" s="262">
        <f>+'WICHE Public Grads-RE PROJ'!GZ59/'WICHE Public Grads-RE PROJ'!B59</f>
        <v>4.0215514048911579E-3</v>
      </c>
      <c r="FK56" s="262">
        <f>+'WICHE Public Grads-RE PROJ'!HA59/'WICHE Public Grads-RE PROJ'!C59</f>
        <v>4.0215514048911579E-3</v>
      </c>
      <c r="FL56" s="262">
        <f>+'WICHE Public Grads-RE PROJ'!HB59/'WICHE Public Grads-RE PROJ'!D59</f>
        <v>4.0407589599437809E-3</v>
      </c>
      <c r="FM56" s="262">
        <f>+'WICHE Public Grads-RE PROJ'!HC59/'WICHE Public Grads-RE PROJ'!E59</f>
        <v>3.5649073993565777E-3</v>
      </c>
      <c r="FN56" s="262">
        <f>+'WICHE Public Grads-RE PROJ'!HD59/'WICHE Public Grads-RE PROJ'!F59</f>
        <v>5.1716829164900379E-3</v>
      </c>
      <c r="FO56" s="262">
        <f>+'WICHE Public Grads-RE PROJ'!HE59/'WICHE Public Grads-RE PROJ'!G59</f>
        <v>3.3280638988268576E-3</v>
      </c>
      <c r="FP56" s="267">
        <f>+'WICHE Public Grads-RE PROJ'!HF59/'WICHE Public Grads-RE PROJ'!H59</f>
        <v>5.9157012570865168E-3</v>
      </c>
      <c r="FQ56" s="267">
        <f>+'WICHE Public Grads-RE PROJ'!HG59/'WICHE Public Grads-RE PROJ'!I59</f>
        <v>3.5035035035035035E-3</v>
      </c>
      <c r="FR56" s="267">
        <f>+'WICHE Public Grads-RE PROJ'!HH59/'WICHE Public Grads-RE PROJ'!J59</f>
        <v>5.3693459160429544E-3</v>
      </c>
      <c r="FS56" s="267">
        <f>+'WICHE Public Grads-RE PROJ'!HI59/'WICHE Public Grads-RE PROJ'!K59</f>
        <v>6.2430851904536119E-3</v>
      </c>
      <c r="FT56" s="262">
        <f>+'WICHE Public Grads-RE PROJ'!HJ59/'WICHE Public Grads-RE PROJ'!L59</f>
        <v>4.8439609306757721E-3</v>
      </c>
      <c r="FU56" s="267">
        <f>+'WICHE Public Grads-RE PROJ'!HK59/'WICHE Public Grads-RE PROJ'!M59</f>
        <v>5.7156097937746198E-3</v>
      </c>
      <c r="FV56" s="267">
        <f>+'WICHE Public Grads-RE PROJ'!HL59/'WICHE Public Grads-RE PROJ'!N59</f>
        <v>5.723753577345986E-3</v>
      </c>
      <c r="FW56" s="267">
        <f>+'WICHE Public Grads-RE PROJ'!HM59/'WICHE Public Grads-RE PROJ'!O59</f>
        <v>7.0352527338074485E-3</v>
      </c>
      <c r="FX56" s="267">
        <f>+'WICHE Public Grads-RE PROJ'!HN59/'WICHE Public Grads-RE PROJ'!P59</f>
        <v>8.2625482625482624E-3</v>
      </c>
      <c r="FY56" s="267">
        <f>+'WICHE Public Grads-RE PROJ'!HO59/'WICHE Public Grads-RE PROJ'!Q59</f>
        <v>7.8321040225077937E-3</v>
      </c>
      <c r="FZ56" s="267">
        <f>+'WICHE Public Grads-RE PROJ'!HP59/'WICHE Public Grads-RE PROJ'!R59</f>
        <v>8.9895470383275257E-3</v>
      </c>
      <c r="GA56" s="267">
        <f>+'WICHE Public Grads-RE PROJ'!HQ59/'WICHE Public Grads-RE PROJ'!S59</f>
        <v>8.2310366848790187E-3</v>
      </c>
      <c r="GB56" s="267">
        <f>+'WICHE Public Grads-RE PROJ'!HR59/'WICHE Public Grads-RE PROJ'!T59</f>
        <v>1.0377425545525624E-2</v>
      </c>
      <c r="GC56" s="267">
        <f>+'WICHE Public Grads-RE PROJ'!HS59/'WICHE Public Grads-RE PROJ'!U59</f>
        <v>1.3843111404087014E-2</v>
      </c>
      <c r="GD56" s="267">
        <f>+'WICHE Public Grads-RE PROJ'!HT59/'WICHE Public Grads-RE PROJ'!V59</f>
        <v>1.1356045424181697E-2</v>
      </c>
      <c r="GE56" s="267">
        <f>+'WICHE Public Grads-RE PROJ'!HU59/'WICHE Public Grads-RE PROJ'!W59</f>
        <v>1.4502657555049354E-2</v>
      </c>
      <c r="GF56" s="268">
        <f>+'WICHE Public Grads-RE PROJ'!HV59/'WICHE Public Grads-RE PROJ'!Y59</f>
        <v>1.2762107129531131E-2</v>
      </c>
      <c r="GG56" s="268">
        <f>+'WICHE Public Grads-RE PROJ'!HW59/'WICHE Public Grads-RE PROJ'!Z59</f>
        <v>1.4634850975243491E-2</v>
      </c>
      <c r="GH56" s="268">
        <f>+'WICHE Public Grads-RE PROJ'!HX59/'WICHE Public Grads-RE PROJ'!AA59</f>
        <v>1.8654357766960936E-2</v>
      </c>
      <c r="GI56" s="268">
        <f>+'WICHE Public Grads-RE PROJ'!HY59/'WICHE Public Grads-RE PROJ'!AB59</f>
        <v>1.7044266701392329E-2</v>
      </c>
      <c r="GJ56" s="266">
        <f>+'WICHE Public Grads-RE PROJ'!HZ59/'WICHE Public Grads-RE PROJ'!AC59</f>
        <v>1.8622082986734775E-2</v>
      </c>
      <c r="GK56" s="266">
        <f>+'WICHE Public Grads-RE PROJ'!IA59/'WICHE Public Grads-RE PROJ'!AD59</f>
        <v>2.2967161011822789E-2</v>
      </c>
      <c r="GL56" s="266">
        <f>+'WICHE Public Grads-RE PROJ'!IB59/'WICHE Public Grads-RE PROJ'!AE59</f>
        <v>2.3877458942297515E-2</v>
      </c>
      <c r="GM56" s="266">
        <f>+'WICHE Public Grads-RE PROJ'!IC59/'WICHE Public Grads-RE PROJ'!AF59</f>
        <v>2.5552785629552644E-2</v>
      </c>
      <c r="GN56" s="266">
        <f>+'WICHE Public Grads-RE PROJ'!ID59/'WICHE Public Grads-RE PROJ'!AG59</f>
        <v>2.8271078460894633E-2</v>
      </c>
      <c r="GO56" s="268">
        <f>+'WICHE Public Grads-RE PROJ'!IE59/'WICHE Public Grads-RE PROJ'!AH59</f>
        <v>2.8841644316790642E-2</v>
      </c>
      <c r="GP56" s="266">
        <f>+'WICHE Public Grads-RE PROJ'!IF59/'WICHE Public Grads-RE PROJ'!AI59</f>
        <v>3.6830031788861753E-2</v>
      </c>
      <c r="GQ56" s="266">
        <f>+'WICHE Public Grads-RE PROJ'!IG59/'WICHE Public Grads-RE PROJ'!AJ59</f>
        <v>3.6770236097476774E-2</v>
      </c>
      <c r="GR56" s="266">
        <f>+'WICHE Public Grads-RE PROJ'!IH59/'WICHE Public Grads-RE PROJ'!AK59</f>
        <v>3.8085694128068004E-2</v>
      </c>
      <c r="GS56" s="266">
        <f>+'WICHE Public Grads-RE PROJ'!II59/'WICHE Public Grads-RE PROJ'!AL59</f>
        <v>3.4331768798375267E-2</v>
      </c>
      <c r="GT56" s="266">
        <f>+'WICHE Public Grads-RE PROJ'!IJ59/'WICHE Public Grads-RE PROJ'!AM59</f>
        <v>3.8120400256366219E-2</v>
      </c>
      <c r="GU56" s="266">
        <f>+'WICHE Public Grads-RE PROJ'!IK59/'WICHE Public Grads-RE PROJ'!AN59</f>
        <v>3.8887902087072733E-2</v>
      </c>
      <c r="GV56" s="266">
        <f>+'WICHE Public Grads-RE PROJ'!IL59/'WICHE Public Grads-RE PROJ'!AO59</f>
        <v>3.8789070967032081E-2</v>
      </c>
      <c r="GW56" s="266">
        <f>+'WICHE Public Grads-RE PROJ'!IM59/'WICHE Public Grads-RE PROJ'!AP59</f>
        <v>3.1876928184230262E-2</v>
      </c>
      <c r="GX56" s="282">
        <f>+'WICHE Public Grads-RE PROJ'!IN59/'WICHE Public Grads-RE PROJ'!AQ59</f>
        <v>3.7213450001508219E-2</v>
      </c>
      <c r="GY56" s="262">
        <f>+'WICHE Public Grads-RE PROJ'!IO59/'WICHE Public Grads-RE PROJ'!B59</f>
        <v>0.97416378679561078</v>
      </c>
      <c r="GZ56" s="262">
        <f>+'WICHE Public Grads-RE PROJ'!IP59/'WICHE Public Grads-RE PROJ'!C59</f>
        <v>0.97416378679561078</v>
      </c>
      <c r="HA56" s="262">
        <f>+'WICHE Public Grads-RE PROJ'!IQ59/'WICHE Public Grads-RE PROJ'!D59</f>
        <v>0.97812719606465215</v>
      </c>
      <c r="HB56" s="262">
        <f>+'WICHE Public Grads-RE PROJ'!IR59/'WICHE Public Grads-RE PROJ'!E59</f>
        <v>0.97843665768194066</v>
      </c>
      <c r="HC56" s="262">
        <f>+'WICHE Public Grads-RE PROJ'!IS59/'WICHE Public Grads-RE PROJ'!F59</f>
        <v>0.96693514200932595</v>
      </c>
      <c r="HD56" s="262">
        <f>+'WICHE Public Grads-RE PROJ'!IT59/'WICHE Public Grads-RE PROJ'!G59</f>
        <v>0.97711956069556538</v>
      </c>
      <c r="HE56" s="267">
        <f>+'WICHE Public Grads-RE PROJ'!IU59/'WICHE Public Grads-RE PROJ'!H59</f>
        <v>0.97379015693040838</v>
      </c>
      <c r="HF56" s="267">
        <f>+'WICHE Public Grads-RE PROJ'!IV59/'WICHE Public Grads-RE PROJ'!I59</f>
        <v>0.9756423089756423</v>
      </c>
      <c r="HG56" s="267">
        <f>+'WICHE Public Grads-RE PROJ'!IW59/'WICHE Public Grads-RE PROJ'!J59</f>
        <v>0.97193296452977551</v>
      </c>
      <c r="HH56" s="267">
        <f>+'WICHE Public Grads-RE PROJ'!IX59/'WICHE Public Grads-RE PROJ'!K59</f>
        <v>0.97162952426110316</v>
      </c>
      <c r="HI56" s="262">
        <f>+'WICHE Public Grads-RE PROJ'!IY59/'WICHE Public Grads-RE PROJ'!L59</f>
        <v>0.9688715953307393</v>
      </c>
      <c r="HJ56" s="267">
        <f>+'WICHE Public Grads-RE PROJ'!IZ59/'WICHE Public Grads-RE PROJ'!M59</f>
        <v>0.96532015138642158</v>
      </c>
      <c r="HK56" s="267">
        <f>+'WICHE Public Grads-RE PROJ'!JA59/'WICHE Public Grads-RE PROJ'!N59</f>
        <v>0.9656574785359241</v>
      </c>
      <c r="HL56" s="267">
        <f>+'WICHE Public Grads-RE PROJ'!JB59/'WICHE Public Grads-RE PROJ'!O59</f>
        <v>0.95985317733425102</v>
      </c>
      <c r="HM56" s="267">
        <f>+'WICHE Public Grads-RE PROJ'!JC59/'WICHE Public Grads-RE PROJ'!P59</f>
        <v>0.9543629343629344</v>
      </c>
      <c r="HN56" s="267">
        <f>+'WICHE Public Grads-RE PROJ'!JD59/'WICHE Public Grads-RE PROJ'!Q59</f>
        <v>0.95513649152155733</v>
      </c>
      <c r="HO56" s="267">
        <f>+'WICHE Public Grads-RE PROJ'!JE59/'WICHE Public Grads-RE PROJ'!R59</f>
        <v>0.94975609756097557</v>
      </c>
      <c r="HP56" s="267">
        <f>+'WICHE Public Grads-RE PROJ'!JF59/'WICHE Public Grads-RE PROJ'!S59</f>
        <v>0.95061377989072593</v>
      </c>
      <c r="HQ56" s="267">
        <f>+'WICHE Public Grads-RE PROJ'!JG59/'WICHE Public Grads-RE PROJ'!T59</f>
        <v>0.94647807235766579</v>
      </c>
      <c r="HR56" s="267">
        <f>+'WICHE Public Grads-RE PROJ'!JH59/'WICHE Public Grads-RE PROJ'!U59</f>
        <v>0.94363843536498748</v>
      </c>
      <c r="HS56" s="267">
        <f>+'WICHE Public Grads-RE PROJ'!JI59/'WICHE Public Grads-RE PROJ'!V59</f>
        <v>0.93992408226588875</v>
      </c>
      <c r="HT56" s="267">
        <f>+'WICHE Public Grads-RE PROJ'!JJ59/'WICHE Public Grads-RE PROJ'!W59</f>
        <v>0.93159788053537418</v>
      </c>
      <c r="HU56" s="268">
        <f>+'WICHE Public Grads-RE PROJ'!JK59/'WICHE Public Grads-RE PROJ'!Y59</f>
        <v>0.92708414473749334</v>
      </c>
      <c r="HV56" s="268">
        <f>+'WICHE Public Grads-RE PROJ'!JL59/'WICHE Public Grads-RE PROJ'!Z59</f>
        <v>0.9280949036278664</v>
      </c>
      <c r="HW56" s="268">
        <f>+'WICHE Public Grads-RE PROJ'!JM59/'WICHE Public Grads-RE PROJ'!AA59</f>
        <v>0.92234579990438992</v>
      </c>
      <c r="HX56" s="268">
        <f>+'WICHE Public Grads-RE PROJ'!JN59/'WICHE Public Grads-RE PROJ'!AB59</f>
        <v>0.92258146961883669</v>
      </c>
      <c r="HY56" s="266">
        <f>+'WICHE Public Grads-RE PROJ'!JO59/'WICHE Public Grads-RE PROJ'!AC59</f>
        <v>0.91973995935600883</v>
      </c>
      <c r="HZ56" s="266">
        <f>+'WICHE Public Grads-RE PROJ'!JP59/'WICHE Public Grads-RE PROJ'!AD59</f>
        <v>0.91138652938495013</v>
      </c>
      <c r="IA56" s="266">
        <f>+'WICHE Public Grads-RE PROJ'!JQ59/'WICHE Public Grads-RE PROJ'!AE59</f>
        <v>0.91190401279588029</v>
      </c>
      <c r="IB56" s="266">
        <f>+'WICHE Public Grads-RE PROJ'!JR59/'WICHE Public Grads-RE PROJ'!AF59</f>
        <v>0.91013441565419073</v>
      </c>
      <c r="IC56" s="266">
        <f>+'WICHE Public Grads-RE PROJ'!JS59/'WICHE Public Grads-RE PROJ'!AG59</f>
        <v>0.90024186408925055</v>
      </c>
      <c r="ID56" s="268">
        <f>+'WICHE Public Grads-RE PROJ'!JT59/'WICHE Public Grads-RE PROJ'!AH59</f>
        <v>0.90129232998593112</v>
      </c>
      <c r="IE56" s="266">
        <f>+'WICHE Public Grads-RE PROJ'!JU59/'WICHE Public Grads-RE PROJ'!AI59</f>
        <v>0.89931921690492489</v>
      </c>
      <c r="IF56" s="266">
        <f>+'WICHE Public Grads-RE PROJ'!JV59/'WICHE Public Grads-RE PROJ'!AJ59</f>
        <v>0.89709779312658366</v>
      </c>
      <c r="IG56" s="266">
        <f>+'WICHE Public Grads-RE PROJ'!JW59/'WICHE Public Grads-RE PROJ'!AK59</f>
        <v>0.88931973104917283</v>
      </c>
      <c r="IH56" s="266">
        <f>+'WICHE Public Grads-RE PROJ'!JX59/'WICHE Public Grads-RE PROJ'!AL59</f>
        <v>0.88737289280925913</v>
      </c>
      <c r="II56" s="266">
        <f>+'WICHE Public Grads-RE PROJ'!JY59/'WICHE Public Grads-RE PROJ'!AM59</f>
        <v>0.88693284936070937</v>
      </c>
      <c r="IJ56" s="266">
        <f>+'WICHE Public Grads-RE PROJ'!JZ59/'WICHE Public Grads-RE PROJ'!AN59</f>
        <v>0.88322826273346366</v>
      </c>
      <c r="IK56" s="266">
        <f>+'WICHE Public Grads-RE PROJ'!KA59/'WICHE Public Grads-RE PROJ'!AO59</f>
        <v>0.88266381665506211</v>
      </c>
      <c r="IL56" s="266">
        <f>+'WICHE Public Grads-RE PROJ'!KB59/'WICHE Public Grads-RE PROJ'!AP59</f>
        <v>0.88197726462191928</v>
      </c>
      <c r="IM56" s="282">
        <f>+'WICHE Public Grads-RE PROJ'!KC59/'WICHE Public Grads-RE PROJ'!AQ59</f>
        <v>0.87686425632601606</v>
      </c>
      <c r="IN56" s="278">
        <f t="shared" si="120"/>
        <v>1</v>
      </c>
      <c r="IO56" s="278">
        <f t="shared" si="121"/>
        <v>1</v>
      </c>
      <c r="IP56" s="278">
        <f t="shared" si="122"/>
        <v>1</v>
      </c>
      <c r="IQ56" s="278">
        <f t="shared" si="123"/>
        <v>1</v>
      </c>
      <c r="IR56" s="278">
        <f t="shared" si="124"/>
        <v>1</v>
      </c>
      <c r="IS56" s="278">
        <f t="shared" si="125"/>
        <v>1</v>
      </c>
      <c r="IT56" s="278">
        <f t="shared" si="126"/>
        <v>1</v>
      </c>
      <c r="IU56" s="278">
        <f t="shared" si="127"/>
        <v>1</v>
      </c>
      <c r="IV56" s="278">
        <f t="shared" si="128"/>
        <v>1</v>
      </c>
      <c r="IW56" s="278">
        <f t="shared" si="129"/>
        <v>1</v>
      </c>
      <c r="IX56" s="278">
        <f t="shared" si="130"/>
        <v>1</v>
      </c>
      <c r="IY56" s="278">
        <f t="shared" si="131"/>
        <v>1</v>
      </c>
      <c r="IZ56" s="278">
        <f t="shared" si="132"/>
        <v>1</v>
      </c>
      <c r="JA56" s="278">
        <f t="shared" si="133"/>
        <v>1</v>
      </c>
      <c r="JB56" s="278">
        <f t="shared" si="134"/>
        <v>1</v>
      </c>
      <c r="JC56" s="278">
        <f t="shared" si="135"/>
        <v>1</v>
      </c>
      <c r="JD56" s="278">
        <f t="shared" si="136"/>
        <v>1</v>
      </c>
      <c r="JE56" s="278">
        <f t="shared" si="137"/>
        <v>1</v>
      </c>
      <c r="JF56" s="278">
        <f t="shared" si="138"/>
        <v>1</v>
      </c>
      <c r="JG56" s="278">
        <f t="shared" si="139"/>
        <v>1</v>
      </c>
      <c r="JH56" s="278">
        <f t="shared" si="140"/>
        <v>1</v>
      </c>
      <c r="JI56" s="278">
        <f t="shared" si="141"/>
        <v>1</v>
      </c>
      <c r="JJ56" s="278">
        <f t="shared" si="142"/>
        <v>1.0004971027867151</v>
      </c>
      <c r="JK56" s="278">
        <f t="shared" si="143"/>
        <v>1.0013034600478417</v>
      </c>
      <c r="JL56" s="278">
        <f t="shared" si="144"/>
        <v>1.0047264737541055</v>
      </c>
      <c r="JM56" s="278">
        <f t="shared" si="145"/>
        <v>1.0053260687614627</v>
      </c>
      <c r="JN56" s="278">
        <f t="shared" si="146"/>
        <v>1.0080428726209922</v>
      </c>
      <c r="JO56" s="278">
        <f t="shared" si="147"/>
        <v>1.0136658106643579</v>
      </c>
      <c r="JP56" s="278">
        <f t="shared" si="148"/>
        <v>1.0168933147618151</v>
      </c>
      <c r="JQ56" s="278">
        <f t="shared" si="149"/>
        <v>1.0217577362533774</v>
      </c>
      <c r="JR56" s="278">
        <f t="shared" si="150"/>
        <v>1.030894506274266</v>
      </c>
      <c r="JS56" s="278">
        <f t="shared" si="151"/>
        <v>1.0319878958564845</v>
      </c>
      <c r="JT56" s="278">
        <f t="shared" si="152"/>
        <v>1.0383434883040847</v>
      </c>
      <c r="JU56" s="278">
        <f t="shared" si="153"/>
        <v>1.0448305924571388</v>
      </c>
      <c r="JV56" s="278">
        <f t="shared" si="154"/>
        <v>1.0676991144789079</v>
      </c>
      <c r="JW56" s="278">
        <f t="shared" si="155"/>
        <v>1.0701802810766783</v>
      </c>
      <c r="JX56" s="278">
        <f t="shared" si="156"/>
        <v>1.0687368755726394</v>
      </c>
      <c r="JY56" s="278">
        <f t="shared" si="157"/>
        <v>1.0684476571272365</v>
      </c>
      <c r="JZ56" s="278">
        <f t="shared" si="157"/>
        <v>1.0756339639479866</v>
      </c>
      <c r="KA56" s="278">
        <f t="shared" si="157"/>
        <v>1.082534491419703</v>
      </c>
      <c r="KB56" s="278">
        <f t="shared" si="157"/>
        <v>1.086018814727377</v>
      </c>
    </row>
    <row r="57" spans="1:288" s="17" customFormat="1">
      <c r="A57" s="175" t="s">
        <v>80</v>
      </c>
      <c r="B57" s="262">
        <f>+'WICHE Public Grads-RE PROJ'!AR60/'WICHE Public Grads-RE PROJ'!B60</f>
        <v>3.8774171751098041E-2</v>
      </c>
      <c r="C57" s="262">
        <f>+'WICHE Public Grads-RE PROJ'!AS60/'WICHE Public Grads-RE PROJ'!C60</f>
        <v>4.4949400881604269E-2</v>
      </c>
      <c r="D57" s="262">
        <f>+'WICHE Public Grads-RE PROJ'!AT60/'WICHE Public Grads-RE PROJ'!D60</f>
        <v>4.2631656586517186E-2</v>
      </c>
      <c r="E57" s="262">
        <f>+'WICHE Public Grads-RE PROJ'!AU60/'WICHE Public Grads-RE PROJ'!E60</f>
        <v>3.8968938106923381E-2</v>
      </c>
      <c r="F57" s="262">
        <f>+'WICHE Public Grads-RE PROJ'!AV60/'WICHE Public Grads-RE PROJ'!F60</f>
        <v>3.9880815952326377E-2</v>
      </c>
      <c r="G57" s="262">
        <f>+'WICHE Public Grads-RE PROJ'!AW60/'WICHE Public Grads-RE PROJ'!G60</f>
        <v>4.0891283055827621E-2</v>
      </c>
      <c r="H57" s="267">
        <f>+'WICHE Public Grads-RE PROJ'!AX60/'WICHE Public Grads-RE PROJ'!H60</f>
        <v>4.287243320383731E-2</v>
      </c>
      <c r="I57" s="267">
        <f>+'WICHE Public Grads-RE PROJ'!AY60/'WICHE Public Grads-RE PROJ'!I60</f>
        <v>4.5176333430486736E-2</v>
      </c>
      <c r="J57" s="267">
        <f>+'WICHE Public Grads-RE PROJ'!AZ60/'WICHE Public Grads-RE PROJ'!J60</f>
        <v>4.594900849858357E-2</v>
      </c>
      <c r="K57" s="267">
        <f>+'WICHE Public Grads-RE PROJ'!BA60/'WICHE Public Grads-RE PROJ'!K60</f>
        <v>4.8204732226573274E-2</v>
      </c>
      <c r="L57" s="262">
        <f>+'WICHE Public Grads-RE PROJ'!BB60/'WICHE Public Grads-RE PROJ'!L60</f>
        <v>5.118323925314807E-2</v>
      </c>
      <c r="M57" s="267">
        <f>+'WICHE Public Grads-RE PROJ'!BC60/'WICHE Public Grads-RE PROJ'!M60</f>
        <v>5.0886813010163075E-2</v>
      </c>
      <c r="N57" s="267">
        <f>+'WICHE Public Grads-RE PROJ'!BD60/'WICHE Public Grads-RE PROJ'!N60</f>
        <v>5.1469327572609129E-2</v>
      </c>
      <c r="O57" s="267">
        <f>+'WICHE Public Grads-RE PROJ'!BE60/'WICHE Public Grads-RE PROJ'!O60</f>
        <v>5.2392524930863993E-2</v>
      </c>
      <c r="P57" s="267">
        <f>+'WICHE Public Grads-RE PROJ'!BF60/'WICHE Public Grads-RE PROJ'!P60</f>
        <v>4.9875962919441179E-2</v>
      </c>
      <c r="Q57" s="267">
        <f>+'WICHE Public Grads-RE PROJ'!BG60/'WICHE Public Grads-RE PROJ'!Q60</f>
        <v>4.9215216812982174E-2</v>
      </c>
      <c r="R57" s="267">
        <f>+'WICHE Public Grads-RE PROJ'!BH60/'WICHE Public Grads-RE PROJ'!R60</f>
        <v>4.9588171234872767E-2</v>
      </c>
      <c r="S57" s="267">
        <f>+'WICHE Public Grads-RE PROJ'!BI60/'WICHE Public Grads-RE PROJ'!S60</f>
        <v>5.3625168420096014E-2</v>
      </c>
      <c r="T57" s="267">
        <f>+'WICHE Public Grads-RE PROJ'!BJ60/'WICHE Public Grads-RE PROJ'!T60</f>
        <v>5.5379494838793217E-2</v>
      </c>
      <c r="U57" s="267">
        <f>+'WICHE Public Grads-RE PROJ'!BK60/'WICHE Public Grads-RE PROJ'!U60</f>
        <v>5.4586326540925871E-2</v>
      </c>
      <c r="V57" s="267">
        <f>+'WICHE Public Grads-RE PROJ'!BL60/'WICHE Public Grads-RE PROJ'!V60</f>
        <v>5.6313628415062489E-2</v>
      </c>
      <c r="W57" s="267">
        <f>+'WICHE Public Grads-RE PROJ'!BM60/'WICHE Public Grads-RE PROJ'!W60</f>
        <v>5.8038138230269556E-2</v>
      </c>
      <c r="X57" s="268">
        <f>+'WICHE Public Grads-RE PROJ'!BN60/'WICHE Public Grads-RE PROJ'!Y60</f>
        <v>5.9733525242253727E-2</v>
      </c>
      <c r="Y57" s="268">
        <f>+'WICHE Public Grads-RE PROJ'!BO60/'WICHE Public Grads-RE PROJ'!Z60</f>
        <v>6.0796844669414166E-2</v>
      </c>
      <c r="Z57" s="268">
        <f>+'WICHE Public Grads-RE PROJ'!BP60/'WICHE Public Grads-RE PROJ'!AA60</f>
        <v>6.1032713896326932E-2</v>
      </c>
      <c r="AA57" s="268">
        <f>+'WICHE Public Grads-RE PROJ'!BQ60/'WICHE Public Grads-RE PROJ'!AB60</f>
        <v>6.2377611652672922E-2</v>
      </c>
      <c r="AB57" s="266">
        <f>+'WICHE Public Grads-RE PROJ'!BR60/'WICHE Public Grads-RE PROJ'!AC60</f>
        <v>6.7836878748901527E-2</v>
      </c>
      <c r="AC57" s="266">
        <f>+'WICHE Public Grads-RE PROJ'!BS60/'WICHE Public Grads-RE PROJ'!AD60</f>
        <v>7.0580430976888195E-2</v>
      </c>
      <c r="AD57" s="266">
        <f>+'WICHE Public Grads-RE PROJ'!BT60/'WICHE Public Grads-RE PROJ'!AE60</f>
        <v>7.2889815151439802E-2</v>
      </c>
      <c r="AE57" s="266">
        <f>+'WICHE Public Grads-RE PROJ'!BU60/'WICHE Public Grads-RE PROJ'!AF60</f>
        <v>7.724671946807804E-2</v>
      </c>
      <c r="AF57" s="266">
        <f>+'WICHE Public Grads-RE PROJ'!BV60/'WICHE Public Grads-RE PROJ'!AG60</f>
        <v>7.739947292493371E-2</v>
      </c>
      <c r="AG57" s="268">
        <f>+'WICHE Public Grads-RE PROJ'!BW60/'WICHE Public Grads-RE PROJ'!AH60</f>
        <v>7.6069268086144448E-2</v>
      </c>
      <c r="AH57" s="266">
        <f>+'WICHE Public Grads-RE PROJ'!BX60/'WICHE Public Grads-RE PROJ'!AI60</f>
        <v>7.8590168625726917E-2</v>
      </c>
      <c r="AI57" s="266">
        <f>+'WICHE Public Grads-RE PROJ'!BY60/'WICHE Public Grads-RE PROJ'!AJ60</f>
        <v>8.0898523702962438E-2</v>
      </c>
      <c r="AJ57" s="266">
        <f>+'WICHE Public Grads-RE PROJ'!BZ60/'WICHE Public Grads-RE PROJ'!AK60</f>
        <v>8.4590115060583462E-2</v>
      </c>
      <c r="AK57" s="266">
        <f>+'WICHE Public Grads-RE PROJ'!CA60/'WICHE Public Grads-RE PROJ'!AL60</f>
        <v>8.6765863547025382E-2</v>
      </c>
      <c r="AL57" s="266">
        <f>+'WICHE Public Grads-RE PROJ'!CB60/'WICHE Public Grads-RE PROJ'!AM60</f>
        <v>8.7518473586416859E-2</v>
      </c>
      <c r="AM57" s="266">
        <f>+'WICHE Public Grads-RE PROJ'!CC60/'WICHE Public Grads-RE PROJ'!AN60</f>
        <v>1.5330295082200671E-3</v>
      </c>
      <c r="AN57" s="266">
        <f>+'WICHE Public Grads-RE PROJ'!CD60/'WICHE Public Grads-RE PROJ'!AO60</f>
        <v>1.4150068229595674E-3</v>
      </c>
      <c r="AO57" s="266">
        <f>+'WICHE Public Grads-RE PROJ'!CE60/'WICHE Public Grads-RE PROJ'!AP60</f>
        <v>1.4547537258522286E-3</v>
      </c>
      <c r="AP57" s="282">
        <f>+'WICHE Public Grads-RE PROJ'!CF60/'WICHE Public Grads-RE PROJ'!AQ60</f>
        <v>1.4205231441347475E-3</v>
      </c>
      <c r="AQ57" s="262">
        <f>+'WICHE Public Grads-RE PROJ'!CG60/'WICHE Public Grads-RE PROJ'!B60</f>
        <v>2.8221078363177454E-3</v>
      </c>
      <c r="AR57" s="262">
        <f>+'WICHE Public Grads-RE PROJ'!CH60/'WICHE Public Grads-RE PROJ'!C60</f>
        <v>6.7051592475321289E-3</v>
      </c>
      <c r="AS57" s="262">
        <f>+'WICHE Public Grads-RE PROJ'!CI60/'WICHE Public Grads-RE PROJ'!D60</f>
        <v>1.2433355109266011E-3</v>
      </c>
      <c r="AT57" s="262">
        <f>+'WICHE Public Grads-RE PROJ'!CJ60/'WICHE Public Grads-RE PROJ'!E60</f>
        <v>1.1325740892216699E-3</v>
      </c>
      <c r="AU57" s="262">
        <f>+'WICHE Public Grads-RE PROJ'!CK60/'WICHE Public Grads-RE PROJ'!F60</f>
        <v>1.5210551538766071E-3</v>
      </c>
      <c r="AV57" s="262">
        <f>+'WICHE Public Grads-RE PROJ'!CL60/'WICHE Public Grads-RE PROJ'!G60</f>
        <v>1.3467189030362389E-3</v>
      </c>
      <c r="AW57" s="267">
        <f>+'WICHE Public Grads-RE PROJ'!CM60/'WICHE Public Grads-RE PROJ'!H60</f>
        <v>1.4865614841829858E-3</v>
      </c>
      <c r="AX57" s="267">
        <f>+'WICHE Public Grads-RE PROJ'!CN60/'WICHE Public Grads-RE PROJ'!I60</f>
        <v>1.1075488195861265E-3</v>
      </c>
      <c r="AY57" s="267">
        <f>+'WICHE Public Grads-RE PROJ'!CO60/'WICHE Public Grads-RE PROJ'!J60</f>
        <v>2.0963172804532577E-3</v>
      </c>
      <c r="AZ57" s="267">
        <f>+'WICHE Public Grads-RE PROJ'!CP60/'WICHE Public Grads-RE PROJ'!K60</f>
        <v>1.9303954552975567E-3</v>
      </c>
      <c r="BA57" s="262">
        <f>+'WICHE Public Grads-RE PROJ'!CQ60/'WICHE Public Grads-RE PROJ'!L60</f>
        <v>2.4605586915617309E-3</v>
      </c>
      <c r="BB57" s="267">
        <f>+'WICHE Public Grads-RE PROJ'!CR60/'WICHE Public Grads-RE PROJ'!M60</f>
        <v>2.4469966242163361E-3</v>
      </c>
      <c r="BC57" s="267">
        <f>+'WICHE Public Grads-RE PROJ'!CS60/'WICHE Public Grads-RE PROJ'!N60</f>
        <v>2.2117066145458286E-3</v>
      </c>
      <c r="BD57" s="267">
        <f>+'WICHE Public Grads-RE PROJ'!CT60/'WICHE Public Grads-RE PROJ'!O60</f>
        <v>2.8995223330260623E-3</v>
      </c>
      <c r="BE57" s="267">
        <f>+'WICHE Public Grads-RE PROJ'!CU60/'WICHE Public Grads-RE PROJ'!P60</f>
        <v>2.4644209426818121E-3</v>
      </c>
      <c r="BF57" s="267">
        <f>+'WICHE Public Grads-RE PROJ'!CV60/'WICHE Public Grads-RE PROJ'!Q60</f>
        <v>2.2064691798507111E-3</v>
      </c>
      <c r="BG57" s="267">
        <f>+'WICHE Public Grads-RE PROJ'!CW60/'WICHE Public Grads-RE PROJ'!R60</f>
        <v>2.4694387778578771E-3</v>
      </c>
      <c r="BH57" s="267">
        <f>+'WICHE Public Grads-RE PROJ'!CX60/'WICHE Public Grads-RE PROJ'!S60</f>
        <v>2.6582371626256637E-3</v>
      </c>
      <c r="BI57" s="267">
        <f>+'WICHE Public Grads-RE PROJ'!CY60/'WICHE Public Grads-RE PROJ'!T60</f>
        <v>2.8213985960455555E-3</v>
      </c>
      <c r="BJ57" s="267">
        <f>+'WICHE Public Grads-RE PROJ'!CZ60/'WICHE Public Grads-RE PROJ'!U60</f>
        <v>2.4418360891614518E-3</v>
      </c>
      <c r="BK57" s="267">
        <f>+'WICHE Public Grads-RE PROJ'!DA60/'WICHE Public Grads-RE PROJ'!V60</f>
        <v>2.35165963196934E-3</v>
      </c>
      <c r="BL57" s="267">
        <f>+'WICHE Public Grads-RE PROJ'!DB60/'WICHE Public Grads-RE PROJ'!W60</f>
        <v>2.3570050174907772E-3</v>
      </c>
      <c r="BM57" s="268">
        <f>+'WICHE Public Grads-RE PROJ'!DC60/'WICHE Public Grads-RE PROJ'!Y60</f>
        <v>2.0682544878961599E-3</v>
      </c>
      <c r="BN57" s="268">
        <f>+'WICHE Public Grads-RE PROJ'!DD60/'WICHE Public Grads-RE PROJ'!Z60</f>
        <v>2.4822532232443217E-3</v>
      </c>
      <c r="BO57" s="268">
        <f>+'WICHE Public Grads-RE PROJ'!DE60/'WICHE Public Grads-RE PROJ'!AA60</f>
        <v>2.215739469300333E-3</v>
      </c>
      <c r="BP57" s="268">
        <f>+'WICHE Public Grads-RE PROJ'!DF60/'WICHE Public Grads-RE PROJ'!AB60</f>
        <v>2.1363242587466506E-3</v>
      </c>
      <c r="BQ57" s="266">
        <f>+'WICHE Public Grads-RE PROJ'!DG60/'WICHE Public Grads-RE PROJ'!AC60</f>
        <v>1.811601779372219E-3</v>
      </c>
      <c r="BR57" s="266">
        <f>+'WICHE Public Grads-RE PROJ'!DH60/'WICHE Public Grads-RE PROJ'!AD60</f>
        <v>1.7885712361969169E-3</v>
      </c>
      <c r="BS57" s="266">
        <f>+'WICHE Public Grads-RE PROJ'!DI60/'WICHE Public Grads-RE PROJ'!AE60</f>
        <v>1.845687659567076E-3</v>
      </c>
      <c r="BT57" s="266">
        <f>+'WICHE Public Grads-RE PROJ'!DJ60/'WICHE Public Grads-RE PROJ'!AF60</f>
        <v>2.0507120628447191E-3</v>
      </c>
      <c r="BU57" s="266">
        <f>+'WICHE Public Grads-RE PROJ'!DK60/'WICHE Public Grads-RE PROJ'!AG60</f>
        <v>1.8484992753715051E-3</v>
      </c>
      <c r="BV57" s="268">
        <f>+'WICHE Public Grads-RE PROJ'!DL60/'WICHE Public Grads-RE PROJ'!AH60</f>
        <v>1.6038167234420431E-3</v>
      </c>
      <c r="BW57" s="266">
        <f>+'WICHE Public Grads-RE PROJ'!DM60/'WICHE Public Grads-RE PROJ'!AI60</f>
        <v>1.7595244986431825E-3</v>
      </c>
      <c r="BX57" s="266">
        <f>+'WICHE Public Grads-RE PROJ'!DN60/'WICHE Public Grads-RE PROJ'!AJ60</f>
        <v>1.5605609148682253E-3</v>
      </c>
      <c r="BY57" s="266">
        <f>+'WICHE Public Grads-RE PROJ'!DO60/'WICHE Public Grads-RE PROJ'!AK60</f>
        <v>2.1470917042110457E-3</v>
      </c>
      <c r="BZ57" s="266">
        <f>+'WICHE Public Grads-RE PROJ'!DP60/'WICHE Public Grads-RE PROJ'!AL60</f>
        <v>1.7167827446292639E-3</v>
      </c>
      <c r="CA57" s="266">
        <f>+'WICHE Public Grads-RE PROJ'!DQ60/'WICHE Public Grads-RE PROJ'!AM60</f>
        <v>1.4258851035586671E-3</v>
      </c>
      <c r="CB57" s="266">
        <f>+'WICHE Public Grads-RE PROJ'!DR60/'WICHE Public Grads-RE PROJ'!AN60</f>
        <v>1.5330295082200671E-3</v>
      </c>
      <c r="CC57" s="266">
        <f>+'WICHE Public Grads-RE PROJ'!DS60/'WICHE Public Grads-RE PROJ'!AO60</f>
        <v>1.4150068229595674E-3</v>
      </c>
      <c r="CD57" s="266">
        <f>+'WICHE Public Grads-RE PROJ'!DT60/'WICHE Public Grads-RE PROJ'!AP60</f>
        <v>1.4547537258522286E-3</v>
      </c>
      <c r="CE57" s="282">
        <f>+'WICHE Public Grads-RE PROJ'!DU60/'WICHE Public Grads-RE PROJ'!AQ60</f>
        <v>1.4205231441347475E-3</v>
      </c>
      <c r="CF57" s="262">
        <f>+'WICHE Public Grads-RE PROJ'!DV60/'WICHE Public Grads-RE PROJ'!B60</f>
        <v>3.5952063914780293E-2</v>
      </c>
      <c r="CG57" s="262">
        <f>+'WICHE Public Grads-RE PROJ'!DW60/'WICHE Public Grads-RE PROJ'!C60</f>
        <v>3.824424163407214E-2</v>
      </c>
      <c r="CH57" s="262">
        <f>+'WICHE Public Grads-RE PROJ'!DX60/'WICHE Public Grads-RE PROJ'!D60</f>
        <v>4.1388321075590581E-2</v>
      </c>
      <c r="CI57" s="262">
        <f>+'WICHE Public Grads-RE PROJ'!DY60/'WICHE Public Grads-RE PROJ'!E60</f>
        <v>3.7836364017701712E-2</v>
      </c>
      <c r="CJ57" s="262">
        <f>+'WICHE Public Grads-RE PROJ'!DZ60/'WICHE Public Grads-RE PROJ'!F60</f>
        <v>3.8359760798449771E-2</v>
      </c>
      <c r="CK57" s="262">
        <f>+'WICHE Public Grads-RE PROJ'!EA60/'WICHE Public Grads-RE PROJ'!G60</f>
        <v>3.9544564152791381E-2</v>
      </c>
      <c r="CL57" s="267">
        <f>+'WICHE Public Grads-RE PROJ'!EB60/'WICHE Public Grads-RE PROJ'!H60</f>
        <v>4.1385871719654327E-2</v>
      </c>
      <c r="CM57" s="267">
        <f>+'WICHE Public Grads-RE PROJ'!EC60/'WICHE Public Grads-RE PROJ'!I60</f>
        <v>4.4068784610900615E-2</v>
      </c>
      <c r="CN57" s="267">
        <f>+'WICHE Public Grads-RE PROJ'!ED60/'WICHE Public Grads-RE PROJ'!J60</f>
        <v>4.3852691218130312E-2</v>
      </c>
      <c r="CO57" s="267">
        <f>+'WICHE Public Grads-RE PROJ'!EE60/'WICHE Public Grads-RE PROJ'!K60</f>
        <v>4.6274336771275716E-2</v>
      </c>
      <c r="CP57" s="262">
        <f>+'WICHE Public Grads-RE PROJ'!EF60/'WICHE Public Grads-RE PROJ'!L60</f>
        <v>4.8722680561586337E-2</v>
      </c>
      <c r="CQ57" s="267">
        <f>+'WICHE Public Grads-RE PROJ'!EG60/'WICHE Public Grads-RE PROJ'!M60</f>
        <v>4.8439816385946736E-2</v>
      </c>
      <c r="CR57" s="267">
        <f>+'WICHE Public Grads-RE PROJ'!EH60/'WICHE Public Grads-RE PROJ'!N60</f>
        <v>4.9257620958063297E-2</v>
      </c>
      <c r="CS57" s="267">
        <f>+'WICHE Public Grads-RE PROJ'!EI60/'WICHE Public Grads-RE PROJ'!O60</f>
        <v>4.9493002597837926E-2</v>
      </c>
      <c r="CT57" s="267">
        <f>+'WICHE Public Grads-RE PROJ'!EJ60/'WICHE Public Grads-RE PROJ'!P60</f>
        <v>4.7411541976759369E-2</v>
      </c>
      <c r="CU57" s="267">
        <f>+'WICHE Public Grads-RE PROJ'!EK60/'WICHE Public Grads-RE PROJ'!Q60</f>
        <v>4.7008747633131467E-2</v>
      </c>
      <c r="CV57" s="267">
        <f>+'WICHE Public Grads-RE PROJ'!EL60/'WICHE Public Grads-RE PROJ'!R60</f>
        <v>4.7118732457014895E-2</v>
      </c>
      <c r="CW57" s="267">
        <f>+'WICHE Public Grads-RE PROJ'!EM60/'WICHE Public Grads-RE PROJ'!S60</f>
        <v>5.0966931257470351E-2</v>
      </c>
      <c r="CX57" s="267">
        <f>+'WICHE Public Grads-RE PROJ'!EN60/'WICHE Public Grads-RE PROJ'!T60</f>
        <v>5.2558096242747668E-2</v>
      </c>
      <c r="CY57" s="267">
        <f>+'WICHE Public Grads-RE PROJ'!EO60/'WICHE Public Grads-RE PROJ'!U60</f>
        <v>5.2144490451764412E-2</v>
      </c>
      <c r="CZ57" s="267">
        <f>+'WICHE Public Grads-RE PROJ'!EP60/'WICHE Public Grads-RE PROJ'!V60</f>
        <v>5.3961968783093145E-2</v>
      </c>
      <c r="DA57" s="267">
        <f>+'WICHE Public Grads-RE PROJ'!EQ60/'WICHE Public Grads-RE PROJ'!W60</f>
        <v>5.5681133212778781E-2</v>
      </c>
      <c r="DB57" s="268">
        <f>+'WICHE Public Grads-RE PROJ'!ER60/'WICHE Public Grads-RE PROJ'!Y60</f>
        <v>5.7665270754357567E-2</v>
      </c>
      <c r="DC57" s="268">
        <f>+'WICHE Public Grads-RE PROJ'!ES60/'WICHE Public Grads-RE PROJ'!Z60</f>
        <v>5.8314591446169843E-2</v>
      </c>
      <c r="DD57" s="268">
        <f>+'WICHE Public Grads-RE PROJ'!ET60/'WICHE Public Grads-RE PROJ'!AA60</f>
        <v>5.8816974427026596E-2</v>
      </c>
      <c r="DE57" s="268">
        <f>+'WICHE Public Grads-RE PROJ'!EU60/'WICHE Public Grads-RE PROJ'!AB60</f>
        <v>6.0241287393926278E-2</v>
      </c>
      <c r="DF57" s="266">
        <f>+'WICHE Public Grads-RE PROJ'!EV60/'WICHE Public Grads-RE PROJ'!AC60</f>
        <v>6.6025276969529298E-2</v>
      </c>
      <c r="DG57" s="266">
        <f>+'WICHE Public Grads-RE PROJ'!EW60/'WICHE Public Grads-RE PROJ'!AD60</f>
        <v>6.8791859740691283E-2</v>
      </c>
      <c r="DH57" s="266">
        <f>+'WICHE Public Grads-RE PROJ'!EX60/'WICHE Public Grads-RE PROJ'!AE60</f>
        <v>7.1044127491872722E-2</v>
      </c>
      <c r="DI57" s="266">
        <f>+'WICHE Public Grads-RE PROJ'!EY60/'WICHE Public Grads-RE PROJ'!AF60</f>
        <v>7.5196007405233314E-2</v>
      </c>
      <c r="DJ57" s="266">
        <f>+'WICHE Public Grads-RE PROJ'!EZ60/'WICHE Public Grads-RE PROJ'!AG60</f>
        <v>7.5550973649562217E-2</v>
      </c>
      <c r="DK57" s="268">
        <f>+'WICHE Public Grads-RE PROJ'!FA60/'WICHE Public Grads-RE PROJ'!AH60</f>
        <v>7.4465451362702398E-2</v>
      </c>
      <c r="DL57" s="266">
        <f>+'WICHE Public Grads-RE PROJ'!FB60/'WICHE Public Grads-RE PROJ'!AI60</f>
        <v>7.6830644127083736E-2</v>
      </c>
      <c r="DM57" s="266">
        <f>+'WICHE Public Grads-RE PROJ'!FC60/'WICHE Public Grads-RE PROJ'!AJ60</f>
        <v>7.9337962788094227E-2</v>
      </c>
      <c r="DN57" s="266">
        <f>+'WICHE Public Grads-RE PROJ'!FD60/'WICHE Public Grads-RE PROJ'!AK60</f>
        <v>8.2443023356372408E-2</v>
      </c>
      <c r="DO57" s="266">
        <f>+'WICHE Public Grads-RE PROJ'!FE60/'WICHE Public Grads-RE PROJ'!AL60</f>
        <v>8.5049080802396121E-2</v>
      </c>
      <c r="DP57" s="266">
        <f>+'WICHE Public Grads-RE PROJ'!FF60/'WICHE Public Grads-RE PROJ'!AM60</f>
        <v>8.6092588482858196E-2</v>
      </c>
      <c r="DQ57" s="266">
        <f>+'WICHE Public Grads-RE PROJ'!FG60/'WICHE Public Grads-RE PROJ'!AN60</f>
        <v>0</v>
      </c>
      <c r="DR57" s="266">
        <f>+'WICHE Public Grads-RE PROJ'!FH60/'WICHE Public Grads-RE PROJ'!AO60</f>
        <v>0</v>
      </c>
      <c r="DS57" s="266">
        <f>+'WICHE Public Grads-RE PROJ'!FI60/'WICHE Public Grads-RE PROJ'!AP60</f>
        <v>0</v>
      </c>
      <c r="DT57" s="282">
        <f>+'WICHE Public Grads-RE PROJ'!FJ60/'WICHE Public Grads-RE PROJ'!AQ60</f>
        <v>0</v>
      </c>
      <c r="DU57" s="262">
        <f>+'WICHE Public Grads-RE PROJ'!FK60/'WICHE Public Grads-RE PROJ'!B60</f>
        <v>6.311982033905042E-2</v>
      </c>
      <c r="DV57" s="262">
        <f>+'WICHE Public Grads-RE PROJ'!FL60/'WICHE Public Grads-RE PROJ'!C60</f>
        <v>6.7755220297593177E-2</v>
      </c>
      <c r="DW57" s="262">
        <f>+'WICHE Public Grads-RE PROJ'!FM60/'WICHE Public Grads-RE PROJ'!D60</f>
        <v>7.1544475586369671E-2</v>
      </c>
      <c r="DX57" s="262">
        <f>+'WICHE Public Grads-RE PROJ'!FN60/'WICHE Public Grads-RE PROJ'!E60</f>
        <v>6.8751441934604335E-2</v>
      </c>
      <c r="DY57" s="262">
        <f>+'WICHE Public Grads-RE PROJ'!FO60/'WICHE Public Grads-RE PROJ'!F60</f>
        <v>7.126039214052049E-2</v>
      </c>
      <c r="DZ57" s="262">
        <f>+'WICHE Public Grads-RE PROJ'!FP60/'WICHE Public Grads-RE PROJ'!G60</f>
        <v>7.1763793666340184E-2</v>
      </c>
      <c r="EA57" s="267">
        <f>+'WICHE Public Grads-RE PROJ'!FQ60/'WICHE Public Grads-RE PROJ'!H60</f>
        <v>7.579481487354317E-2</v>
      </c>
      <c r="EB57" s="267">
        <f>+'WICHE Public Grads-RE PROJ'!FR60/'WICHE Public Grads-RE PROJ'!I60</f>
        <v>7.4419508403769555E-2</v>
      </c>
      <c r="EC57" s="267">
        <f>+'WICHE Public Grads-RE PROJ'!FS60/'WICHE Public Grads-RE PROJ'!J60</f>
        <v>7.6109537299339003E-2</v>
      </c>
      <c r="ED57" s="267">
        <f>+'WICHE Public Grads-RE PROJ'!FT60/'WICHE Public Grads-RE PROJ'!K60</f>
        <v>7.7620282021583664E-2</v>
      </c>
      <c r="EE57" s="262">
        <f>+'WICHE Public Grads-RE PROJ'!FU60/'WICHE Public Grads-RE PROJ'!L60</f>
        <v>7.1356202055290197E-2</v>
      </c>
      <c r="EF57" s="267">
        <f>+'WICHE Public Grads-RE PROJ'!FV60/'WICHE Public Grads-RE PROJ'!M60</f>
        <v>7.3034811652705089E-2</v>
      </c>
      <c r="EG57" s="267">
        <f>+'WICHE Public Grads-RE PROJ'!FW60/'WICHE Public Grads-RE PROJ'!N60</f>
        <v>7.8592737372698285E-2</v>
      </c>
      <c r="EH57" s="267">
        <f>+'WICHE Public Grads-RE PROJ'!FX60/'WICHE Public Grads-RE PROJ'!O60</f>
        <v>7.7734014916617786E-2</v>
      </c>
      <c r="EI57" s="267">
        <f>+'WICHE Public Grads-RE PROJ'!FY60/'WICHE Public Grads-RE PROJ'!P60</f>
        <v>7.7767985376681031E-2</v>
      </c>
      <c r="EJ57" s="267">
        <f>+'WICHE Public Grads-RE PROJ'!FZ60/'WICHE Public Grads-RE PROJ'!Q60</f>
        <v>7.4973005962161401E-2</v>
      </c>
      <c r="EK57" s="267">
        <f>+'WICHE Public Grads-RE PROJ'!GA60/'WICHE Public Grads-RE PROJ'!R60</f>
        <v>7.9160084052947222E-2</v>
      </c>
      <c r="EL57" s="267">
        <f>+'WICHE Public Grads-RE PROJ'!GB60/'WICHE Public Grads-RE PROJ'!S60</f>
        <v>8.1513037494445287E-2</v>
      </c>
      <c r="EM57" s="267">
        <f>+'WICHE Public Grads-RE PROJ'!GC60/'WICHE Public Grads-RE PROJ'!T60</f>
        <v>8.0982520127570484E-2</v>
      </c>
      <c r="EN57" s="267">
        <f>+'WICHE Public Grads-RE PROJ'!GD60/'WICHE Public Grads-RE PROJ'!U60</f>
        <v>8.3191119732072272E-2</v>
      </c>
      <c r="EO57" s="267">
        <f>+'WICHE Public Grads-RE PROJ'!GE60/'WICHE Public Grads-RE PROJ'!V60</f>
        <v>8.5793619079011021E-2</v>
      </c>
      <c r="EP57" s="267">
        <f>+'WICHE Public Grads-RE PROJ'!GF60/'WICHE Public Grads-RE PROJ'!W60</f>
        <v>9.0324384618730449E-2</v>
      </c>
      <c r="EQ57" s="268">
        <f>+'WICHE Public Grads-RE PROJ'!GG60/'WICHE Public Grads-RE PROJ'!Y60</f>
        <v>8.7682939507430405E-2</v>
      </c>
      <c r="ER57" s="268">
        <f>+'WICHE Public Grads-RE PROJ'!GH60/'WICHE Public Grads-RE PROJ'!Z60</f>
        <v>8.8288323396209067E-2</v>
      </c>
      <c r="ES57" s="268">
        <f>+'WICHE Public Grads-RE PROJ'!GI60/'WICHE Public Grads-RE PROJ'!AA60</f>
        <v>9.0176430966906682E-2</v>
      </c>
      <c r="ET57" s="268">
        <f>+'WICHE Public Grads-RE PROJ'!GJ60/'WICHE Public Grads-RE PROJ'!AB60</f>
        <v>9.0348907542018381E-2</v>
      </c>
      <c r="EU57" s="266">
        <f>+'WICHE Public Grads-RE PROJ'!GK60/'WICHE Public Grads-RE PROJ'!AC60</f>
        <v>9.2188994656876563E-2</v>
      </c>
      <c r="EV57" s="266">
        <f>+'WICHE Public Grads-RE PROJ'!GL60/'WICHE Public Grads-RE PROJ'!AD60</f>
        <v>9.3977518942939556E-2</v>
      </c>
      <c r="EW57" s="266">
        <f>+'WICHE Public Grads-RE PROJ'!GM60/'WICHE Public Grads-RE PROJ'!AE60</f>
        <v>9.4994602833153502E-2</v>
      </c>
      <c r="EX57" s="266">
        <f>+'WICHE Public Grads-RE PROJ'!GN60/'WICHE Public Grads-RE PROJ'!AF60</f>
        <v>9.3970160024404087E-2</v>
      </c>
      <c r="EY57" s="266">
        <f>+'WICHE Public Grads-RE PROJ'!GO60/'WICHE Public Grads-RE PROJ'!AG60</f>
        <v>9.6214078263505837E-2</v>
      </c>
      <c r="EZ57" s="268">
        <f>+'WICHE Public Grads-RE PROJ'!GP60/'WICHE Public Grads-RE PROJ'!AH60</f>
        <v>0.10160625474999127</v>
      </c>
      <c r="FA57" s="266">
        <f>+'WICHE Public Grads-RE PROJ'!GQ60/'WICHE Public Grads-RE PROJ'!AI60</f>
        <v>0.10450778344884414</v>
      </c>
      <c r="FB57" s="266">
        <f>+'WICHE Public Grads-RE PROJ'!GR60/'WICHE Public Grads-RE PROJ'!AJ60</f>
        <v>0.10716833470769624</v>
      </c>
      <c r="FC57" s="266">
        <f>+'WICHE Public Grads-RE PROJ'!GS60/'WICHE Public Grads-RE PROJ'!AK60</f>
        <v>0.10710580304084384</v>
      </c>
      <c r="FD57" s="266">
        <f>+'WICHE Public Grads-RE PROJ'!GT60/'WICHE Public Grads-RE PROJ'!AL60</f>
        <v>0.11026527513238267</v>
      </c>
      <c r="FE57" s="266">
        <f>+'WICHE Public Grads-RE PROJ'!GU60/'WICHE Public Grads-RE PROJ'!AM60</f>
        <v>0.11122352487043639</v>
      </c>
      <c r="FF57" s="266">
        <f>+'WICHE Public Grads-RE PROJ'!GV60/'WICHE Public Grads-RE PROJ'!AN60</f>
        <v>0.11190798815082785</v>
      </c>
      <c r="FG57" s="266">
        <f>+'WICHE Public Grads-RE PROJ'!GW60/'WICHE Public Grads-RE PROJ'!AO60</f>
        <v>0.11060814930931936</v>
      </c>
      <c r="FH57" s="266">
        <f>+'WICHE Public Grads-RE PROJ'!GX60/'WICHE Public Grads-RE PROJ'!AP60</f>
        <v>0.11307799149382847</v>
      </c>
      <c r="FI57" s="282">
        <f>+'WICHE Public Grads-RE PROJ'!GY60/'WICHE Public Grads-RE PROJ'!AQ60</f>
        <v>0.11391724551019718</v>
      </c>
      <c r="FJ57" s="262">
        <f>+'WICHE Public Grads-RE PROJ'!GZ60/'WICHE Public Grads-RE PROJ'!B60</f>
        <v>4.6862889281952425E-2</v>
      </c>
      <c r="FK57" s="262">
        <f>+'WICHE Public Grads-RE PROJ'!HA60/'WICHE Public Grads-RE PROJ'!C60</f>
        <v>5.2958341093934318E-2</v>
      </c>
      <c r="FL57" s="262">
        <f>+'WICHE Public Grads-RE PROJ'!HB60/'WICHE Public Grads-RE PROJ'!D60</f>
        <v>5.8373548563842116E-2</v>
      </c>
      <c r="FM57" s="262">
        <f>+'WICHE Public Grads-RE PROJ'!HC60/'WICHE Public Grads-RE PROJ'!E60</f>
        <v>5.6607730866838651E-2</v>
      </c>
      <c r="FN57" s="262">
        <f>+'WICHE Public Grads-RE PROJ'!HD60/'WICHE Public Grads-RE PROJ'!F60</f>
        <v>6.0967224386889757E-2</v>
      </c>
      <c r="FO57" s="262">
        <f>+'WICHE Public Grads-RE PROJ'!HE60/'WICHE Public Grads-RE PROJ'!G60</f>
        <v>6.2295951681358146E-2</v>
      </c>
      <c r="FP57" s="267">
        <f>+'WICHE Public Grads-RE PROJ'!HF60/'WICHE Public Grads-RE PROJ'!H60</f>
        <v>6.5527630222786015E-2</v>
      </c>
      <c r="FQ57" s="267">
        <f>+'WICHE Public Grads-RE PROJ'!HG60/'WICHE Public Grads-RE PROJ'!I60</f>
        <v>6.4626445156902745E-2</v>
      </c>
      <c r="FR57" s="267">
        <f>+'WICHE Public Grads-RE PROJ'!HH60/'WICHE Public Grads-RE PROJ'!J60</f>
        <v>6.6194523135033045E-2</v>
      </c>
      <c r="FS57" s="267">
        <f>+'WICHE Public Grads-RE PROJ'!HI60/'WICHE Public Grads-RE PROJ'!K60</f>
        <v>7.0689243101134336E-2</v>
      </c>
      <c r="FT57" s="262">
        <f>+'WICHE Public Grads-RE PROJ'!HJ60/'WICHE Public Grads-RE PROJ'!L60</f>
        <v>6.3793602547401934E-2</v>
      </c>
      <c r="FU57" s="267">
        <f>+'WICHE Public Grads-RE PROJ'!HK60/'WICHE Public Grads-RE PROJ'!M60</f>
        <v>6.5658099201600373E-2</v>
      </c>
      <c r="FV57" s="267">
        <f>+'WICHE Public Grads-RE PROJ'!HL60/'WICHE Public Grads-RE PROJ'!N60</f>
        <v>7.2094777629187673E-2</v>
      </c>
      <c r="FW57" s="267">
        <f>+'WICHE Public Grads-RE PROJ'!HM60/'WICHE Public Grads-RE PROJ'!O60</f>
        <v>7.5957428978463082E-2</v>
      </c>
      <c r="FX57" s="267">
        <f>+'WICHE Public Grads-RE PROJ'!HN60/'WICHE Public Grads-RE PROJ'!P60</f>
        <v>8.7446141793967883E-2</v>
      </c>
      <c r="FY57" s="267">
        <f>+'WICHE Public Grads-RE PROJ'!HO60/'WICHE Public Grads-RE PROJ'!Q60</f>
        <v>9.26091106833795E-2</v>
      </c>
      <c r="FZ57" s="267">
        <f>+'WICHE Public Grads-RE PROJ'!HP60/'WICHE Public Grads-RE PROJ'!R60</f>
        <v>9.781124898384895E-2</v>
      </c>
      <c r="GA57" s="267">
        <f>+'WICHE Public Grads-RE PROJ'!HQ60/'WICHE Public Grads-RE PROJ'!S60</f>
        <v>0.10683747586502804</v>
      </c>
      <c r="GB57" s="267">
        <f>+'WICHE Public Grads-RE PROJ'!HR60/'WICHE Public Grads-RE PROJ'!T60</f>
        <v>0.10826533461574261</v>
      </c>
      <c r="GC57" s="267">
        <f>+'WICHE Public Grads-RE PROJ'!HS60/'WICHE Public Grads-RE PROJ'!U60</f>
        <v>0.1109943761201409</v>
      </c>
      <c r="GD57" s="267">
        <f>+'WICHE Public Grads-RE PROJ'!HT60/'WICHE Public Grads-RE PROJ'!V60</f>
        <v>0.11389413263348527</v>
      </c>
      <c r="GE57" s="267">
        <f>+'WICHE Public Grads-RE PROJ'!HU60/'WICHE Public Grads-RE PROJ'!W60</f>
        <v>0.11966546112115732</v>
      </c>
      <c r="GF57" s="268">
        <f>+'WICHE Public Grads-RE PROJ'!HV60/'WICHE Public Grads-RE PROJ'!Y60</f>
        <v>0.12043328750871594</v>
      </c>
      <c r="GG57" s="268">
        <f>+'WICHE Public Grads-RE PROJ'!HW60/'WICHE Public Grads-RE PROJ'!Z60</f>
        <v>0.12526543884288982</v>
      </c>
      <c r="GH57" s="268">
        <f>+'WICHE Public Grads-RE PROJ'!HX60/'WICHE Public Grads-RE PROJ'!AA60</f>
        <v>0.12934824803313347</v>
      </c>
      <c r="GI57" s="268">
        <f>+'WICHE Public Grads-RE PROJ'!HY60/'WICHE Public Grads-RE PROJ'!AB60</f>
        <v>0.1320300347436815</v>
      </c>
      <c r="GJ57" s="266">
        <f>+'WICHE Public Grads-RE PROJ'!HZ60/'WICHE Public Grads-RE PROJ'!AC60</f>
        <v>0.13706579071264091</v>
      </c>
      <c r="GK57" s="266">
        <f>+'WICHE Public Grads-RE PROJ'!IA60/'WICHE Public Grads-RE PROJ'!AD60</f>
        <v>0.13970403514059843</v>
      </c>
      <c r="GL57" s="266">
        <f>+'WICHE Public Grads-RE PROJ'!IB60/'WICHE Public Grads-RE PROJ'!AE60</f>
        <v>0.14634398558391609</v>
      </c>
      <c r="GM57" s="266">
        <f>+'WICHE Public Grads-RE PROJ'!IC60/'WICHE Public Grads-RE PROJ'!AF60</f>
        <v>0.15009188680340785</v>
      </c>
      <c r="GN57" s="266">
        <f>+'WICHE Public Grads-RE PROJ'!ID60/'WICHE Public Grads-RE PROJ'!AG60</f>
        <v>0.1560171290378248</v>
      </c>
      <c r="GO57" s="268">
        <f>+'WICHE Public Grads-RE PROJ'!IE60/'WICHE Public Grads-RE PROJ'!AH60</f>
        <v>0.16440120099909125</v>
      </c>
      <c r="GP57" s="266">
        <f>+'WICHE Public Grads-RE PROJ'!IF60/'WICHE Public Grads-RE PROJ'!AI60</f>
        <v>0.17624438059304129</v>
      </c>
      <c r="GQ57" s="266">
        <f>+'WICHE Public Grads-RE PROJ'!IG60/'WICHE Public Grads-RE PROJ'!AJ60</f>
        <v>0.18020301501041536</v>
      </c>
      <c r="GR57" s="266">
        <f>+'WICHE Public Grads-RE PROJ'!IH60/'WICHE Public Grads-RE PROJ'!AK60</f>
        <v>0.17971261334615041</v>
      </c>
      <c r="GS57" s="266">
        <f>+'WICHE Public Grads-RE PROJ'!II60/'WICHE Public Grads-RE PROJ'!AL60</f>
        <v>0.18555651149035085</v>
      </c>
      <c r="GT57" s="266">
        <f>+'WICHE Public Grads-RE PROJ'!IJ60/'WICHE Public Grads-RE PROJ'!AM60</f>
        <v>0.1846512427852777</v>
      </c>
      <c r="GU57" s="266">
        <f>+'WICHE Public Grads-RE PROJ'!IK60/'WICHE Public Grads-RE PROJ'!AN60</f>
        <v>0.21836014672392337</v>
      </c>
      <c r="GV57" s="266">
        <f>+'WICHE Public Grads-RE PROJ'!IL60/'WICHE Public Grads-RE PROJ'!AO60</f>
        <v>0.22059471646588133</v>
      </c>
      <c r="GW57" s="266">
        <f>+'WICHE Public Grads-RE PROJ'!IM60/'WICHE Public Grads-RE PROJ'!AP60</f>
        <v>0.21869726651481894</v>
      </c>
      <c r="GX57" s="282">
        <f>+'WICHE Public Grads-RE PROJ'!IN60/'WICHE Public Grads-RE PROJ'!AQ60</f>
        <v>0.22441290366311115</v>
      </c>
      <c r="GY57" s="262">
        <f>+'WICHE Public Grads-RE PROJ'!IO60/'WICHE Public Grads-RE PROJ'!B60</f>
        <v>0.85124311862789914</v>
      </c>
      <c r="GZ57" s="262">
        <f>+'WICHE Public Grads-RE PROJ'!IP60/'WICHE Public Grads-RE PROJ'!C60</f>
        <v>0.83433703772686818</v>
      </c>
      <c r="HA57" s="262">
        <f>+'WICHE Public Grads-RE PROJ'!IQ60/'WICHE Public Grads-RE PROJ'!D60</f>
        <v>0.82745031926327106</v>
      </c>
      <c r="HB57" s="262">
        <f>+'WICHE Public Grads-RE PROJ'!IR60/'WICHE Public Grads-RE PROJ'!E60</f>
        <v>0.83567188909163359</v>
      </c>
      <c r="HC57" s="262">
        <f>+'WICHE Public Grads-RE PROJ'!IS60/'WICHE Public Grads-RE PROJ'!F60</f>
        <v>0.82789156752026338</v>
      </c>
      <c r="HD57" s="262">
        <f>+'WICHE Public Grads-RE PROJ'!IT60/'WICHE Public Grads-RE PROJ'!G60</f>
        <v>0.82504897159647406</v>
      </c>
      <c r="HE57" s="267">
        <f>+'WICHE Public Grads-RE PROJ'!IU60/'WICHE Public Grads-RE PROJ'!H60</f>
        <v>0.81580512169983355</v>
      </c>
      <c r="HF57" s="267">
        <f>+'WICHE Public Grads-RE PROJ'!IV60/'WICHE Public Grads-RE PROJ'!I60</f>
        <v>0.81577771300884094</v>
      </c>
      <c r="HG57" s="267">
        <f>+'WICHE Public Grads-RE PROJ'!IW60/'WICHE Public Grads-RE PROJ'!J60</f>
        <v>0.81174693106704443</v>
      </c>
      <c r="HH57" s="267">
        <f>+'WICHE Public Grads-RE PROJ'!IX60/'WICHE Public Grads-RE PROJ'!K60</f>
        <v>0.80348574265070871</v>
      </c>
      <c r="HI57" s="262">
        <f>+'WICHE Public Grads-RE PROJ'!IY60/'WICHE Public Grads-RE PROJ'!L60</f>
        <v>0.81366695614415974</v>
      </c>
      <c r="HJ57" s="267">
        <f>+'WICHE Public Grads-RE PROJ'!IZ60/'WICHE Public Grads-RE PROJ'!M60</f>
        <v>0.81042027613553147</v>
      </c>
      <c r="HK57" s="267">
        <f>+'WICHE Public Grads-RE PROJ'!JA60/'WICHE Public Grads-RE PROJ'!N60</f>
        <v>0.79784315742550493</v>
      </c>
      <c r="HL57" s="267">
        <f>+'WICHE Public Grads-RE PROJ'!JB60/'WICHE Public Grads-RE PROJ'!O60</f>
        <v>0.79391603117405518</v>
      </c>
      <c r="HM57" s="267">
        <f>+'WICHE Public Grads-RE PROJ'!JC60/'WICHE Public Grads-RE PROJ'!P60</f>
        <v>0.78490990990990994</v>
      </c>
      <c r="HN57" s="267">
        <f>+'WICHE Public Grads-RE PROJ'!JD60/'WICHE Public Grads-RE PROJ'!Q60</f>
        <v>0.77127834373973048</v>
      </c>
      <c r="HO57" s="267">
        <f>+'WICHE Public Grads-RE PROJ'!JE60/'WICHE Public Grads-RE PROJ'!R60</f>
        <v>0.76024970474101572</v>
      </c>
      <c r="HP57" s="267">
        <f>+'WICHE Public Grads-RE PROJ'!JF60/'WICHE Public Grads-RE PROJ'!S60</f>
        <v>0.75799149113141118</v>
      </c>
      <c r="HQ57" s="267">
        <f>+'WICHE Public Grads-RE PROJ'!JG60/'WICHE Public Grads-RE PROJ'!T60</f>
        <v>0.75567350372503272</v>
      </c>
      <c r="HR57" s="267">
        <f>+'WICHE Public Grads-RE PROJ'!JH60/'WICHE Public Grads-RE PROJ'!U60</f>
        <v>0.75152273967803018</v>
      </c>
      <c r="HS57" s="267">
        <f>+'WICHE Public Grads-RE PROJ'!JI60/'WICHE Public Grads-RE PROJ'!V60</f>
        <v>0.74260713850869819</v>
      </c>
      <c r="HT57" s="267">
        <f>+'WICHE Public Grads-RE PROJ'!JJ60/'WICHE Public Grads-RE PROJ'!W60</f>
        <v>0.72807316575477465</v>
      </c>
      <c r="HU57" s="268">
        <f>+'WICHE Public Grads-RE PROJ'!JK60/'WICHE Public Grads-RE PROJ'!Y60</f>
        <v>0.72739341786183798</v>
      </c>
      <c r="HV57" s="268">
        <f>+'WICHE Public Grads-RE PROJ'!JL60/'WICHE Public Grads-RE PROJ'!Z60</f>
        <v>0.71984252524123693</v>
      </c>
      <c r="HW57" s="268">
        <f>+'WICHE Public Grads-RE PROJ'!JM60/'WICHE Public Grads-RE PROJ'!AA60</f>
        <v>0.71268512887143287</v>
      </c>
      <c r="HX57" s="268">
        <f>+'WICHE Public Grads-RE PROJ'!JN60/'WICHE Public Grads-RE PROJ'!AB60</f>
        <v>0.70613162261752238</v>
      </c>
      <c r="HY57" s="266">
        <f>+'WICHE Public Grads-RE PROJ'!JO60/'WICHE Public Grads-RE PROJ'!AC60</f>
        <v>0.69483731881944621</v>
      </c>
      <c r="HZ57" s="266">
        <f>+'WICHE Public Grads-RE PROJ'!JP60/'WICHE Public Grads-RE PROJ'!AD60</f>
        <v>0.68783763655471886</v>
      </c>
      <c r="IA57" s="266">
        <f>+'WICHE Public Grads-RE PROJ'!JQ60/'WICHE Public Grads-RE PROJ'!AE60</f>
        <v>0.67726531535298118</v>
      </c>
      <c r="IB57" s="266">
        <f>+'WICHE Public Grads-RE PROJ'!JR60/'WICHE Public Grads-RE PROJ'!AF60</f>
        <v>0.67072585136904506</v>
      </c>
      <c r="IC57" s="266">
        <f>+'WICHE Public Grads-RE PROJ'!JS60/'WICHE Public Grads-RE PROJ'!AG60</f>
        <v>0.66187961691789943</v>
      </c>
      <c r="ID57" s="268">
        <f>+'WICHE Public Grads-RE PROJ'!JT60/'WICHE Public Grads-RE PROJ'!AH60</f>
        <v>0.64771352293152085</v>
      </c>
      <c r="IE57" s="266">
        <f>+'WICHE Public Grads-RE PROJ'!JU60/'WICHE Public Grads-RE PROJ'!AI60</f>
        <v>0.6306976519298384</v>
      </c>
      <c r="IF57" s="266">
        <f>+'WICHE Public Grads-RE PROJ'!JV60/'WICHE Public Grads-RE PROJ'!AJ60</f>
        <v>0.6221545813125382</v>
      </c>
      <c r="IG57" s="266">
        <f>+'WICHE Public Grads-RE PROJ'!JW60/'WICHE Public Grads-RE PROJ'!AK60</f>
        <v>0.62297876655354878</v>
      </c>
      <c r="IH57" s="266">
        <f>+'WICHE Public Grads-RE PROJ'!JX60/'WICHE Public Grads-RE PROJ'!AL60</f>
        <v>0.6150844226524026</v>
      </c>
      <c r="II57" s="266">
        <f>+'WICHE Public Grads-RE PROJ'!JY60/'WICHE Public Grads-RE PROJ'!AM60</f>
        <v>0.61345920482151095</v>
      </c>
      <c r="IJ57" s="266">
        <f>+'WICHE Public Grads-RE PROJ'!JZ60/'WICHE Public Grads-RE PROJ'!AN60</f>
        <v>0.57882893881592956</v>
      </c>
      <c r="IK57" s="266">
        <f>+'WICHE Public Grads-RE PROJ'!KA60/'WICHE Public Grads-RE PROJ'!AO60</f>
        <v>0.57124744245127879</v>
      </c>
      <c r="IL57" s="266">
        <f>+'WICHE Public Grads-RE PROJ'!KB60/'WICHE Public Grads-RE PROJ'!AP60</f>
        <v>0.57125165379652099</v>
      </c>
      <c r="IM57" s="282">
        <f>+'WICHE Public Grads-RE PROJ'!KC60/'WICHE Public Grads-RE PROJ'!AQ60</f>
        <v>0.56393051329653854</v>
      </c>
      <c r="IN57" s="278">
        <f t="shared" si="120"/>
        <v>1</v>
      </c>
      <c r="IO57" s="278">
        <f t="shared" si="121"/>
        <v>1</v>
      </c>
      <c r="IP57" s="278">
        <f t="shared" si="122"/>
        <v>1</v>
      </c>
      <c r="IQ57" s="278">
        <f t="shared" si="123"/>
        <v>1</v>
      </c>
      <c r="IR57" s="278">
        <f t="shared" si="124"/>
        <v>1</v>
      </c>
      <c r="IS57" s="278">
        <f t="shared" si="125"/>
        <v>1</v>
      </c>
      <c r="IT57" s="278">
        <f t="shared" si="126"/>
        <v>1</v>
      </c>
      <c r="IU57" s="278">
        <f t="shared" si="127"/>
        <v>1</v>
      </c>
      <c r="IV57" s="278">
        <f t="shared" si="128"/>
        <v>1</v>
      </c>
      <c r="IW57" s="278">
        <f t="shared" si="129"/>
        <v>1</v>
      </c>
      <c r="IX57" s="278">
        <f t="shared" si="130"/>
        <v>1</v>
      </c>
      <c r="IY57" s="278">
        <f t="shared" si="131"/>
        <v>1</v>
      </c>
      <c r="IZ57" s="278">
        <f t="shared" si="132"/>
        <v>1</v>
      </c>
      <c r="JA57" s="278">
        <f t="shared" si="133"/>
        <v>1</v>
      </c>
      <c r="JB57" s="278">
        <f t="shared" si="134"/>
        <v>1</v>
      </c>
      <c r="JC57" s="278">
        <f t="shared" si="135"/>
        <v>0.98807567719825351</v>
      </c>
      <c r="JD57" s="278">
        <f t="shared" si="136"/>
        <v>0.98680920901268465</v>
      </c>
      <c r="JE57" s="278">
        <f t="shared" si="137"/>
        <v>0.99996717291098047</v>
      </c>
      <c r="JF57" s="278">
        <f t="shared" si="138"/>
        <v>1.0003008533071389</v>
      </c>
      <c r="JG57" s="278">
        <f t="shared" si="139"/>
        <v>1.0002945620711692</v>
      </c>
      <c r="JH57" s="278">
        <f t="shared" si="140"/>
        <v>0.99860851863625699</v>
      </c>
      <c r="JI57" s="278">
        <f t="shared" si="141"/>
        <v>0.99610114972493191</v>
      </c>
      <c r="JJ57" s="278">
        <f t="shared" si="142"/>
        <v>0.995243170120238</v>
      </c>
      <c r="JK57" s="278">
        <f t="shared" si="143"/>
        <v>0.99419313214974991</v>
      </c>
      <c r="JL57" s="278">
        <f t="shared" si="144"/>
        <v>0.99324252176779992</v>
      </c>
      <c r="JM57" s="278">
        <f t="shared" si="145"/>
        <v>0.99088817655589523</v>
      </c>
      <c r="JN57" s="278">
        <f t="shared" si="146"/>
        <v>0.99192898293786524</v>
      </c>
      <c r="JO57" s="278">
        <f t="shared" si="147"/>
        <v>0.99209962161514498</v>
      </c>
      <c r="JP57" s="278">
        <f t="shared" si="148"/>
        <v>0.99149371892149052</v>
      </c>
      <c r="JQ57" s="278">
        <f t="shared" si="149"/>
        <v>0.99203461766493506</v>
      </c>
      <c r="JR57" s="278">
        <f t="shared" si="150"/>
        <v>0.99151029714416383</v>
      </c>
      <c r="JS57" s="278">
        <f t="shared" si="151"/>
        <v>0.98979024676674787</v>
      </c>
      <c r="JT57" s="278">
        <f t="shared" si="152"/>
        <v>0.9900399845974508</v>
      </c>
      <c r="JU57" s="278">
        <f t="shared" si="153"/>
        <v>0.99042445473361229</v>
      </c>
      <c r="JV57" s="278">
        <f t="shared" si="154"/>
        <v>0.99438729800112646</v>
      </c>
      <c r="JW57" s="278">
        <f t="shared" si="155"/>
        <v>0.99767207282216153</v>
      </c>
      <c r="JX57" s="278">
        <f t="shared" si="156"/>
        <v>0.99685244606364187</v>
      </c>
      <c r="JY57" s="278">
        <f t="shared" si="157"/>
        <v>0.91063010319890081</v>
      </c>
      <c r="JZ57" s="278">
        <f t="shared" si="157"/>
        <v>0.90386531504943912</v>
      </c>
      <c r="KA57" s="278">
        <f t="shared" si="157"/>
        <v>0.90448166553102061</v>
      </c>
      <c r="KB57" s="278">
        <f t="shared" si="157"/>
        <v>0.90368118561398159</v>
      </c>
    </row>
    <row r="58" spans="1:288" s="17" customFormat="1">
      <c r="A58" s="175" t="s">
        <v>81</v>
      </c>
      <c r="B58" s="262">
        <f>+'WICHE Public Grads-RE PROJ'!AR61/'WICHE Public Grads-RE PROJ'!B61</f>
        <v>1.4732313875678103E-2</v>
      </c>
      <c r="C58" s="262">
        <f>+'WICHE Public Grads-RE PROJ'!AS61/'WICHE Public Grads-RE PROJ'!C61</f>
        <v>1.4973958333333334E-2</v>
      </c>
      <c r="D58" s="262">
        <f>+'WICHE Public Grads-RE PROJ'!AT61/'WICHE Public Grads-RE PROJ'!D61</f>
        <v>1.4386459802538786E-2</v>
      </c>
      <c r="E58" s="262">
        <f>+'WICHE Public Grads-RE PROJ'!AU61/'WICHE Public Grads-RE PROJ'!E61</f>
        <v>1.4836523491162193E-2</v>
      </c>
      <c r="F58" s="262">
        <f>+'WICHE Public Grads-RE PROJ'!AV61/'WICHE Public Grads-RE PROJ'!F61</f>
        <v>1.3732266278646783E-2</v>
      </c>
      <c r="G58" s="262">
        <f>+'WICHE Public Grads-RE PROJ'!AW61/'WICHE Public Grads-RE PROJ'!G61</f>
        <v>1.5066272527891675E-2</v>
      </c>
      <c r="H58" s="267">
        <f>+'WICHE Public Grads-RE PROJ'!AX61/'WICHE Public Grads-RE PROJ'!H61</f>
        <v>1.2911555842479019E-2</v>
      </c>
      <c r="I58" s="267">
        <f>+'WICHE Public Grads-RE PROJ'!AY61/'WICHE Public Grads-RE PROJ'!I61</f>
        <v>1.7066666666666667E-2</v>
      </c>
      <c r="J58" s="267">
        <f>+'WICHE Public Grads-RE PROJ'!AZ61/'WICHE Public Grads-RE PROJ'!J61</f>
        <v>1.4878687970242624E-2</v>
      </c>
      <c r="K58" s="267">
        <f>+'WICHE Public Grads-RE PROJ'!BA61/'WICHE Public Grads-RE PROJ'!K61</f>
        <v>1.8043611795184641E-2</v>
      </c>
      <c r="L58" s="262">
        <f>+'WICHE Public Grads-RE PROJ'!BB61/'WICHE Public Grads-RE PROJ'!L61</f>
        <v>1.5553384930934789E-2</v>
      </c>
      <c r="M58" s="267">
        <f>+'WICHE Public Grads-RE PROJ'!BC61/'WICHE Public Grads-RE PROJ'!M61</f>
        <v>1.7156862744890235E-2</v>
      </c>
      <c r="N58" s="267">
        <f>+'WICHE Public Grads-RE PROJ'!BD61/'WICHE Public Grads-RE PROJ'!N61</f>
        <v>1.7999307721842363E-2</v>
      </c>
      <c r="O58" s="267">
        <f>+'WICHE Public Grads-RE PROJ'!BE61/'WICHE Public Grads-RE PROJ'!O61</f>
        <v>1.7444601603629765E-2</v>
      </c>
      <c r="P58" s="267">
        <f>+'WICHE Public Grads-RE PROJ'!BF61/'WICHE Public Grads-RE PROJ'!P61</f>
        <v>1.815842150414641E-2</v>
      </c>
      <c r="Q58" s="267">
        <f>+'WICHE Public Grads-RE PROJ'!BG61/'WICHE Public Grads-RE PROJ'!Q61</f>
        <v>1.8544146138942705E-2</v>
      </c>
      <c r="R58" s="267">
        <f>+'WICHE Public Grads-RE PROJ'!BH61/'WICHE Public Grads-RE PROJ'!R61</f>
        <v>1.9156320918435457E-2</v>
      </c>
      <c r="S58" s="267">
        <f>+'WICHE Public Grads-RE PROJ'!BI61/'WICHE Public Grads-RE PROJ'!S61</f>
        <v>2.1278037541505725E-2</v>
      </c>
      <c r="T58" s="267">
        <f>+'WICHE Public Grads-RE PROJ'!BJ61/'WICHE Public Grads-RE PROJ'!T61</f>
        <v>1.9698177741023729E-2</v>
      </c>
      <c r="U58" s="267">
        <f>+'WICHE Public Grads-RE PROJ'!BK61/'WICHE Public Grads-RE PROJ'!U61</f>
        <v>2.473599388298655E-2</v>
      </c>
      <c r="V58" s="267">
        <f>+'WICHE Public Grads-RE PROJ'!BL61/'WICHE Public Grads-RE PROJ'!V61</f>
        <v>2.7152913551999294E-2</v>
      </c>
      <c r="W58" s="267">
        <f>+'WICHE Public Grads-RE PROJ'!BM61/'WICHE Public Grads-RE PROJ'!W61</f>
        <v>2.7598839631170033E-2</v>
      </c>
      <c r="X58" s="268">
        <f>+'WICHE Public Grads-RE PROJ'!BN61/'WICHE Public Grads-RE PROJ'!Y61</f>
        <v>3.1821360752535006E-2</v>
      </c>
      <c r="Y58" s="268">
        <f>+'WICHE Public Grads-RE PROJ'!BO61/'WICHE Public Grads-RE PROJ'!Z61</f>
        <v>3.288711634640664E-2</v>
      </c>
      <c r="Z58" s="268">
        <f>+'WICHE Public Grads-RE PROJ'!BP61/'WICHE Public Grads-RE PROJ'!AA61</f>
        <v>3.34014142032244E-2</v>
      </c>
      <c r="AA58" s="268">
        <f>+'WICHE Public Grads-RE PROJ'!BQ61/'WICHE Public Grads-RE PROJ'!AB61</f>
        <v>3.4055218096819481E-2</v>
      </c>
      <c r="AB58" s="266">
        <f>+'WICHE Public Grads-RE PROJ'!BR61/'WICHE Public Grads-RE PROJ'!AC61</f>
        <v>3.6301681134330292E-2</v>
      </c>
      <c r="AC58" s="266">
        <f>+'WICHE Public Grads-RE PROJ'!BS61/'WICHE Public Grads-RE PROJ'!AD61</f>
        <v>3.9961287601647362E-2</v>
      </c>
      <c r="AD58" s="266">
        <f>+'WICHE Public Grads-RE PROJ'!BT61/'WICHE Public Grads-RE PROJ'!AE61</f>
        <v>4.0259114775196995E-2</v>
      </c>
      <c r="AE58" s="266">
        <f>+'WICHE Public Grads-RE PROJ'!BU61/'WICHE Public Grads-RE PROJ'!AF61</f>
        <v>4.382963835774336E-2</v>
      </c>
      <c r="AF58" s="266">
        <f>+'WICHE Public Grads-RE PROJ'!BV61/'WICHE Public Grads-RE PROJ'!AG61</f>
        <v>4.3487153313284309E-2</v>
      </c>
      <c r="AG58" s="268">
        <f>+'WICHE Public Grads-RE PROJ'!BW61/'WICHE Public Grads-RE PROJ'!AH61</f>
        <v>4.5387981911326446E-2</v>
      </c>
      <c r="AH58" s="266">
        <f>+'WICHE Public Grads-RE PROJ'!BX61/'WICHE Public Grads-RE PROJ'!AI61</f>
        <v>4.2263344640949566E-2</v>
      </c>
      <c r="AI58" s="266">
        <f>+'WICHE Public Grads-RE PROJ'!BY61/'WICHE Public Grads-RE PROJ'!AJ61</f>
        <v>4.3052092706448886E-2</v>
      </c>
      <c r="AJ58" s="266">
        <f>+'WICHE Public Grads-RE PROJ'!BZ61/'WICHE Public Grads-RE PROJ'!AK61</f>
        <v>4.7207694292277891E-2</v>
      </c>
      <c r="AK58" s="266">
        <f>+'WICHE Public Grads-RE PROJ'!CA61/'WICHE Public Grads-RE PROJ'!AL61</f>
        <v>4.8818507886192158E-2</v>
      </c>
      <c r="AL58" s="266">
        <f>+'WICHE Public Grads-RE PROJ'!CB61/'WICHE Public Grads-RE PROJ'!AM61</f>
        <v>4.5869954987004136E-2</v>
      </c>
      <c r="AM58" s="266">
        <f>+'WICHE Public Grads-RE PROJ'!CC61/'WICHE Public Grads-RE PROJ'!AN61</f>
        <v>4.6802743453181847E-2</v>
      </c>
      <c r="AN58" s="266">
        <f>+'WICHE Public Grads-RE PROJ'!CD61/'WICHE Public Grads-RE PROJ'!AO61</f>
        <v>4.4672359063650156E-2</v>
      </c>
      <c r="AO58" s="266">
        <f>+'WICHE Public Grads-RE PROJ'!CE61/'WICHE Public Grads-RE PROJ'!AP61</f>
        <v>4.5933613282518257E-2</v>
      </c>
      <c r="AP58" s="282">
        <f>+'WICHE Public Grads-RE PROJ'!CF61/'WICHE Public Grads-RE PROJ'!AQ61</f>
        <v>4.7178023075089046E-2</v>
      </c>
      <c r="AQ58" s="262">
        <f>+'WICHE Public Grads-RE PROJ'!CG61/'WICHE Public Grads-RE PROJ'!B61</f>
        <v>1.7644512460034544E-3</v>
      </c>
      <c r="AR58" s="262">
        <f>+'WICHE Public Grads-RE PROJ'!CH61/'WICHE Public Grads-RE PROJ'!C61</f>
        <v>1.5811011904761905E-3</v>
      </c>
      <c r="AS58" s="262">
        <f>+'WICHE Public Grads-RE PROJ'!CI61/'WICHE Public Grads-RE PROJ'!D61</f>
        <v>1.8805829807240246E-3</v>
      </c>
      <c r="AT58" s="262">
        <f>+'WICHE Public Grads-RE PROJ'!CJ61/'WICHE Public Grads-RE PROJ'!E61</f>
        <v>1.8316695668101474E-3</v>
      </c>
      <c r="AU58" s="262">
        <f>+'WICHE Public Grads-RE PROJ'!CK61/'WICHE Public Grads-RE PROJ'!F61</f>
        <v>1.5460167333575846E-3</v>
      </c>
      <c r="AV58" s="262">
        <f>+'WICHE Public Grads-RE PROJ'!CL61/'WICHE Public Grads-RE PROJ'!G61</f>
        <v>2.1931915705158769E-3</v>
      </c>
      <c r="AW58" s="267">
        <f>+'WICHE Public Grads-RE PROJ'!CM61/'WICHE Public Grads-RE PROJ'!H61</f>
        <v>2.121184174121553E-3</v>
      </c>
      <c r="AX58" s="267">
        <f>+'WICHE Public Grads-RE PROJ'!CN61/'WICHE Public Grads-RE PROJ'!I61</f>
        <v>3.1111111111111109E-3</v>
      </c>
      <c r="AY58" s="267">
        <f>+'WICHE Public Grads-RE PROJ'!CO61/'WICHE Public Grads-RE PROJ'!J61</f>
        <v>1.775297996449404E-3</v>
      </c>
      <c r="AZ58" s="267">
        <f>+'WICHE Public Grads-RE PROJ'!CP61/'WICHE Public Grads-RE PROJ'!K61</f>
        <v>2.2266584764925978E-3</v>
      </c>
      <c r="BA58" s="262">
        <f>+'WICHE Public Grads-RE PROJ'!CQ61/'WICHE Public Grads-RE PROJ'!L61</f>
        <v>1.5778796305814327E-3</v>
      </c>
      <c r="BB58" s="267">
        <f>+'WICHE Public Grads-RE PROJ'!CR61/'WICHE Public Grads-RE PROJ'!M61</f>
        <v>3.1512605041635125E-3</v>
      </c>
      <c r="BC58" s="267">
        <f>+'WICHE Public Grads-RE PROJ'!CS61/'WICHE Public Grads-RE PROJ'!N61</f>
        <v>2.2152994116763094E-3</v>
      </c>
      <c r="BD58" s="267">
        <f>+'WICHE Public Grads-RE PROJ'!CT61/'WICHE Public Grads-RE PROJ'!O61</f>
        <v>2.2900249212341197E-3</v>
      </c>
      <c r="BE58" s="267">
        <f>+'WICHE Public Grads-RE PROJ'!CU61/'WICHE Public Grads-RE PROJ'!P61</f>
        <v>2.2161853016871604E-3</v>
      </c>
      <c r="BF58" s="267">
        <f>+'WICHE Public Grads-RE PROJ'!CV61/'WICHE Public Grads-RE PROJ'!Q61</f>
        <v>2.145031829504567E-3</v>
      </c>
      <c r="BG58" s="267">
        <f>+'WICHE Public Grads-RE PROJ'!CW61/'WICHE Public Grads-RE PROJ'!R61</f>
        <v>2.0024028834601522E-3</v>
      </c>
      <c r="BH58" s="267">
        <f>+'WICHE Public Grads-RE PROJ'!CX61/'WICHE Public Grads-RE PROJ'!S61</f>
        <v>2.5750491292268075E-3</v>
      </c>
      <c r="BI58" s="267">
        <f>+'WICHE Public Grads-RE PROJ'!CY61/'WICHE Public Grads-RE PROJ'!T61</f>
        <v>2.3367952314603748E-3</v>
      </c>
      <c r="BJ58" s="267">
        <f>+'WICHE Public Grads-RE PROJ'!CZ61/'WICHE Public Grads-RE PROJ'!U61</f>
        <v>2.9793670587063888E-3</v>
      </c>
      <c r="BK58" s="267">
        <f>+'WICHE Public Grads-RE PROJ'!DA61/'WICHE Public Grads-RE PROJ'!V61</f>
        <v>2.6550241157092436E-3</v>
      </c>
      <c r="BL58" s="267">
        <f>+'WICHE Public Grads-RE PROJ'!DB61/'WICHE Public Grads-RE PROJ'!W61</f>
        <v>2.6206099812076779E-3</v>
      </c>
      <c r="BM58" s="268">
        <f>+'WICHE Public Grads-RE PROJ'!DC61/'WICHE Public Grads-RE PROJ'!Y61</f>
        <v>2.9775568414881865E-3</v>
      </c>
      <c r="BN58" s="268">
        <f>+'WICHE Public Grads-RE PROJ'!DD61/'WICHE Public Grads-RE PROJ'!Z61</f>
        <v>2.4112676192355508E-3</v>
      </c>
      <c r="BO58" s="268">
        <f>+'WICHE Public Grads-RE PROJ'!DE61/'WICHE Public Grads-RE PROJ'!AA61</f>
        <v>3.1334257375968668E-3</v>
      </c>
      <c r="BP58" s="268">
        <f>+'WICHE Public Grads-RE PROJ'!DF61/'WICHE Public Grads-RE PROJ'!AB61</f>
        <v>2.2550873980318972E-3</v>
      </c>
      <c r="BQ58" s="266">
        <f>+'WICHE Public Grads-RE PROJ'!DG61/'WICHE Public Grads-RE PROJ'!AC61</f>
        <v>2.2137726416702813E-3</v>
      </c>
      <c r="BR58" s="266">
        <f>+'WICHE Public Grads-RE PROJ'!DH61/'WICHE Public Grads-RE PROJ'!AD61</f>
        <v>1.5504642753525282E-3</v>
      </c>
      <c r="BS58" s="266">
        <f>+'WICHE Public Grads-RE PROJ'!DI61/'WICHE Public Grads-RE PROJ'!AE61</f>
        <v>2.2499947568591565E-3</v>
      </c>
      <c r="BT58" s="266">
        <f>+'WICHE Public Grads-RE PROJ'!DJ61/'WICHE Public Grads-RE PROJ'!AF61</f>
        <v>2.1393779160389392E-3</v>
      </c>
      <c r="BU58" s="266">
        <f>+'WICHE Public Grads-RE PROJ'!DK61/'WICHE Public Grads-RE PROJ'!AG61</f>
        <v>2.4101466617086351E-3</v>
      </c>
      <c r="BV58" s="268">
        <f>+'WICHE Public Grads-RE PROJ'!DL61/'WICHE Public Grads-RE PROJ'!AH61</f>
        <v>2.6382229191445616E-3</v>
      </c>
      <c r="BW58" s="266">
        <f>+'WICHE Public Grads-RE PROJ'!DM61/'WICHE Public Grads-RE PROJ'!AI61</f>
        <v>2.2288924257601785E-3</v>
      </c>
      <c r="BX58" s="266">
        <f>+'WICHE Public Grads-RE PROJ'!DN61/'WICHE Public Grads-RE PROJ'!AJ61</f>
        <v>2.3565047401007139E-3</v>
      </c>
      <c r="BY58" s="266">
        <f>+'WICHE Public Grads-RE PROJ'!DO61/'WICHE Public Grads-RE PROJ'!AK61</f>
        <v>2.2332734798510261E-3</v>
      </c>
      <c r="BZ58" s="266">
        <f>+'WICHE Public Grads-RE PROJ'!DP61/'WICHE Public Grads-RE PROJ'!AL61</f>
        <v>2.4475638604098109E-3</v>
      </c>
      <c r="CA58" s="266">
        <f>+'WICHE Public Grads-RE PROJ'!DQ61/'WICHE Public Grads-RE PROJ'!AM61</f>
        <v>1.8975293727071152E-3</v>
      </c>
      <c r="CB58" s="266">
        <f>+'WICHE Public Grads-RE PROJ'!DR61/'WICHE Public Grads-RE PROJ'!AN61</f>
        <v>2.4662616814440145E-3</v>
      </c>
      <c r="CC58" s="266">
        <f>+'WICHE Public Grads-RE PROJ'!DS61/'WICHE Public Grads-RE PROJ'!AO61</f>
        <v>1.0126081049321315E-3</v>
      </c>
      <c r="CD58" s="266">
        <f>+'WICHE Public Grads-RE PROJ'!DT61/'WICHE Public Grads-RE PROJ'!AP61</f>
        <v>2.7111345983989905E-3</v>
      </c>
      <c r="CE58" s="282">
        <f>+'WICHE Public Grads-RE PROJ'!DU61/'WICHE Public Grads-RE PROJ'!AQ61</f>
        <v>1.0342989631857646E-3</v>
      </c>
      <c r="CF58" s="262">
        <f>+'WICHE Public Grads-RE PROJ'!DV61/'WICHE Public Grads-RE PROJ'!B61</f>
        <v>1.2967862629674649E-2</v>
      </c>
      <c r="CG58" s="262">
        <f>+'WICHE Public Grads-RE PROJ'!DW61/'WICHE Public Grads-RE PROJ'!C61</f>
        <v>1.3392857142857142E-2</v>
      </c>
      <c r="CH58" s="262">
        <f>+'WICHE Public Grads-RE PROJ'!DX61/'WICHE Public Grads-RE PROJ'!D61</f>
        <v>1.2505876821814763E-2</v>
      </c>
      <c r="CI58" s="262">
        <f>+'WICHE Public Grads-RE PROJ'!DY61/'WICHE Public Grads-RE PROJ'!E61</f>
        <v>1.3004853924352045E-2</v>
      </c>
      <c r="CJ58" s="262">
        <f>+'WICHE Public Grads-RE PROJ'!DZ61/'WICHE Public Grads-RE PROJ'!F61</f>
        <v>1.2186249545289195E-2</v>
      </c>
      <c r="CK58" s="262">
        <f>+'WICHE Public Grads-RE PROJ'!EA61/'WICHE Public Grads-RE PROJ'!G61</f>
        <v>1.2873080957375799E-2</v>
      </c>
      <c r="CL58" s="267">
        <f>+'WICHE Public Grads-RE PROJ'!EB61/'WICHE Public Grads-RE PROJ'!H61</f>
        <v>1.0790371668357465E-2</v>
      </c>
      <c r="CM58" s="267">
        <f>+'WICHE Public Grads-RE PROJ'!EC61/'WICHE Public Grads-RE PROJ'!I61</f>
        <v>1.3955555555555556E-2</v>
      </c>
      <c r="CN58" s="267">
        <f>+'WICHE Public Grads-RE PROJ'!ED61/'WICHE Public Grads-RE PROJ'!J61</f>
        <v>1.310338997379322E-2</v>
      </c>
      <c r="CO58" s="267">
        <f>+'WICHE Public Grads-RE PROJ'!EE61/'WICHE Public Grads-RE PROJ'!K61</f>
        <v>1.5816953318692047E-2</v>
      </c>
      <c r="CP58" s="262">
        <f>+'WICHE Public Grads-RE PROJ'!EF61/'WICHE Public Grads-RE PROJ'!L61</f>
        <v>1.3975505300353356E-2</v>
      </c>
      <c r="CQ58" s="267">
        <f>+'WICHE Public Grads-RE PROJ'!EG61/'WICHE Public Grads-RE PROJ'!M61</f>
        <v>1.4005602240726722E-2</v>
      </c>
      <c r="CR58" s="267">
        <f>+'WICHE Public Grads-RE PROJ'!EH61/'WICHE Public Grads-RE PROJ'!N61</f>
        <v>1.5784008310166051E-2</v>
      </c>
      <c r="CS58" s="267">
        <f>+'WICHE Public Grads-RE PROJ'!EI61/'WICHE Public Grads-RE PROJ'!O61</f>
        <v>1.5154576682395645E-2</v>
      </c>
      <c r="CT58" s="267">
        <f>+'WICHE Public Grads-RE PROJ'!EJ61/'WICHE Public Grads-RE PROJ'!P61</f>
        <v>1.5942236202459249E-2</v>
      </c>
      <c r="CU58" s="267">
        <f>+'WICHE Public Grads-RE PROJ'!EK61/'WICHE Public Grads-RE PROJ'!Q61</f>
        <v>1.6399114309438141E-2</v>
      </c>
      <c r="CV58" s="267">
        <f>+'WICHE Public Grads-RE PROJ'!EL61/'WICHE Public Grads-RE PROJ'!R61</f>
        <v>1.7153918034975305E-2</v>
      </c>
      <c r="CW58" s="267">
        <f>+'WICHE Public Grads-RE PROJ'!EM61/'WICHE Public Grads-RE PROJ'!S61</f>
        <v>1.870298841227892E-2</v>
      </c>
      <c r="CX58" s="267">
        <f>+'WICHE Public Grads-RE PROJ'!EN61/'WICHE Public Grads-RE PROJ'!T61</f>
        <v>1.7361382509563351E-2</v>
      </c>
      <c r="CY58" s="267">
        <f>+'WICHE Public Grads-RE PROJ'!EO61/'WICHE Public Grads-RE PROJ'!U61</f>
        <v>2.1756626824280159E-2</v>
      </c>
      <c r="CZ58" s="267">
        <f>+'WICHE Public Grads-RE PROJ'!EP61/'WICHE Public Grads-RE PROJ'!V61</f>
        <v>2.4497889436290048E-2</v>
      </c>
      <c r="DA58" s="267">
        <f>+'WICHE Public Grads-RE PROJ'!EQ61/'WICHE Public Grads-RE PROJ'!W61</f>
        <v>2.4978229649962352E-2</v>
      </c>
      <c r="DB58" s="268">
        <f>+'WICHE Public Grads-RE PROJ'!ER61/'WICHE Public Grads-RE PROJ'!Y61</f>
        <v>2.8843803911046826E-2</v>
      </c>
      <c r="DC58" s="268">
        <f>+'WICHE Public Grads-RE PROJ'!ES61/'WICHE Public Grads-RE PROJ'!Z61</f>
        <v>3.0475848727171091E-2</v>
      </c>
      <c r="DD58" s="268">
        <f>+'WICHE Public Grads-RE PROJ'!ET61/'WICHE Public Grads-RE PROJ'!AA61</f>
        <v>3.0267988465627529E-2</v>
      </c>
      <c r="DE58" s="268">
        <f>+'WICHE Public Grads-RE PROJ'!EU61/'WICHE Public Grads-RE PROJ'!AB61</f>
        <v>3.1800130698787586E-2</v>
      </c>
      <c r="DF58" s="266">
        <f>+'WICHE Public Grads-RE PROJ'!EV61/'WICHE Public Grads-RE PROJ'!AC61</f>
        <v>3.408790849266001E-2</v>
      </c>
      <c r="DG58" s="266">
        <f>+'WICHE Public Grads-RE PROJ'!EW61/'WICHE Public Grads-RE PROJ'!AD61</f>
        <v>3.8410823326294835E-2</v>
      </c>
      <c r="DH58" s="266">
        <f>+'WICHE Public Grads-RE PROJ'!EX61/'WICHE Public Grads-RE PROJ'!AE61</f>
        <v>3.8009120018337846E-2</v>
      </c>
      <c r="DI58" s="266">
        <f>+'WICHE Public Grads-RE PROJ'!EY61/'WICHE Public Grads-RE PROJ'!AF61</f>
        <v>4.1690260441704423E-2</v>
      </c>
      <c r="DJ58" s="266">
        <f>+'WICHE Public Grads-RE PROJ'!EZ61/'WICHE Public Grads-RE PROJ'!AG61</f>
        <v>4.1077006651575675E-2</v>
      </c>
      <c r="DK58" s="268">
        <f>+'WICHE Public Grads-RE PROJ'!FA61/'WICHE Public Grads-RE PROJ'!AH61</f>
        <v>4.2749758992181884E-2</v>
      </c>
      <c r="DL58" s="266">
        <f>+'WICHE Public Grads-RE PROJ'!FB61/'WICHE Public Grads-RE PROJ'!AI61</f>
        <v>4.0034452215189392E-2</v>
      </c>
      <c r="DM58" s="266">
        <f>+'WICHE Public Grads-RE PROJ'!FC61/'WICHE Public Grads-RE PROJ'!AJ61</f>
        <v>4.0695587966348173E-2</v>
      </c>
      <c r="DN58" s="266">
        <f>+'WICHE Public Grads-RE PROJ'!FD61/'WICHE Public Grads-RE PROJ'!AK61</f>
        <v>4.4974420812426863E-2</v>
      </c>
      <c r="DO58" s="266">
        <f>+'WICHE Public Grads-RE PROJ'!FE61/'WICHE Public Grads-RE PROJ'!AL61</f>
        <v>4.6370944025782346E-2</v>
      </c>
      <c r="DP58" s="266">
        <f>+'WICHE Public Grads-RE PROJ'!FF61/'WICHE Public Grads-RE PROJ'!AM61</f>
        <v>4.3972425614297019E-2</v>
      </c>
      <c r="DQ58" s="266">
        <f>+'WICHE Public Grads-RE PROJ'!FG61/'WICHE Public Grads-RE PROJ'!AN61</f>
        <v>4.4336481771737837E-2</v>
      </c>
      <c r="DR58" s="266">
        <f>+'WICHE Public Grads-RE PROJ'!FH61/'WICHE Public Grads-RE PROJ'!AO61</f>
        <v>4.3659750958718026E-2</v>
      </c>
      <c r="DS58" s="266">
        <f>+'WICHE Public Grads-RE PROJ'!FI61/'WICHE Public Grads-RE PROJ'!AP61</f>
        <v>4.3222478684119263E-2</v>
      </c>
      <c r="DT58" s="282">
        <f>+'WICHE Public Grads-RE PROJ'!FJ61/'WICHE Public Grads-RE PROJ'!AQ61</f>
        <v>4.6143724111903275E-2</v>
      </c>
      <c r="DU58" s="262">
        <f>+'WICHE Public Grads-RE PROJ'!FK61/'WICHE Public Grads-RE PROJ'!B61</f>
        <v>8.2932925302149369E-3</v>
      </c>
      <c r="DV58" s="262">
        <f>+'WICHE Public Grads-RE PROJ'!FL61/'WICHE Public Grads-RE PROJ'!C61</f>
        <v>8.1845238095238099E-3</v>
      </c>
      <c r="DW58" s="262">
        <f>+'WICHE Public Grads-RE PROJ'!FM61/'WICHE Public Grads-RE PROJ'!D61</f>
        <v>8.0865068171133044E-3</v>
      </c>
      <c r="DX58" s="262">
        <f>+'WICHE Public Grads-RE PROJ'!FN61/'WICHE Public Grads-RE PROJ'!E61</f>
        <v>8.608846964007693E-3</v>
      </c>
      <c r="DY58" s="262">
        <f>+'WICHE Public Grads-RE PROJ'!FO61/'WICHE Public Grads-RE PROJ'!F61</f>
        <v>7.4572571844307009E-3</v>
      </c>
      <c r="DZ58" s="262">
        <f>+'WICHE Public Grads-RE PROJ'!FP61/'WICHE Public Grads-RE PROJ'!G61</f>
        <v>8.3913416611042235E-3</v>
      </c>
      <c r="EA58" s="267">
        <f>+'WICHE Public Grads-RE PROJ'!FQ61/'WICHE Public Grads-RE PROJ'!H61</f>
        <v>8.2080604998616621E-3</v>
      </c>
      <c r="EB58" s="267">
        <f>+'WICHE Public Grads-RE PROJ'!FR61/'WICHE Public Grads-RE PROJ'!I61</f>
        <v>7.8222222222222217E-3</v>
      </c>
      <c r="EC58" s="267">
        <f>+'WICHE Public Grads-RE PROJ'!FS61/'WICHE Public Grads-RE PROJ'!J61</f>
        <v>7.7774959844450079E-3</v>
      </c>
      <c r="ED58" s="267">
        <f>+'WICHE Public Grads-RE PROJ'!FT61/'WICHE Public Grads-RE PROJ'!K61</f>
        <v>9.5976658451277039E-3</v>
      </c>
      <c r="EE58" s="262">
        <f>+'WICHE Public Grads-RE PROJ'!FU61/'WICHE Public Grads-RE PROJ'!L61</f>
        <v>9.5424149052361074E-3</v>
      </c>
      <c r="EF58" s="267">
        <f>+'WICHE Public Grads-RE PROJ'!FV61/'WICHE Public Grads-RE PROJ'!M61</f>
        <v>8.8235294095382281E-3</v>
      </c>
      <c r="EG58" s="267">
        <f>+'WICHE Public Grads-RE PROJ'!FW61/'WICHE Public Grads-RE PROJ'!N61</f>
        <v>1.066112841686077E-2</v>
      </c>
      <c r="EH58" s="267">
        <f>+'WICHE Public Grads-RE PROJ'!FX61/'WICHE Public Grads-RE PROJ'!O61</f>
        <v>1.2595137067150635E-2</v>
      </c>
      <c r="EI58" s="267">
        <f>+'WICHE Public Grads-RE PROJ'!FY61/'WICHE Public Grads-RE PROJ'!P61</f>
        <v>1.537031741492708E-2</v>
      </c>
      <c r="EJ58" s="267">
        <f>+'WICHE Public Grads-RE PROJ'!FZ61/'WICHE Public Grads-RE PROJ'!Q61</f>
        <v>1.7783005812344311E-2</v>
      </c>
      <c r="EK58" s="267">
        <f>+'WICHE Public Grads-RE PROJ'!GA61/'WICHE Public Grads-RE PROJ'!R61</f>
        <v>2.1358964090241624E-2</v>
      </c>
      <c r="EL58" s="267">
        <f>+'WICHE Public Grads-RE PROJ'!GB61/'WICHE Public Grads-RE PROJ'!S61</f>
        <v>2.4327437826116419E-2</v>
      </c>
      <c r="EM58" s="267">
        <f>+'WICHE Public Grads-RE PROJ'!GC61/'WICHE Public Grads-RE PROJ'!T61</f>
        <v>1.3710693950105518E-2</v>
      </c>
      <c r="EN58" s="267">
        <f>+'WICHE Public Grads-RE PROJ'!GD61/'WICHE Public Grads-RE PROJ'!U61</f>
        <v>1.6922490971693318E-2</v>
      </c>
      <c r="EO58" s="267">
        <f>+'WICHE Public Grads-RE PROJ'!GE61/'WICHE Public Grads-RE PROJ'!V61</f>
        <v>1.6413248687538153E-2</v>
      </c>
      <c r="EP58" s="267">
        <f>+'WICHE Public Grads-RE PROJ'!GF61/'WICHE Public Grads-RE PROJ'!W61</f>
        <v>1.8465469985447097E-2</v>
      </c>
      <c r="EQ58" s="268">
        <f>+'WICHE Public Grads-RE PROJ'!GG61/'WICHE Public Grads-RE PROJ'!Y61</f>
        <v>2.1043590574779298E-2</v>
      </c>
      <c r="ER58" s="268">
        <f>+'WICHE Public Grads-RE PROJ'!GH61/'WICHE Public Grads-RE PROJ'!Z61</f>
        <v>1.993134713108119E-2</v>
      </c>
      <c r="ES58" s="268">
        <f>+'WICHE Public Grads-RE PROJ'!GI61/'WICHE Public Grads-RE PROJ'!AA61</f>
        <v>2.1663293928965648E-2</v>
      </c>
      <c r="ET58" s="268">
        <f>+'WICHE Public Grads-RE PROJ'!GJ61/'WICHE Public Grads-RE PROJ'!AB61</f>
        <v>1.8349476403454822E-2</v>
      </c>
      <c r="EU58" s="266">
        <f>+'WICHE Public Grads-RE PROJ'!GK61/'WICHE Public Grads-RE PROJ'!AC61</f>
        <v>1.8732894324817919E-2</v>
      </c>
      <c r="EV58" s="266">
        <f>+'WICHE Public Grads-RE PROJ'!GL61/'WICHE Public Grads-RE PROJ'!AD61</f>
        <v>1.8030031425892091E-2</v>
      </c>
      <c r="EW58" s="266">
        <f>+'WICHE Public Grads-RE PROJ'!GM61/'WICHE Public Grads-RE PROJ'!AE61</f>
        <v>1.8986659093675369E-2</v>
      </c>
      <c r="EX58" s="266">
        <f>+'WICHE Public Grads-RE PROJ'!GN61/'WICHE Public Grads-RE PROJ'!AF61</f>
        <v>1.7690201926898505E-2</v>
      </c>
      <c r="EY58" s="266">
        <f>+'WICHE Public Grads-RE PROJ'!GO61/'WICHE Public Grads-RE PROJ'!AG61</f>
        <v>1.6528323617904E-2</v>
      </c>
      <c r="EZ58" s="268">
        <f>+'WICHE Public Grads-RE PROJ'!GP61/'WICHE Public Grads-RE PROJ'!AH61</f>
        <v>1.7455595103133409E-2</v>
      </c>
      <c r="FA58" s="266">
        <f>+'WICHE Public Grads-RE PROJ'!GQ61/'WICHE Public Grads-RE PROJ'!AI61</f>
        <v>1.7718586781457161E-2</v>
      </c>
      <c r="FB58" s="266">
        <f>+'WICHE Public Grads-RE PROJ'!GR61/'WICHE Public Grads-RE PROJ'!AJ61</f>
        <v>1.5395408259100546E-2</v>
      </c>
      <c r="FC58" s="266">
        <f>+'WICHE Public Grads-RE PROJ'!GS61/'WICHE Public Grads-RE PROJ'!AK61</f>
        <v>2.0249706278015814E-2</v>
      </c>
      <c r="FD58" s="266">
        <f>+'WICHE Public Grads-RE PROJ'!GT61/'WICHE Public Grads-RE PROJ'!AL61</f>
        <v>1.930756391010419E-2</v>
      </c>
      <c r="FE58" s="266">
        <f>+'WICHE Public Grads-RE PROJ'!GU61/'WICHE Public Grads-RE PROJ'!AM61</f>
        <v>2.0567683623282512E-2</v>
      </c>
      <c r="FF58" s="266">
        <f>+'WICHE Public Grads-RE PROJ'!GV61/'WICHE Public Grads-RE PROJ'!AN61</f>
        <v>2.0809469324143275E-2</v>
      </c>
      <c r="FG58" s="266">
        <f>+'WICHE Public Grads-RE PROJ'!GW61/'WICHE Public Grads-RE PROJ'!AO61</f>
        <v>1.8599065779357493E-2</v>
      </c>
      <c r="FH58" s="266">
        <f>+'WICHE Public Grads-RE PROJ'!GX61/'WICHE Public Grads-RE PROJ'!AP61</f>
        <v>2.0008373695999185E-2</v>
      </c>
      <c r="FI58" s="282">
        <f>+'WICHE Public Grads-RE PROJ'!GY61/'WICHE Public Grads-RE PROJ'!AQ61</f>
        <v>1.773794803623276E-2</v>
      </c>
      <c r="FJ58" s="262">
        <f>+'WICHE Public Grads-RE PROJ'!GZ61/'WICHE Public Grads-RE PROJ'!B61</f>
        <v>1.014661539893974E-2</v>
      </c>
      <c r="FK58" s="262">
        <f>+'WICHE Public Grads-RE PROJ'!HA61/'WICHE Public Grads-RE PROJ'!C61</f>
        <v>9.3936011904761901E-3</v>
      </c>
      <c r="FL58" s="262">
        <f>+'WICHE Public Grads-RE PROJ'!HB61/'WICHE Public Grads-RE PROJ'!D61</f>
        <v>9.8730606488011286E-3</v>
      </c>
      <c r="FM58" s="262">
        <f>+'WICHE Public Grads-RE PROJ'!HC61/'WICHE Public Grads-RE PROJ'!E61</f>
        <v>1.11731843575419E-2</v>
      </c>
      <c r="FN58" s="262">
        <f>+'WICHE Public Grads-RE PROJ'!HD61/'WICHE Public Grads-RE PROJ'!F61</f>
        <v>1.0731174972717352E-2</v>
      </c>
      <c r="FO58" s="262">
        <f>+'WICHE Public Grads-RE PROJ'!HE61/'WICHE Public Grads-RE PROJ'!G61</f>
        <v>1.0584533231620102E-2</v>
      </c>
      <c r="FP58" s="267">
        <f>+'WICHE Public Grads-RE PROJ'!HF61/'WICHE Public Grads-RE PROJ'!H61</f>
        <v>1.0237019275108365E-2</v>
      </c>
      <c r="FQ58" s="267">
        <f>+'WICHE Public Grads-RE PROJ'!HG61/'WICHE Public Grads-RE PROJ'!I61</f>
        <v>1.1022222222222221E-2</v>
      </c>
      <c r="FR58" s="267">
        <f>+'WICHE Public Grads-RE PROJ'!HH61/'WICHE Public Grads-RE PROJ'!J61</f>
        <v>1.0313635979372729E-2</v>
      </c>
      <c r="FS58" s="267">
        <f>+'WICHE Public Grads-RE PROJ'!HI61/'WICHE Public Grads-RE PROJ'!K61</f>
        <v>1.3359950862209207E-2</v>
      </c>
      <c r="FT58" s="262">
        <f>+'WICHE Public Grads-RE PROJ'!HJ61/'WICHE Public Grads-RE PROJ'!L61</f>
        <v>1.6980990306778028E-2</v>
      </c>
      <c r="FU58" s="267">
        <f>+'WICHE Public Grads-RE PROJ'!HK61/'WICHE Public Grads-RE PROJ'!M61</f>
        <v>1.6106442573807722E-2</v>
      </c>
      <c r="FV58" s="267">
        <f>+'WICHE Public Grads-RE PROJ'!HL61/'WICHE Public Grads-RE PROJ'!N61</f>
        <v>1.7376254759936885E-2</v>
      </c>
      <c r="FW58" s="267">
        <f>+'WICHE Public Grads-RE PROJ'!HM61/'WICHE Public Grads-RE PROJ'!O61</f>
        <v>1.865696773865699E-2</v>
      </c>
      <c r="FX58" s="267">
        <f>+'WICHE Public Grads-RE PROJ'!HN61/'WICHE Public Grads-RE PROJ'!P61</f>
        <v>1.587074635401773E-2</v>
      </c>
      <c r="FY58" s="267">
        <f>+'WICHE Public Grads-RE PROJ'!HO61/'WICHE Public Grads-RE PROJ'!Q61</f>
        <v>1.3008580127318018E-2</v>
      </c>
      <c r="FZ58" s="267">
        <f>+'WICHE Public Grads-RE PROJ'!HP61/'WICHE Public Grads-RE PROJ'!R61</f>
        <v>1.3416099319183019E-2</v>
      </c>
      <c r="GA58" s="267">
        <f>+'WICHE Public Grads-RE PROJ'!HQ61/'WICHE Public Grads-RE PROJ'!S61</f>
        <v>1.301077454767229E-2</v>
      </c>
      <c r="GB58" s="267">
        <f>+'WICHE Public Grads-RE PROJ'!HR61/'WICHE Public Grads-RE PROJ'!T61</f>
        <v>2.6074231741386192E-2</v>
      </c>
      <c r="GC58" s="267">
        <f>+'WICHE Public Grads-RE PROJ'!HS61/'WICHE Public Grads-RE PROJ'!U61</f>
        <v>3.0562262849258365E-2</v>
      </c>
      <c r="GD58" s="267">
        <f>+'WICHE Public Grads-RE PROJ'!HT61/'WICHE Public Grads-RE PROJ'!V61</f>
        <v>3.2649383058366836E-2</v>
      </c>
      <c r="GE58" s="267">
        <f>+'WICHE Public Grads-RE PROJ'!HU61/'WICHE Public Grads-RE PROJ'!W61</f>
        <v>3.2043191698219044E-2</v>
      </c>
      <c r="GF58" s="268">
        <f>+'WICHE Public Grads-RE PROJ'!HV61/'WICHE Public Grads-RE PROJ'!Y61</f>
        <v>2.9464723057117836E-2</v>
      </c>
      <c r="GG58" s="268">
        <f>+'WICHE Public Grads-RE PROJ'!HW61/'WICHE Public Grads-RE PROJ'!Z61</f>
        <v>3.3258867761704815E-2</v>
      </c>
      <c r="GH58" s="268">
        <f>+'WICHE Public Grads-RE PROJ'!HX61/'WICHE Public Grads-RE PROJ'!AA61</f>
        <v>4.012268942390311E-2</v>
      </c>
      <c r="GI58" s="268">
        <f>+'WICHE Public Grads-RE PROJ'!HY61/'WICHE Public Grads-RE PROJ'!AB61</f>
        <v>3.8844827827470528E-2</v>
      </c>
      <c r="GJ58" s="266">
        <f>+'WICHE Public Grads-RE PROJ'!HZ61/'WICHE Public Grads-RE PROJ'!AC61</f>
        <v>4.1266682306367236E-2</v>
      </c>
      <c r="GK58" s="266">
        <f>+'WICHE Public Grads-RE PROJ'!IA61/'WICHE Public Grads-RE PROJ'!AD61</f>
        <v>4.1901679844246163E-2</v>
      </c>
      <c r="GL58" s="266">
        <f>+'WICHE Public Grads-RE PROJ'!IB61/'WICHE Public Grads-RE PROJ'!AE61</f>
        <v>4.5827402390130889E-2</v>
      </c>
      <c r="GM58" s="266">
        <f>+'WICHE Public Grads-RE PROJ'!IC61/'WICHE Public Grads-RE PROJ'!AF61</f>
        <v>4.7628701148413062E-2</v>
      </c>
      <c r="GN58" s="266">
        <f>+'WICHE Public Grads-RE PROJ'!ID61/'WICHE Public Grads-RE PROJ'!AG61</f>
        <v>5.2378799245836015E-2</v>
      </c>
      <c r="GO58" s="268">
        <f>+'WICHE Public Grads-RE PROJ'!IE61/'WICHE Public Grads-RE PROJ'!AH61</f>
        <v>5.8970662881531466E-2</v>
      </c>
      <c r="GP58" s="266">
        <f>+'WICHE Public Grads-RE PROJ'!IF61/'WICHE Public Grads-RE PROJ'!AI61</f>
        <v>6.0601655536108363E-2</v>
      </c>
      <c r="GQ58" s="266">
        <f>+'WICHE Public Grads-RE PROJ'!IG61/'WICHE Public Grads-RE PROJ'!AJ61</f>
        <v>6.8824989409963913E-2</v>
      </c>
      <c r="GR58" s="266">
        <f>+'WICHE Public Grads-RE PROJ'!IH61/'WICHE Public Grads-RE PROJ'!AK61</f>
        <v>6.2734406362484091E-2</v>
      </c>
      <c r="GS58" s="266">
        <f>+'WICHE Public Grads-RE PROJ'!II61/'WICHE Public Grads-RE PROJ'!AL61</f>
        <v>6.5565941938097796E-2</v>
      </c>
      <c r="GT58" s="266">
        <f>+'WICHE Public Grads-RE PROJ'!IJ61/'WICHE Public Grads-RE PROJ'!AM61</f>
        <v>6.5142838178276E-2</v>
      </c>
      <c r="GU58" s="266">
        <f>+'WICHE Public Grads-RE PROJ'!IK61/'WICHE Public Grads-RE PROJ'!AN61</f>
        <v>6.6300508958309107E-2</v>
      </c>
      <c r="GV58" s="266">
        <f>+'WICHE Public Grads-RE PROJ'!IL61/'WICHE Public Grads-RE PROJ'!AO61</f>
        <v>7.1905184124043342E-2</v>
      </c>
      <c r="GW58" s="266">
        <f>+'WICHE Public Grads-RE PROJ'!IM61/'WICHE Public Grads-RE PROJ'!AP61</f>
        <v>6.5524366875951617E-2</v>
      </c>
      <c r="GX58" s="282">
        <f>+'WICHE Public Grads-RE PROJ'!IN61/'WICHE Public Grads-RE PROJ'!AQ61</f>
        <v>7.6119703943742054E-2</v>
      </c>
      <c r="GY58" s="262">
        <f>+'WICHE Public Grads-RE PROJ'!IO61/'WICHE Public Grads-RE PROJ'!B61</f>
        <v>0.96682777819516719</v>
      </c>
      <c r="GZ58" s="262">
        <f>+'WICHE Public Grads-RE PROJ'!IP61/'WICHE Public Grads-RE PROJ'!C61</f>
        <v>0.96744791666666663</v>
      </c>
      <c r="HA58" s="262">
        <f>+'WICHE Public Grads-RE PROJ'!IQ61/'WICHE Public Grads-RE PROJ'!D61</f>
        <v>0.96765397273154674</v>
      </c>
      <c r="HB58" s="262">
        <f>+'WICHE Public Grads-RE PROJ'!IR61/'WICHE Public Grads-RE PROJ'!E61</f>
        <v>0.96538144518728819</v>
      </c>
      <c r="HC58" s="262">
        <f>+'WICHE Public Grads-RE PROJ'!IS61/'WICHE Public Grads-RE PROJ'!F61</f>
        <v>0.96807930156420507</v>
      </c>
      <c r="HD58" s="262">
        <f>+'WICHE Public Grads-RE PROJ'!IT61/'WICHE Public Grads-RE PROJ'!G61</f>
        <v>0.96595785257938405</v>
      </c>
      <c r="HE58" s="267">
        <f>+'WICHE Public Grads-RE PROJ'!IU61/'WICHE Public Grads-RE PROJ'!H61</f>
        <v>0.96864336438255094</v>
      </c>
      <c r="HF58" s="267">
        <f>+'WICHE Public Grads-RE PROJ'!IV61/'WICHE Public Grads-RE PROJ'!I61</f>
        <v>0.96408888888888888</v>
      </c>
      <c r="HG58" s="267">
        <f>+'WICHE Public Grads-RE PROJ'!IW61/'WICHE Public Grads-RE PROJ'!J61</f>
        <v>0.96703018006593966</v>
      </c>
      <c r="HH58" s="267">
        <f>+'WICHE Public Grads-RE PROJ'!IX61/'WICHE Public Grads-RE PROJ'!K61</f>
        <v>0.95899877175858139</v>
      </c>
      <c r="HI58" s="262">
        <f>+'WICHE Public Grads-RE PROJ'!IY61/'WICHE Public Grads-RE PROJ'!L61</f>
        <v>0.95792320992611635</v>
      </c>
      <c r="HJ58" s="267">
        <f>+'WICHE Public Grads-RE PROJ'!IZ61/'WICHE Public Grads-RE PROJ'!M61</f>
        <v>0.95791316502649504</v>
      </c>
      <c r="HK58" s="267">
        <f>+'WICHE Public Grads-RE PROJ'!JA61/'WICHE Public Grads-RE PROJ'!N61</f>
        <v>0.95396330903899618</v>
      </c>
      <c r="HL58" s="267">
        <f>+'WICHE Public Grads-RE PROJ'!JB61/'WICHE Public Grads-RE PROJ'!O61</f>
        <v>0.95130329364791277</v>
      </c>
      <c r="HM58" s="267">
        <f>+'WICHE Public Grads-RE PROJ'!JC61/'WICHE Public Grads-RE PROJ'!P61</f>
        <v>0.95953674578209891</v>
      </c>
      <c r="HN58" s="267">
        <f>+'WICHE Public Grads-RE PROJ'!JD61/'WICHE Public Grads-RE PROJ'!Q61</f>
        <v>0.95066426792139491</v>
      </c>
      <c r="HO58" s="267">
        <f>+'WICHE Public Grads-RE PROJ'!JE61/'WICHE Public Grads-RE PROJ'!R61</f>
        <v>0.94606861567213996</v>
      </c>
      <c r="HP58" s="267">
        <f>+'WICHE Public Grads-RE PROJ'!JF61/'WICHE Public Grads-RE PROJ'!S61</f>
        <v>0.94138375008470554</v>
      </c>
      <c r="HQ58" s="267">
        <f>+'WICHE Public Grads-RE PROJ'!JG61/'WICHE Public Grads-RE PROJ'!T61</f>
        <v>0.94051689656748461</v>
      </c>
      <c r="HR58" s="267">
        <f>+'WICHE Public Grads-RE PROJ'!JH61/'WICHE Public Grads-RE PROJ'!U61</f>
        <v>0.92777925229606173</v>
      </c>
      <c r="HS58" s="267">
        <f>+'WICHE Public Grads-RE PROJ'!JI61/'WICHE Public Grads-RE PROJ'!V61</f>
        <v>0.92378445470209569</v>
      </c>
      <c r="HT58" s="267">
        <f>+'WICHE Public Grads-RE PROJ'!JJ61/'WICHE Public Grads-RE PROJ'!W61</f>
        <v>0.92189249868516387</v>
      </c>
      <c r="HU58" s="268">
        <f>+'WICHE Public Grads-RE PROJ'!JK61/'WICHE Public Grads-RE PROJ'!Y61</f>
        <v>0.91813986254690894</v>
      </c>
      <c r="HV58" s="268">
        <f>+'WICHE Public Grads-RE PROJ'!JL61/'WICHE Public Grads-RE PROJ'!Z61</f>
        <v>0.91455649356149149</v>
      </c>
      <c r="HW58" s="268">
        <f>+'WICHE Public Grads-RE PROJ'!JM61/'WICHE Public Grads-RE PROJ'!AA61</f>
        <v>0.90514183190513975</v>
      </c>
      <c r="HX58" s="268">
        <f>+'WICHE Public Grads-RE PROJ'!JN61/'WICHE Public Grads-RE PROJ'!AB61</f>
        <v>0.90942691624951022</v>
      </c>
      <c r="HY58" s="266">
        <f>+'WICHE Public Grads-RE PROJ'!JO61/'WICHE Public Grads-RE PROJ'!AC61</f>
        <v>0.90502816768606897</v>
      </c>
      <c r="HZ58" s="266">
        <f>+'WICHE Public Grads-RE PROJ'!JP61/'WICHE Public Grads-RE PROJ'!AD61</f>
        <v>0.90257223863555214</v>
      </c>
      <c r="IA58" s="266">
        <f>+'WICHE Public Grads-RE PROJ'!JQ61/'WICHE Public Grads-RE PROJ'!AE61</f>
        <v>0.89729504283524908</v>
      </c>
      <c r="IB58" s="266">
        <f>+'WICHE Public Grads-RE PROJ'!JR61/'WICHE Public Grads-RE PROJ'!AF61</f>
        <v>0.89423320890297708</v>
      </c>
      <c r="IC58" s="266">
        <f>+'WICHE Public Grads-RE PROJ'!JS61/'WICHE Public Grads-RE PROJ'!AG61</f>
        <v>0.89141744518373978</v>
      </c>
      <c r="ID58" s="268">
        <f>+'WICHE Public Grads-RE PROJ'!JT61/'WICHE Public Grads-RE PROJ'!AH61</f>
        <v>0.88304666922563602</v>
      </c>
      <c r="IE58" s="266">
        <f>+'WICHE Public Grads-RE PROJ'!JU61/'WICHE Public Grads-RE PROJ'!AI61</f>
        <v>0.88460549463344573</v>
      </c>
      <c r="IF58" s="266">
        <f>+'WICHE Public Grads-RE PROJ'!JV61/'WICHE Public Grads-RE PROJ'!AJ61</f>
        <v>0.87975157680574134</v>
      </c>
      <c r="IG58" s="266">
        <f>+'WICHE Public Grads-RE PROJ'!JW61/'WICHE Public Grads-RE PROJ'!AK61</f>
        <v>0.87754933133473045</v>
      </c>
      <c r="IH58" s="266">
        <f>+'WICHE Public Grads-RE PROJ'!JX61/'WICHE Public Grads-RE PROJ'!AL61</f>
        <v>0.87516806567141969</v>
      </c>
      <c r="II58" s="266">
        <f>+'WICHE Public Grads-RE PROJ'!JY61/'WICHE Public Grads-RE PROJ'!AM61</f>
        <v>0.87648867531534513</v>
      </c>
      <c r="IJ58" s="266">
        <f>+'WICHE Public Grads-RE PROJ'!JZ61/'WICHE Public Grads-RE PROJ'!AN61</f>
        <v>0.86281577170697032</v>
      </c>
      <c r="IK58" s="266">
        <f>+'WICHE Public Grads-RE PROJ'!KA61/'WICHE Public Grads-RE PROJ'!AO61</f>
        <v>0.86456107029321316</v>
      </c>
      <c r="IL58" s="266">
        <f>+'WICHE Public Grads-RE PROJ'!KB61/'WICHE Public Grads-RE PROJ'!AP61</f>
        <v>0.86849903746897916</v>
      </c>
      <c r="IM58" s="282">
        <f>+'WICHE Public Grads-RE PROJ'!KC61/'WICHE Public Grads-RE PROJ'!AQ61</f>
        <v>0.86350279898425508</v>
      </c>
      <c r="IN58" s="278">
        <f t="shared" si="120"/>
        <v>1</v>
      </c>
      <c r="IO58" s="278">
        <f t="shared" si="121"/>
        <v>1</v>
      </c>
      <c r="IP58" s="278">
        <f t="shared" si="122"/>
        <v>1</v>
      </c>
      <c r="IQ58" s="278">
        <f t="shared" si="123"/>
        <v>1</v>
      </c>
      <c r="IR58" s="278">
        <f t="shared" si="124"/>
        <v>0.99999999999999989</v>
      </c>
      <c r="IS58" s="278">
        <f t="shared" si="125"/>
        <v>1</v>
      </c>
      <c r="IT58" s="278">
        <f t="shared" si="126"/>
        <v>1</v>
      </c>
      <c r="IU58" s="278">
        <f t="shared" si="127"/>
        <v>1</v>
      </c>
      <c r="IV58" s="278">
        <f t="shared" si="128"/>
        <v>1</v>
      </c>
      <c r="IW58" s="278">
        <f t="shared" si="129"/>
        <v>1.0000000002611029</v>
      </c>
      <c r="IX58" s="278">
        <f t="shared" si="130"/>
        <v>1.0000000000690652</v>
      </c>
      <c r="IY58" s="278">
        <f t="shared" si="131"/>
        <v>0.99999999975473119</v>
      </c>
      <c r="IZ58" s="278">
        <f t="shared" si="132"/>
        <v>0.99999999993763622</v>
      </c>
      <c r="JA58" s="278">
        <f t="shared" si="133"/>
        <v>1.0000000000573501</v>
      </c>
      <c r="JB58" s="278">
        <f t="shared" si="134"/>
        <v>1.0089362310551901</v>
      </c>
      <c r="JC58" s="278">
        <f t="shared" si="135"/>
        <v>1</v>
      </c>
      <c r="JD58" s="278">
        <f t="shared" si="136"/>
        <v>1</v>
      </c>
      <c r="JE58" s="278">
        <f t="shared" si="137"/>
        <v>1</v>
      </c>
      <c r="JF58" s="278">
        <f t="shared" si="138"/>
        <v>1</v>
      </c>
      <c r="JG58" s="278">
        <f t="shared" si="139"/>
        <v>1</v>
      </c>
      <c r="JH58" s="278">
        <f t="shared" si="140"/>
        <v>1</v>
      </c>
      <c r="JI58" s="278">
        <f t="shared" si="141"/>
        <v>1</v>
      </c>
      <c r="JJ58" s="278">
        <f t="shared" si="142"/>
        <v>1.000469536931341</v>
      </c>
      <c r="JK58" s="278">
        <f t="shared" si="143"/>
        <v>1.0006338248006841</v>
      </c>
      <c r="JL58" s="278">
        <f t="shared" si="144"/>
        <v>1.0003292294612329</v>
      </c>
      <c r="JM58" s="278">
        <f t="shared" si="145"/>
        <v>1.0006764385772551</v>
      </c>
      <c r="JN58" s="278">
        <f t="shared" si="146"/>
        <v>1.0013294254515843</v>
      </c>
      <c r="JO58" s="278">
        <f t="shared" si="147"/>
        <v>1.0024652375073377</v>
      </c>
      <c r="JP58" s="278">
        <f t="shared" si="148"/>
        <v>1.0023682190942522</v>
      </c>
      <c r="JQ58" s="278">
        <f t="shared" si="149"/>
        <v>1.0033817503360321</v>
      </c>
      <c r="JR58" s="278">
        <f t="shared" si="150"/>
        <v>1.003811721360764</v>
      </c>
      <c r="JS58" s="278">
        <f t="shared" si="151"/>
        <v>1.0048609091216274</v>
      </c>
      <c r="JT58" s="278">
        <f t="shared" si="152"/>
        <v>1.0051890815919609</v>
      </c>
      <c r="JU58" s="278">
        <f t="shared" si="153"/>
        <v>1.0070240671812547</v>
      </c>
      <c r="JV58" s="278">
        <f t="shared" si="154"/>
        <v>1.0077411382675083</v>
      </c>
      <c r="JW58" s="278">
        <f t="shared" si="155"/>
        <v>1.0088600794058138</v>
      </c>
      <c r="JX58" s="278">
        <f t="shared" si="156"/>
        <v>1.0080691521039078</v>
      </c>
      <c r="JY58" s="278">
        <f t="shared" si="157"/>
        <v>0.99672849344260461</v>
      </c>
      <c r="JZ58" s="278">
        <f t="shared" si="157"/>
        <v>0.99973767926026413</v>
      </c>
      <c r="KA58" s="278">
        <f t="shared" si="157"/>
        <v>0.99996539132344819</v>
      </c>
      <c r="KB58" s="278">
        <f t="shared" si="157"/>
        <v>1.0045384740393191</v>
      </c>
    </row>
    <row r="59" spans="1:288" s="17" customFormat="1">
      <c r="A59" s="175" t="s">
        <v>82</v>
      </c>
      <c r="B59" s="262">
        <f>+'WICHE Public Grads-RE PROJ'!AR62/'WICHE Public Grads-RE PROJ'!B62</f>
        <v>5.0743223987160448E-2</v>
      </c>
      <c r="C59" s="262">
        <f>+'WICHE Public Grads-RE PROJ'!AS62/'WICHE Public Grads-RE PROJ'!C62</f>
        <v>5.4890219560878244E-2</v>
      </c>
      <c r="D59" s="262">
        <f>+'WICHE Public Grads-RE PROJ'!AT62/'WICHE Public Grads-RE PROJ'!D62</f>
        <v>5.9190926275992435E-2</v>
      </c>
      <c r="E59" s="262">
        <f>+'WICHE Public Grads-RE PROJ'!AU62/'WICHE Public Grads-RE PROJ'!E62</f>
        <v>5.974511520258742E-2</v>
      </c>
      <c r="F59" s="262">
        <f>+'WICHE Public Grads-RE PROJ'!AV62/'WICHE Public Grads-RE PROJ'!F62</f>
        <v>6.7553154762391626E-2</v>
      </c>
      <c r="G59" s="262">
        <f>+'WICHE Public Grads-RE PROJ'!AW62/'WICHE Public Grads-RE PROJ'!G62</f>
        <v>6.7553487575467794E-2</v>
      </c>
      <c r="H59" s="267">
        <f>+'WICHE Public Grads-RE PROJ'!AX62/'WICHE Public Grads-RE PROJ'!H62</f>
        <v>6.7561136611350756E-2</v>
      </c>
      <c r="I59" s="267">
        <f>+'WICHE Public Grads-RE PROJ'!AY62/'WICHE Public Grads-RE PROJ'!I62</f>
        <v>7.0282760357264523E-2</v>
      </c>
      <c r="J59" s="267">
        <f>+'WICHE Public Grads-RE PROJ'!AZ62/'WICHE Public Grads-RE PROJ'!J62</f>
        <v>7.2627349807178082E-2</v>
      </c>
      <c r="K59" s="267">
        <f>+'WICHE Public Grads-RE PROJ'!BA62/'WICHE Public Grads-RE PROJ'!K62</f>
        <v>7.3216865887298047E-2</v>
      </c>
      <c r="L59" s="262">
        <f>+'WICHE Public Grads-RE PROJ'!BB62/'WICHE Public Grads-RE PROJ'!L62</f>
        <v>7.404975278121137E-2</v>
      </c>
      <c r="M59" s="267">
        <f>+'WICHE Public Grads-RE PROJ'!BC62/'WICHE Public Grads-RE PROJ'!M62</f>
        <v>7.7268985514368907E-2</v>
      </c>
      <c r="N59" s="267">
        <f>+'WICHE Public Grads-RE PROJ'!BD62/'WICHE Public Grads-RE PROJ'!N62</f>
        <v>7.5680576432133231E-2</v>
      </c>
      <c r="O59" s="267">
        <f>+'WICHE Public Grads-RE PROJ'!BE62/'WICHE Public Grads-RE PROJ'!O62</f>
        <v>7.8055998705232249E-2</v>
      </c>
      <c r="P59" s="267">
        <f>+'WICHE Public Grads-RE PROJ'!BF62/'WICHE Public Grads-RE PROJ'!P62</f>
        <v>8.1089184777176873E-2</v>
      </c>
      <c r="Q59" s="267">
        <f>+'WICHE Public Grads-RE PROJ'!BG62/'WICHE Public Grads-RE PROJ'!Q62</f>
        <v>7.9988818767269085E-2</v>
      </c>
      <c r="R59" s="262">
        <f>+'WICHE Public Grads-RE PROJ'!BH62/'WICHE Public Grads-RE PROJ'!R62</f>
        <v>8.1352506474093103E-2</v>
      </c>
      <c r="S59" s="267">
        <f>+'WICHE Public Grads-RE PROJ'!BI62/'WICHE Public Grads-RE PROJ'!S62</f>
        <v>8.6368003688267539E-2</v>
      </c>
      <c r="T59" s="262">
        <f>+'WICHE Public Grads-RE PROJ'!BJ62/'WICHE Public Grads-RE PROJ'!T62</f>
        <v>8.3703379294608568E-2</v>
      </c>
      <c r="U59" s="267">
        <f>+'WICHE Public Grads-RE PROJ'!BK62/'WICHE Public Grads-RE PROJ'!U62</f>
        <v>8.8528818290276451E-2</v>
      </c>
      <c r="V59" s="262">
        <f>+'WICHE Public Grads-RE PROJ'!BL62/'WICHE Public Grads-RE PROJ'!V62</f>
        <v>9.0604373121445217E-2</v>
      </c>
      <c r="W59" s="262">
        <f>+'WICHE Public Grads-RE PROJ'!BM62/'WICHE Public Grads-RE PROJ'!W62</f>
        <v>9.2635189094297063E-2</v>
      </c>
      <c r="X59" s="266">
        <f>+'WICHE Public Grads-RE PROJ'!BN62/'WICHE Public Grads-RE PROJ'!Y62</f>
        <v>9.7161053187236168E-2</v>
      </c>
      <c r="Y59" s="266">
        <f>+'WICHE Public Grads-RE PROJ'!BO62/'WICHE Public Grads-RE PROJ'!Z62</f>
        <v>9.8380715747908451E-2</v>
      </c>
      <c r="Z59" s="266">
        <f>+'WICHE Public Grads-RE PROJ'!BP62/'WICHE Public Grads-RE PROJ'!AA62</f>
        <v>0.10070730628139171</v>
      </c>
      <c r="AA59" s="268">
        <f>+'WICHE Public Grads-RE PROJ'!BQ62/'WICHE Public Grads-RE PROJ'!AB62</f>
        <v>0.1011720825636138</v>
      </c>
      <c r="AB59" s="266">
        <f>+'WICHE Public Grads-RE PROJ'!BR62/'WICHE Public Grads-RE PROJ'!AC62</f>
        <v>0.10573857540580672</v>
      </c>
      <c r="AC59" s="266">
        <f>+'WICHE Public Grads-RE PROJ'!BS62/'WICHE Public Grads-RE PROJ'!AD62</f>
        <v>0.10752160015526348</v>
      </c>
      <c r="AD59" s="266">
        <f>+'WICHE Public Grads-RE PROJ'!BT62/'WICHE Public Grads-RE PROJ'!AE62</f>
        <v>0.10948602889937664</v>
      </c>
      <c r="AE59" s="266">
        <f>+'WICHE Public Grads-RE PROJ'!BU62/'WICHE Public Grads-RE PROJ'!AF62</f>
        <v>0.11320560037550148</v>
      </c>
      <c r="AF59" s="266">
        <f>+'WICHE Public Grads-RE PROJ'!BV62/'WICHE Public Grads-RE PROJ'!AG62</f>
        <v>0.11364982477180274</v>
      </c>
      <c r="AG59" s="268">
        <f>+'WICHE Public Grads-RE PROJ'!BW62/'WICHE Public Grads-RE PROJ'!AH62</f>
        <v>0.11362087014352627</v>
      </c>
      <c r="AH59" s="266">
        <f>+'WICHE Public Grads-RE PROJ'!BX62/'WICHE Public Grads-RE PROJ'!AI62</f>
        <v>0.11285230237732885</v>
      </c>
      <c r="AI59" s="266">
        <f>+'WICHE Public Grads-RE PROJ'!BY62/'WICHE Public Grads-RE PROJ'!AJ62</f>
        <v>0.11342924006243855</v>
      </c>
      <c r="AJ59" s="266">
        <f>+'WICHE Public Grads-RE PROJ'!BZ62/'WICHE Public Grads-RE PROJ'!AK62</f>
        <v>0.12458458420762419</v>
      </c>
      <c r="AK59" s="266">
        <f>+'WICHE Public Grads-RE PROJ'!CA62/'WICHE Public Grads-RE PROJ'!AL62</f>
        <v>0.12288823743438329</v>
      </c>
      <c r="AL59" s="266">
        <f>+'WICHE Public Grads-RE PROJ'!CB62/'WICHE Public Grads-RE PROJ'!AM62</f>
        <v>0.12716435201170559</v>
      </c>
      <c r="AM59" s="266">
        <f>+'WICHE Public Grads-RE PROJ'!CC62/'WICHE Public Grads-RE PROJ'!AN62</f>
        <v>0.12830089506392917</v>
      </c>
      <c r="AN59" s="266">
        <f>+'WICHE Public Grads-RE PROJ'!CD62/'WICHE Public Grads-RE PROJ'!AO62</f>
        <v>0.13426956536239545</v>
      </c>
      <c r="AO59" s="266">
        <f>+'WICHE Public Grads-RE PROJ'!CE62/'WICHE Public Grads-RE PROJ'!AP62</f>
        <v>0.12898662559899912</v>
      </c>
      <c r="AP59" s="282">
        <f>+'WICHE Public Grads-RE PROJ'!CF62/'WICHE Public Grads-RE PROJ'!AQ62</f>
        <v>0.13203399682594072</v>
      </c>
      <c r="AQ59" s="262">
        <f>+'WICHE Public Grads-RE PROJ'!CG62/'WICHE Public Grads-RE PROJ'!B62</f>
        <v>7.9497217597384088E-4</v>
      </c>
      <c r="AR59" s="262">
        <f>+'WICHE Public Grads-RE PROJ'!CH62/'WICHE Public Grads-RE PROJ'!C62</f>
        <v>1.0128995739863557E-3</v>
      </c>
      <c r="AS59" s="262">
        <f>+'WICHE Public Grads-RE PROJ'!CI62/'WICHE Public Grads-RE PROJ'!D62</f>
        <v>1.6937618147448016E-3</v>
      </c>
      <c r="AT59" s="262">
        <f>+'WICHE Public Grads-RE PROJ'!CJ62/'WICHE Public Grads-RE PROJ'!E62</f>
        <v>1.40943281456315E-3</v>
      </c>
      <c r="AU59" s="262">
        <f>+'WICHE Public Grads-RE PROJ'!CK62/'WICHE Public Grads-RE PROJ'!F62</f>
        <v>2.0387659540227992E-3</v>
      </c>
      <c r="AV59" s="262">
        <f>+'WICHE Public Grads-RE PROJ'!CL62/'WICHE Public Grads-RE PROJ'!G62</f>
        <v>2.0410202246549532E-3</v>
      </c>
      <c r="AW59" s="267">
        <f>+'WICHE Public Grads-RE PROJ'!CM62/'WICHE Public Grads-RE PROJ'!H62</f>
        <v>2.0417248737354355E-3</v>
      </c>
      <c r="AX59" s="267">
        <f>+'WICHE Public Grads-RE PROJ'!CN62/'WICHE Public Grads-RE PROJ'!I62</f>
        <v>1.9255550782812198E-3</v>
      </c>
      <c r="AY59" s="267">
        <f>+'WICHE Public Grads-RE PROJ'!CO62/'WICHE Public Grads-RE PROJ'!J62</f>
        <v>2.7814729713387353E-3</v>
      </c>
      <c r="AZ59" s="267">
        <f>+'WICHE Public Grads-RE PROJ'!CP62/'WICHE Public Grads-RE PROJ'!K62</f>
        <v>2.6796269538946539E-3</v>
      </c>
      <c r="BA59" s="262">
        <f>+'WICHE Public Grads-RE PROJ'!CQ62/'WICHE Public Grads-RE PROJ'!L62</f>
        <v>1.699629171817058E-3</v>
      </c>
      <c r="BB59" s="267">
        <f>+'WICHE Public Grads-RE PROJ'!CR62/'WICHE Public Grads-RE PROJ'!M62</f>
        <v>1.9781056873610105E-3</v>
      </c>
      <c r="BC59" s="267">
        <f>+'WICHE Public Grads-RE PROJ'!CS62/'WICHE Public Grads-RE PROJ'!N62</f>
        <v>3.2448166440006681E-3</v>
      </c>
      <c r="BD59" s="267">
        <f>+'WICHE Public Grads-RE PROJ'!CT62/'WICHE Public Grads-RE PROJ'!O62</f>
        <v>3.4681279045571203E-3</v>
      </c>
      <c r="BE59" s="267">
        <f>+'WICHE Public Grads-RE PROJ'!CU62/'WICHE Public Grads-RE PROJ'!P62</f>
        <v>2.3764839143133182E-3</v>
      </c>
      <c r="BF59" s="267">
        <f>+'WICHE Public Grads-RE PROJ'!CV62/'WICHE Public Grads-RE PROJ'!Q62</f>
        <v>2.1179835076817221E-3</v>
      </c>
      <c r="BG59" s="262">
        <f>+'WICHE Public Grads-RE PROJ'!CW62/'WICHE Public Grads-RE PROJ'!R62</f>
        <v>2.3896246078699709E-3</v>
      </c>
      <c r="BH59" s="267">
        <f>+'WICHE Public Grads-RE PROJ'!CX62/'WICHE Public Grads-RE PROJ'!S62</f>
        <v>1.4369354242293965E-3</v>
      </c>
      <c r="BI59" s="262">
        <f>+'WICHE Public Grads-RE PROJ'!CY62/'WICHE Public Grads-RE PROJ'!T62</f>
        <v>1.8448336529658974E-3</v>
      </c>
      <c r="BJ59" s="267">
        <f>+'WICHE Public Grads-RE PROJ'!CZ62/'WICHE Public Grads-RE PROJ'!U62</f>
        <v>3.1589878761995763E-3</v>
      </c>
      <c r="BK59" s="262">
        <f>+'WICHE Public Grads-RE PROJ'!DA62/'WICHE Public Grads-RE PROJ'!V62</f>
        <v>1.5015712114947156E-3</v>
      </c>
      <c r="BL59" s="262">
        <f>+'WICHE Public Grads-RE PROJ'!DB62/'WICHE Public Grads-RE PROJ'!W62</f>
        <v>1.1590787210661925E-3</v>
      </c>
      <c r="BM59" s="266">
        <f>+'WICHE Public Grads-RE PROJ'!DC62/'WICHE Public Grads-RE PROJ'!Y62</f>
        <v>2.2659837311970912E-3</v>
      </c>
      <c r="BN59" s="266">
        <f>+'WICHE Public Grads-RE PROJ'!DD62/'WICHE Public Grads-RE PROJ'!Z62</f>
        <v>3.2089135130584246E-3</v>
      </c>
      <c r="BO59" s="266">
        <f>+'WICHE Public Grads-RE PROJ'!DE62/'WICHE Public Grads-RE PROJ'!AA62</f>
        <v>3.3874058895184043E-3</v>
      </c>
      <c r="BP59" s="268">
        <f>+'WICHE Public Grads-RE PROJ'!DF62/'WICHE Public Grads-RE PROJ'!AB62</f>
        <v>3.6670490324202366E-3</v>
      </c>
      <c r="BQ59" s="266">
        <f>+'WICHE Public Grads-RE PROJ'!DG62/'WICHE Public Grads-RE PROJ'!AC62</f>
        <v>2.4246089245517364E-3</v>
      </c>
      <c r="BR59" s="266">
        <f>+'WICHE Public Grads-RE PROJ'!DH62/'WICHE Public Grads-RE PROJ'!AD62</f>
        <v>2.7368189648661278E-3</v>
      </c>
      <c r="BS59" s="266">
        <f>+'WICHE Public Grads-RE PROJ'!DI62/'WICHE Public Grads-RE PROJ'!AE62</f>
        <v>2.5238634136861915E-3</v>
      </c>
      <c r="BT59" s="266">
        <f>+'WICHE Public Grads-RE PROJ'!DJ62/'WICHE Public Grads-RE PROJ'!AF62</f>
        <v>2.4130316757365344E-3</v>
      </c>
      <c r="BU59" s="266">
        <f>+'WICHE Public Grads-RE PROJ'!DK62/'WICHE Public Grads-RE PROJ'!AG62</f>
        <v>2.3391817298956123E-3</v>
      </c>
      <c r="BV59" s="268">
        <f>+'WICHE Public Grads-RE PROJ'!DL62/'WICHE Public Grads-RE PROJ'!AH62</f>
        <v>2.8349874034350529E-3</v>
      </c>
      <c r="BW59" s="266">
        <f>+'WICHE Public Grads-RE PROJ'!DM62/'WICHE Public Grads-RE PROJ'!AI62</f>
        <v>2.6249910205987216E-3</v>
      </c>
      <c r="BX59" s="266">
        <f>+'WICHE Public Grads-RE PROJ'!DN62/'WICHE Public Grads-RE PROJ'!AJ62</f>
        <v>2.2905740215521694E-3</v>
      </c>
      <c r="BY59" s="266">
        <f>+'WICHE Public Grads-RE PROJ'!DO62/'WICHE Public Grads-RE PROJ'!AK62</f>
        <v>2.0844295392140996E-3</v>
      </c>
      <c r="BZ59" s="266">
        <f>+'WICHE Public Grads-RE PROJ'!DP62/'WICHE Public Grads-RE PROJ'!AL62</f>
        <v>2.4069798534552397E-3</v>
      </c>
      <c r="CA59" s="266">
        <f>+'WICHE Public Grads-RE PROJ'!DQ62/'WICHE Public Grads-RE PROJ'!AM62</f>
        <v>2.9087921443012462E-3</v>
      </c>
      <c r="CB59" s="266">
        <f>+'WICHE Public Grads-RE PROJ'!DR62/'WICHE Public Grads-RE PROJ'!AN62</f>
        <v>2.053316104316881E-3</v>
      </c>
      <c r="CC59" s="266">
        <f>+'WICHE Public Grads-RE PROJ'!DS62/'WICHE Public Grads-RE PROJ'!AO62</f>
        <v>2.260775202591693E-3</v>
      </c>
      <c r="CD59" s="266">
        <f>+'WICHE Public Grads-RE PROJ'!DT62/'WICHE Public Grads-RE PROJ'!AP62</f>
        <v>2.48205957135165E-3</v>
      </c>
      <c r="CE59" s="282">
        <f>+'WICHE Public Grads-RE PROJ'!DU62/'WICHE Public Grads-RE PROJ'!AQ62</f>
        <v>2.3868079535207839E-3</v>
      </c>
      <c r="CF59" s="262">
        <f>+'WICHE Public Grads-RE PROJ'!DV62/'WICHE Public Grads-RE PROJ'!B62</f>
        <v>4.994825181118661E-2</v>
      </c>
      <c r="CG59" s="262">
        <f>+'WICHE Public Grads-RE PROJ'!DW62/'WICHE Public Grads-RE PROJ'!C62</f>
        <v>5.3877319986891888E-2</v>
      </c>
      <c r="CH59" s="262">
        <f>+'WICHE Public Grads-RE PROJ'!DX62/'WICHE Public Grads-RE PROJ'!D62</f>
        <v>5.7497164461247634E-2</v>
      </c>
      <c r="CI59" s="262">
        <f>+'WICHE Public Grads-RE PROJ'!DY62/'WICHE Public Grads-RE PROJ'!E62</f>
        <v>5.8335682388024272E-2</v>
      </c>
      <c r="CJ59" s="262">
        <f>+'WICHE Public Grads-RE PROJ'!DZ62/'WICHE Public Grads-RE PROJ'!F62</f>
        <v>6.5514388808368823E-2</v>
      </c>
      <c r="CK59" s="262">
        <f>+'WICHE Public Grads-RE PROJ'!EA62/'WICHE Public Grads-RE PROJ'!G62</f>
        <v>6.5512467350812842E-2</v>
      </c>
      <c r="CL59" s="267">
        <f>+'WICHE Public Grads-RE PROJ'!EB62/'WICHE Public Grads-RE PROJ'!H62</f>
        <v>6.551941173761533E-2</v>
      </c>
      <c r="CM59" s="267">
        <f>+'WICHE Public Grads-RE PROJ'!EC62/'WICHE Public Grads-RE PROJ'!I62</f>
        <v>6.8357205278983313E-2</v>
      </c>
      <c r="CN59" s="267">
        <f>+'WICHE Public Grads-RE PROJ'!ED62/'WICHE Public Grads-RE PROJ'!J62</f>
        <v>6.9845876835839343E-2</v>
      </c>
      <c r="CO59" s="267">
        <f>+'WICHE Public Grads-RE PROJ'!EE62/'WICHE Public Grads-RE PROJ'!K62</f>
        <v>7.0537238933403384E-2</v>
      </c>
      <c r="CP59" s="262">
        <f>+'WICHE Public Grads-RE PROJ'!EF62/'WICHE Public Grads-RE PROJ'!L62</f>
        <v>7.2350123609394315E-2</v>
      </c>
      <c r="CQ59" s="267">
        <f>+'WICHE Public Grads-RE PROJ'!EG62/'WICHE Public Grads-RE PROJ'!M62</f>
        <v>7.5290879827007898E-2</v>
      </c>
      <c r="CR59" s="267">
        <f>+'WICHE Public Grads-RE PROJ'!EH62/'WICHE Public Grads-RE PROJ'!N62</f>
        <v>7.2435759788132562E-2</v>
      </c>
      <c r="CS59" s="267">
        <f>+'WICHE Public Grads-RE PROJ'!EI62/'WICHE Public Grads-RE PROJ'!O62</f>
        <v>7.4587870800675124E-2</v>
      </c>
      <c r="CT59" s="267">
        <f>+'WICHE Public Grads-RE PROJ'!EJ62/'WICHE Public Grads-RE PROJ'!P62</f>
        <v>7.8712700862863555E-2</v>
      </c>
      <c r="CU59" s="267">
        <f>+'WICHE Public Grads-RE PROJ'!EK62/'WICHE Public Grads-RE PROJ'!Q62</f>
        <v>7.7870835259587365E-2</v>
      </c>
      <c r="CV59" s="262">
        <f>+'WICHE Public Grads-RE PROJ'!EL62/'WICHE Public Grads-RE PROJ'!R62</f>
        <v>7.8962881866223134E-2</v>
      </c>
      <c r="CW59" s="267">
        <f>+'WICHE Public Grads-RE PROJ'!EM62/'WICHE Public Grads-RE PROJ'!S62</f>
        <v>8.4931068264038137E-2</v>
      </c>
      <c r="CX59" s="262">
        <f>+'WICHE Public Grads-RE PROJ'!EN62/'WICHE Public Grads-RE PROJ'!T62</f>
        <v>8.1858545641642674E-2</v>
      </c>
      <c r="CY59" s="267">
        <f>+'WICHE Public Grads-RE PROJ'!EO62/'WICHE Public Grads-RE PROJ'!U62</f>
        <v>8.5369830414076892E-2</v>
      </c>
      <c r="CZ59" s="262">
        <f>+'WICHE Public Grads-RE PROJ'!EP62/'WICHE Public Grads-RE PROJ'!V62</f>
        <v>8.9102801909950513E-2</v>
      </c>
      <c r="DA59" s="262">
        <f>+'WICHE Public Grads-RE PROJ'!EQ62/'WICHE Public Grads-RE PROJ'!W62</f>
        <v>9.1476110373230876E-2</v>
      </c>
      <c r="DB59" s="266">
        <f>+'WICHE Public Grads-RE PROJ'!ER62/'WICHE Public Grads-RE PROJ'!Y62</f>
        <v>9.4895069456039066E-2</v>
      </c>
      <c r="DC59" s="266">
        <f>+'WICHE Public Grads-RE PROJ'!ES62/'WICHE Public Grads-RE PROJ'!Z62</f>
        <v>9.5171802234850014E-2</v>
      </c>
      <c r="DD59" s="266">
        <f>+'WICHE Public Grads-RE PROJ'!ET62/'WICHE Public Grads-RE PROJ'!AA62</f>
        <v>9.7319900391873299E-2</v>
      </c>
      <c r="DE59" s="268">
        <f>+'WICHE Public Grads-RE PROJ'!EU62/'WICHE Public Grads-RE PROJ'!AB62</f>
        <v>9.7505033531193566E-2</v>
      </c>
      <c r="DF59" s="266">
        <f>+'WICHE Public Grads-RE PROJ'!EV62/'WICHE Public Grads-RE PROJ'!AC62</f>
        <v>0.10331396648125497</v>
      </c>
      <c r="DG59" s="266">
        <f>+'WICHE Public Grads-RE PROJ'!EW62/'WICHE Public Grads-RE PROJ'!AD62</f>
        <v>0.10478478119039734</v>
      </c>
      <c r="DH59" s="266">
        <f>+'WICHE Public Grads-RE PROJ'!EX62/'WICHE Public Grads-RE PROJ'!AE62</f>
        <v>0.10696216548569046</v>
      </c>
      <c r="DI59" s="266">
        <f>+'WICHE Public Grads-RE PROJ'!EY62/'WICHE Public Grads-RE PROJ'!AF62</f>
        <v>0.11079256869976495</v>
      </c>
      <c r="DJ59" s="266">
        <f>+'WICHE Public Grads-RE PROJ'!EZ62/'WICHE Public Grads-RE PROJ'!AG62</f>
        <v>0.11131064304190712</v>
      </c>
      <c r="DK59" s="268">
        <f>+'WICHE Public Grads-RE PROJ'!FA62/'WICHE Public Grads-RE PROJ'!AH62</f>
        <v>0.11078588274009123</v>
      </c>
      <c r="DL59" s="266">
        <f>+'WICHE Public Grads-RE PROJ'!FB62/'WICHE Public Grads-RE PROJ'!AI62</f>
        <v>0.11022731135673013</v>
      </c>
      <c r="DM59" s="266">
        <f>+'WICHE Public Grads-RE PROJ'!FC62/'WICHE Public Grads-RE PROJ'!AJ62</f>
        <v>0.11113866604088639</v>
      </c>
      <c r="DN59" s="266">
        <f>+'WICHE Public Grads-RE PROJ'!FD62/'WICHE Public Grads-RE PROJ'!AK62</f>
        <v>0.12250015466841009</v>
      </c>
      <c r="DO59" s="266">
        <f>+'WICHE Public Grads-RE PROJ'!FE62/'WICHE Public Grads-RE PROJ'!AL62</f>
        <v>0.12048125758092805</v>
      </c>
      <c r="DP59" s="266">
        <f>+'WICHE Public Grads-RE PROJ'!FF62/'WICHE Public Grads-RE PROJ'!AM62</f>
        <v>0.12425555986740433</v>
      </c>
      <c r="DQ59" s="266">
        <f>+'WICHE Public Grads-RE PROJ'!FG62/'WICHE Public Grads-RE PROJ'!AN62</f>
        <v>0.12624757895961228</v>
      </c>
      <c r="DR59" s="266">
        <f>+'WICHE Public Grads-RE PROJ'!FH62/'WICHE Public Grads-RE PROJ'!AO62</f>
        <v>0.13200879015980377</v>
      </c>
      <c r="DS59" s="266">
        <f>+'WICHE Public Grads-RE PROJ'!FI62/'WICHE Public Grads-RE PROJ'!AP62</f>
        <v>0.12650456602764745</v>
      </c>
      <c r="DT59" s="282">
        <f>+'WICHE Public Grads-RE PROJ'!FJ62/'WICHE Public Grads-RE PROJ'!AQ62</f>
        <v>0.12964718887241994</v>
      </c>
      <c r="DU59" s="262">
        <f>+'WICHE Public Grads-RE PROJ'!FK62/'WICHE Public Grads-RE PROJ'!B62</f>
        <v>0.14201502947396841</v>
      </c>
      <c r="DV59" s="262">
        <f>+'WICHE Public Grads-RE PROJ'!FL62/'WICHE Public Grads-RE PROJ'!C62</f>
        <v>0.1445616230226115</v>
      </c>
      <c r="DW59" s="262">
        <f>+'WICHE Public Grads-RE PROJ'!FM62/'WICHE Public Grads-RE PROJ'!D62</f>
        <v>0.14514933837429111</v>
      </c>
      <c r="DX59" s="262">
        <f>+'WICHE Public Grads-RE PROJ'!FN62/'WICHE Public Grads-RE PROJ'!E62</f>
        <v>0.14640297909588593</v>
      </c>
      <c r="DY59" s="262">
        <f>+'WICHE Public Grads-RE PROJ'!FO62/'WICHE Public Grads-RE PROJ'!F62</f>
        <v>0.14631393885629904</v>
      </c>
      <c r="DZ59" s="262">
        <f>+'WICHE Public Grads-RE PROJ'!FP62/'WICHE Public Grads-RE PROJ'!G62</f>
        <v>0.14631117708348201</v>
      </c>
      <c r="EA59" s="267">
        <f>+'WICHE Public Grads-RE PROJ'!FQ62/'WICHE Public Grads-RE PROJ'!H62</f>
        <v>0.14631338174114614</v>
      </c>
      <c r="EB59" s="267">
        <f>+'WICHE Public Grads-RE PROJ'!FR62/'WICHE Public Grads-RE PROJ'!I62</f>
        <v>0.14336498155910712</v>
      </c>
      <c r="EC59" s="267">
        <f>+'WICHE Public Grads-RE PROJ'!FS62/'WICHE Public Grads-RE PROJ'!J62</f>
        <v>0.14917832332271805</v>
      </c>
      <c r="ED59" s="267">
        <f>+'WICHE Public Grads-RE PROJ'!FT62/'WICHE Public Grads-RE PROJ'!K62</f>
        <v>0.15114934979640091</v>
      </c>
      <c r="EE59" s="262">
        <f>+'WICHE Public Grads-RE PROJ'!FU62/'WICHE Public Grads-RE PROJ'!L62</f>
        <v>0.153340028842192</v>
      </c>
      <c r="EF59" s="267">
        <f>+'WICHE Public Grads-RE PROJ'!FV62/'WICHE Public Grads-RE PROJ'!M62</f>
        <v>0.15092577803442642</v>
      </c>
      <c r="EG59" s="267">
        <f>+'WICHE Public Grads-RE PROJ'!FW62/'WICHE Public Grads-RE PROJ'!N62</f>
        <v>0.15231551070073723</v>
      </c>
      <c r="EH59" s="267">
        <f>+'WICHE Public Grads-RE PROJ'!FX62/'WICHE Public Grads-RE PROJ'!O62</f>
        <v>0.15132598090217567</v>
      </c>
      <c r="EI59" s="267">
        <f>+'WICHE Public Grads-RE PROJ'!FY62/'WICHE Public Grads-RE PROJ'!P62</f>
        <v>0.15453808482048662</v>
      </c>
      <c r="EJ59" s="267">
        <f>+'WICHE Public Grads-RE PROJ'!FZ62/'WICHE Public Grads-RE PROJ'!Q62</f>
        <v>0.15437626998376572</v>
      </c>
      <c r="EK59" s="262">
        <f>+'WICHE Public Grads-RE PROJ'!GA62/'WICHE Public Grads-RE PROJ'!R62</f>
        <v>0.15554666610522769</v>
      </c>
      <c r="EL59" s="267">
        <f>+'WICHE Public Grads-RE PROJ'!GB62/'WICHE Public Grads-RE PROJ'!S62</f>
        <v>0.16059269947030388</v>
      </c>
      <c r="EM59" s="262">
        <f>+'WICHE Public Grads-RE PROJ'!GC62/'WICHE Public Grads-RE PROJ'!T62</f>
        <v>0.15634789773677296</v>
      </c>
      <c r="EN59" s="267">
        <f>+'WICHE Public Grads-RE PROJ'!GD62/'WICHE Public Grads-RE PROJ'!U62</f>
        <v>0.1537980150022423</v>
      </c>
      <c r="EO59" s="262">
        <f>+'WICHE Public Grads-RE PROJ'!GE62/'WICHE Public Grads-RE PROJ'!V62</f>
        <v>0.15517830730204418</v>
      </c>
      <c r="EP59" s="262">
        <f>+'WICHE Public Grads-RE PROJ'!GF62/'WICHE Public Grads-RE PROJ'!W62</f>
        <v>0.15542810994777001</v>
      </c>
      <c r="EQ59" s="266">
        <f>+'WICHE Public Grads-RE PROJ'!GG62/'WICHE Public Grads-RE PROJ'!Y62</f>
        <v>0.15131916948744734</v>
      </c>
      <c r="ER59" s="266">
        <f>+'WICHE Public Grads-RE PROJ'!GH62/'WICHE Public Grads-RE PROJ'!Z62</f>
        <v>0.15173039093739799</v>
      </c>
      <c r="ES59" s="266">
        <f>+'WICHE Public Grads-RE PROJ'!GI62/'WICHE Public Grads-RE PROJ'!AA62</f>
        <v>0.14763758176331579</v>
      </c>
      <c r="ET59" s="268">
        <f>+'WICHE Public Grads-RE PROJ'!GJ62/'WICHE Public Grads-RE PROJ'!AB62</f>
        <v>0.14646482914919537</v>
      </c>
      <c r="EU59" s="266">
        <f>+'WICHE Public Grads-RE PROJ'!GK62/'WICHE Public Grads-RE PROJ'!AC62</f>
        <v>0.14701417634295116</v>
      </c>
      <c r="EV59" s="266">
        <f>+'WICHE Public Grads-RE PROJ'!GL62/'WICHE Public Grads-RE PROJ'!AD62</f>
        <v>0.14618772260447901</v>
      </c>
      <c r="EW59" s="266">
        <f>+'WICHE Public Grads-RE PROJ'!GM62/'WICHE Public Grads-RE PROJ'!AE62</f>
        <v>0.14266566691150467</v>
      </c>
      <c r="EX59" s="266">
        <f>+'WICHE Public Grads-RE PROJ'!GN62/'WICHE Public Grads-RE PROJ'!AF62</f>
        <v>0.14106114085784033</v>
      </c>
      <c r="EY59" s="266">
        <f>+'WICHE Public Grads-RE PROJ'!GO62/'WICHE Public Grads-RE PROJ'!AG62</f>
        <v>0.13583262680196212</v>
      </c>
      <c r="EZ59" s="268">
        <f>+'WICHE Public Grads-RE PROJ'!GP62/'WICHE Public Grads-RE PROJ'!AH62</f>
        <v>0.13700830543652653</v>
      </c>
      <c r="FA59" s="266">
        <f>+'WICHE Public Grads-RE PROJ'!GQ62/'WICHE Public Grads-RE PROJ'!AI62</f>
        <v>0.14076655828898621</v>
      </c>
      <c r="FB59" s="266">
        <f>+'WICHE Public Grads-RE PROJ'!GR62/'WICHE Public Grads-RE PROJ'!AJ62</f>
        <v>0.14349555117375637</v>
      </c>
      <c r="FC59" s="266">
        <f>+'WICHE Public Grads-RE PROJ'!GS62/'WICHE Public Grads-RE PROJ'!AK62</f>
        <v>0.14411376574627402</v>
      </c>
      <c r="FD59" s="266">
        <f>+'WICHE Public Grads-RE PROJ'!GT62/'WICHE Public Grads-RE PROJ'!AL62</f>
        <v>0.14464645267227302</v>
      </c>
      <c r="FE59" s="266">
        <f>+'WICHE Public Grads-RE PROJ'!GU62/'WICHE Public Grads-RE PROJ'!AM62</f>
        <v>0.14230688780379799</v>
      </c>
      <c r="FF59" s="266">
        <f>+'WICHE Public Grads-RE PROJ'!GV62/'WICHE Public Grads-RE PROJ'!AN62</f>
        <v>0.14093194886304172</v>
      </c>
      <c r="FG59" s="266">
        <f>+'WICHE Public Grads-RE PROJ'!GW62/'WICHE Public Grads-RE PROJ'!AO62</f>
        <v>0.14448019325568578</v>
      </c>
      <c r="FH59" s="266">
        <f>+'WICHE Public Grads-RE PROJ'!GX62/'WICHE Public Grads-RE PROJ'!AP62</f>
        <v>0.14119728155518899</v>
      </c>
      <c r="FI59" s="282">
        <f>+'WICHE Public Grads-RE PROJ'!GY62/'WICHE Public Grads-RE PROJ'!AQ62</f>
        <v>0.13979265867376239</v>
      </c>
      <c r="FJ59" s="262">
        <f>+'WICHE Public Grads-RE PROJ'!GZ62/'WICHE Public Grads-RE PROJ'!B62</f>
        <v>8.9681861134860277E-2</v>
      </c>
      <c r="FK59" s="262">
        <f>+'WICHE Public Grads-RE PROJ'!HA62/'WICHE Public Grads-RE PROJ'!C62</f>
        <v>9.704471653707511E-2</v>
      </c>
      <c r="FL59" s="262">
        <f>+'WICHE Public Grads-RE PROJ'!HB62/'WICHE Public Grads-RE PROJ'!D62</f>
        <v>0.10155009451795841</v>
      </c>
      <c r="FM59" s="262">
        <f>+'WICHE Public Grads-RE PROJ'!HC62/'WICHE Public Grads-RE PROJ'!E62</f>
        <v>0.10038128866667656</v>
      </c>
      <c r="FN59" s="262">
        <f>+'WICHE Public Grads-RE PROJ'!HD62/'WICHE Public Grads-RE PROJ'!F62</f>
        <v>0.10873145296539367</v>
      </c>
      <c r="FO59" s="262">
        <f>+'WICHE Public Grads-RE PROJ'!HE62/'WICHE Public Grads-RE PROJ'!G62</f>
        <v>0.10873071378616388</v>
      </c>
      <c r="FP59" s="267">
        <f>+'WICHE Public Grads-RE PROJ'!HF62/'WICHE Public Grads-RE PROJ'!H62</f>
        <v>0.10873336301254202</v>
      </c>
      <c r="FQ59" s="267">
        <f>+'WICHE Public Grads-RE PROJ'!HG62/'WICHE Public Grads-RE PROJ'!I62</f>
        <v>0.11017137440196703</v>
      </c>
      <c r="FR59" s="267">
        <f>+'WICHE Public Grads-RE PROJ'!HH62/'WICHE Public Grads-RE PROJ'!J62</f>
        <v>0.11563940285672054</v>
      </c>
      <c r="FS59" s="267">
        <f>+'WICHE Public Grads-RE PROJ'!HI62/'WICHE Public Grads-RE PROJ'!K62</f>
        <v>0.12349927755155654</v>
      </c>
      <c r="FT59" s="262">
        <f>+'WICHE Public Grads-RE PROJ'!HJ62/'WICHE Public Grads-RE PROJ'!L62</f>
        <v>0.12434332509270704</v>
      </c>
      <c r="FU59" s="267">
        <f>+'WICHE Public Grads-RE PROJ'!HK62/'WICHE Public Grads-RE PROJ'!M62</f>
        <v>0.13534665995011733</v>
      </c>
      <c r="FV59" s="267">
        <f>+'WICHE Public Grads-RE PROJ'!HL62/'WICHE Public Grads-RE PROJ'!N62</f>
        <v>0.13606756853482213</v>
      </c>
      <c r="FW59" s="267">
        <f>+'WICHE Public Grads-RE PROJ'!HM62/'WICHE Public Grads-RE PROJ'!O62</f>
        <v>0.14147649765323345</v>
      </c>
      <c r="FX59" s="267">
        <f>+'WICHE Public Grads-RE PROJ'!HN62/'WICHE Public Grads-RE PROJ'!P62</f>
        <v>0.14186720563248897</v>
      </c>
      <c r="FY59" s="267">
        <f>+'WICHE Public Grads-RE PROJ'!HO62/'WICHE Public Grads-RE PROJ'!Q62</f>
        <v>0.14521626009267521</v>
      </c>
      <c r="FZ59" s="262">
        <f>+'WICHE Public Grads-RE PROJ'!HP62/'WICHE Public Grads-RE PROJ'!R62</f>
        <v>0.15362022864601974</v>
      </c>
      <c r="GA59" s="267">
        <f>+'WICHE Public Grads-RE PROJ'!HQ62/'WICHE Public Grads-RE PROJ'!S62</f>
        <v>0.15573434295630226</v>
      </c>
      <c r="GB59" s="262">
        <f>+'WICHE Public Grads-RE PROJ'!HR62/'WICHE Public Grads-RE PROJ'!T62</f>
        <v>0.16062353858144973</v>
      </c>
      <c r="GC59" s="267">
        <f>+'WICHE Public Grads-RE PROJ'!HS62/'WICHE Public Grads-RE PROJ'!U62</f>
        <v>0.16577017628642868</v>
      </c>
      <c r="GD59" s="262">
        <f>+'WICHE Public Grads-RE PROJ'!HT62/'WICHE Public Grads-RE PROJ'!V62</f>
        <v>0.1715217599846513</v>
      </c>
      <c r="GE59" s="262">
        <f>+'WICHE Public Grads-RE PROJ'!HU62/'WICHE Public Grads-RE PROJ'!W62</f>
        <v>0.18355269976163333</v>
      </c>
      <c r="GF59" s="266">
        <f>+'WICHE Public Grads-RE PROJ'!HV62/'WICHE Public Grads-RE PROJ'!Y62</f>
        <v>0.1857335687868415</v>
      </c>
      <c r="GG59" s="266">
        <f>+'WICHE Public Grads-RE PROJ'!HW62/'WICHE Public Grads-RE PROJ'!Z62</f>
        <v>0.19615284830199201</v>
      </c>
      <c r="GH59" s="266">
        <f>+'WICHE Public Grads-RE PROJ'!HX62/'WICHE Public Grads-RE PROJ'!AA62</f>
        <v>0.19841479744039991</v>
      </c>
      <c r="GI59" s="268">
        <f>+'WICHE Public Grads-RE PROJ'!HY62/'WICHE Public Grads-RE PROJ'!AB62</f>
        <v>0.20655222433794879</v>
      </c>
      <c r="GJ59" s="266">
        <f>+'WICHE Public Grads-RE PROJ'!HZ62/'WICHE Public Grads-RE PROJ'!AC62</f>
        <v>0.21799459517103753</v>
      </c>
      <c r="GK59" s="266">
        <f>+'WICHE Public Grads-RE PROJ'!IA62/'WICHE Public Grads-RE PROJ'!AD62</f>
        <v>0.22482686760230364</v>
      </c>
      <c r="GL59" s="266">
        <f>+'WICHE Public Grads-RE PROJ'!IB62/'WICHE Public Grads-RE PROJ'!AE62</f>
        <v>0.23505126729070988</v>
      </c>
      <c r="GM59" s="266">
        <f>+'WICHE Public Grads-RE PROJ'!IC62/'WICHE Public Grads-RE PROJ'!AF62</f>
        <v>0.24304971142600412</v>
      </c>
      <c r="GN59" s="266">
        <f>+'WICHE Public Grads-RE PROJ'!ID62/'WICHE Public Grads-RE PROJ'!AG62</f>
        <v>0.25630948168440132</v>
      </c>
      <c r="GO59" s="268">
        <f>+'WICHE Public Grads-RE PROJ'!IE62/'WICHE Public Grads-RE PROJ'!AH62</f>
        <v>0.27120100969361205</v>
      </c>
      <c r="GP59" s="266">
        <f>+'WICHE Public Grads-RE PROJ'!IF62/'WICHE Public Grads-RE PROJ'!AI62</f>
        <v>0.28175876799232735</v>
      </c>
      <c r="GQ59" s="266">
        <f>+'WICHE Public Grads-RE PROJ'!IG62/'WICHE Public Grads-RE PROJ'!AJ62</f>
        <v>0.29466109489914288</v>
      </c>
      <c r="GR59" s="266">
        <f>+'WICHE Public Grads-RE PROJ'!IH62/'WICHE Public Grads-RE PROJ'!AK62</f>
        <v>0.28863121942128428</v>
      </c>
      <c r="GS59" s="266">
        <f>+'WICHE Public Grads-RE PROJ'!II62/'WICHE Public Grads-RE PROJ'!AL62</f>
        <v>0.29156070272274504</v>
      </c>
      <c r="GT59" s="266">
        <f>+'WICHE Public Grads-RE PROJ'!IJ62/'WICHE Public Grads-RE PROJ'!AM62</f>
        <v>0.29149705272600646</v>
      </c>
      <c r="GU59" s="266">
        <f>+'WICHE Public Grads-RE PROJ'!IK62/'WICHE Public Grads-RE PROJ'!AN62</f>
        <v>0.29509042235240257</v>
      </c>
      <c r="GV59" s="266">
        <f>+'WICHE Public Grads-RE PROJ'!IL62/'WICHE Public Grads-RE PROJ'!AO62</f>
        <v>0.29585902642272827</v>
      </c>
      <c r="GW59" s="266">
        <f>+'WICHE Public Grads-RE PROJ'!IM62/'WICHE Public Grads-RE PROJ'!AP62</f>
        <v>0.29593629774773866</v>
      </c>
      <c r="GX59" s="282">
        <f>+'WICHE Public Grads-RE PROJ'!IN62/'WICHE Public Grads-RE PROJ'!AQ62</f>
        <v>0.29396260970583582</v>
      </c>
      <c r="GY59" s="262">
        <f>+'WICHE Public Grads-RE PROJ'!IO62/'WICHE Public Grads-RE PROJ'!B62</f>
        <v>0.71755988540401083</v>
      </c>
      <c r="GZ59" s="262">
        <f>+'WICHE Public Grads-RE PROJ'!IP62/'WICHE Public Grads-RE PROJ'!C62</f>
        <v>0.70350344087943517</v>
      </c>
      <c r="HA59" s="262">
        <f>+'WICHE Public Grads-RE PROJ'!IQ62/'WICHE Public Grads-RE PROJ'!D62</f>
        <v>0.69410964083175808</v>
      </c>
      <c r="HB59" s="262">
        <f>+'WICHE Public Grads-RE PROJ'!IR62/'WICHE Public Grads-RE PROJ'!E62</f>
        <v>0.69347061703485013</v>
      </c>
      <c r="HC59" s="262">
        <f>+'WICHE Public Grads-RE PROJ'!IS62/'WICHE Public Grads-RE PROJ'!F62</f>
        <v>0.67740145341591562</v>
      </c>
      <c r="HD59" s="262">
        <f>+'WICHE Public Grads-RE PROJ'!IT62/'WICHE Public Grads-RE PROJ'!G62</f>
        <v>0.67740462155488634</v>
      </c>
      <c r="HE59" s="267">
        <f>+'WICHE Public Grads-RE PROJ'!IU62/'WICHE Public Grads-RE PROJ'!H62</f>
        <v>0.67739211863496107</v>
      </c>
      <c r="HF59" s="267">
        <f>+'WICHE Public Grads-RE PROJ'!IV62/'WICHE Public Grads-RE PROJ'!I62</f>
        <v>0.67618088368166129</v>
      </c>
      <c r="HG59" s="267">
        <f>+'WICHE Public Grads-RE PROJ'!IW62/'WICHE Public Grads-RE PROJ'!J62</f>
        <v>0.66255492401338334</v>
      </c>
      <c r="HH59" s="267">
        <f>+'WICHE Public Grads-RE PROJ'!IX62/'WICHE Public Grads-RE PROJ'!K62</f>
        <v>0.65213450676474449</v>
      </c>
      <c r="HI59" s="262">
        <f>+'WICHE Public Grads-RE PROJ'!IY62/'WICHE Public Grads-RE PROJ'!L62</f>
        <v>0.64826689328388953</v>
      </c>
      <c r="HJ59" s="267">
        <f>+'WICHE Public Grads-RE PROJ'!IZ62/'WICHE Public Grads-RE PROJ'!M62</f>
        <v>0.63645857650108739</v>
      </c>
      <c r="HK59" s="267">
        <f>+'WICHE Public Grads-RE PROJ'!JA62/'WICHE Public Grads-RE PROJ'!N62</f>
        <v>0.63581704960274854</v>
      </c>
      <c r="HL59" s="267">
        <f>+'WICHE Public Grads-RE PROJ'!JB62/'WICHE Public Grads-RE PROJ'!O62</f>
        <v>0.62914152273935864</v>
      </c>
      <c r="HM59" s="267">
        <f>+'WICHE Public Grads-RE PROJ'!JC62/'WICHE Public Grads-RE PROJ'!P62</f>
        <v>0.62250552476984755</v>
      </c>
      <c r="HN59" s="267">
        <f>+'WICHE Public Grads-RE PROJ'!JD62/'WICHE Public Grads-RE PROJ'!Q62</f>
        <v>0.61729005622869926</v>
      </c>
      <c r="HO59" s="262">
        <f>+'WICHE Public Grads-RE PROJ'!JE62/'WICHE Public Grads-RE PROJ'!R62</f>
        <v>0.60742783754763463</v>
      </c>
      <c r="HP59" s="267">
        <f>+'WICHE Public Grads-RE PROJ'!JF62/'WICHE Public Grads-RE PROJ'!S62</f>
        <v>0.60018658610892606</v>
      </c>
      <c r="HQ59" s="262">
        <f>+'WICHE Public Grads-RE PROJ'!JG62/'WICHE Public Grads-RE PROJ'!T62</f>
        <v>0.59932518438716875</v>
      </c>
      <c r="HR59" s="267">
        <f>+'WICHE Public Grads-RE PROJ'!JH62/'WICHE Public Grads-RE PROJ'!U62</f>
        <v>0.59190299042105265</v>
      </c>
      <c r="HS59" s="262">
        <f>+'WICHE Public Grads-RE PROJ'!JI62/'WICHE Public Grads-RE PROJ'!V62</f>
        <v>0.58269555959185926</v>
      </c>
      <c r="HT59" s="262">
        <f>+'WICHE Public Grads-RE PROJ'!JJ62/'WICHE Public Grads-RE PROJ'!W62</f>
        <v>0.56838400119629962</v>
      </c>
      <c r="HU59" s="266">
        <f>+'WICHE Public Grads-RE PROJ'!JK62/'WICHE Public Grads-RE PROJ'!Y62</f>
        <v>0.56533463168564668</v>
      </c>
      <c r="HV59" s="266">
        <f>+'WICHE Public Grads-RE PROJ'!JL62/'WICHE Public Grads-RE PROJ'!Z62</f>
        <v>0.55251067259007303</v>
      </c>
      <c r="HW59" s="266">
        <f>+'WICHE Public Grads-RE PROJ'!JM62/'WICHE Public Grads-RE PROJ'!AA62</f>
        <v>0.55153493323263147</v>
      </c>
      <c r="HX59" s="268">
        <f>+'WICHE Public Grads-RE PROJ'!JN62/'WICHE Public Grads-RE PROJ'!AB62</f>
        <v>0.54275633528068823</v>
      </c>
      <c r="HY59" s="266">
        <f>+'WICHE Public Grads-RE PROJ'!JO62/'WICHE Public Grads-RE PROJ'!AC62</f>
        <v>0.52712345699984908</v>
      </c>
      <c r="HZ59" s="266">
        <f>+'WICHE Public Grads-RE PROJ'!JP62/'WICHE Public Grads-RE PROJ'!AD62</f>
        <v>0.51953185830769388</v>
      </c>
      <c r="IA59" s="266">
        <f>+'WICHE Public Grads-RE PROJ'!JQ62/'WICHE Public Grads-RE PROJ'!AE62</f>
        <v>0.51135569232355016</v>
      </c>
      <c r="IB59" s="266">
        <f>+'WICHE Public Grads-RE PROJ'!JR62/'WICHE Public Grads-RE PROJ'!AF62</f>
        <v>0.50177581846895458</v>
      </c>
      <c r="IC59" s="266">
        <f>+'WICHE Public Grads-RE PROJ'!JS62/'WICHE Public Grads-RE PROJ'!AG62</f>
        <v>0.49436093472107095</v>
      </c>
      <c r="ID59" s="268">
        <f>+'WICHE Public Grads-RE PROJ'!JT62/'WICHE Public Grads-RE PROJ'!AH62</f>
        <v>0.47928888661335473</v>
      </c>
      <c r="IE59" s="266">
        <f>+'WICHE Public Grads-RE PROJ'!JU62/'WICHE Public Grads-RE PROJ'!AI62</f>
        <v>0.4655383396350618</v>
      </c>
      <c r="IF59" s="266">
        <f>+'WICHE Public Grads-RE PROJ'!JV62/'WICHE Public Grads-RE PROJ'!AJ62</f>
        <v>0.44920849792398454</v>
      </c>
      <c r="IG59" s="266">
        <f>+'WICHE Public Grads-RE PROJ'!JW62/'WICHE Public Grads-RE PROJ'!AK62</f>
        <v>0.44693348740127015</v>
      </c>
      <c r="IH59" s="266">
        <f>+'WICHE Public Grads-RE PROJ'!JX62/'WICHE Public Grads-RE PROJ'!AL62</f>
        <v>0.44552033838990507</v>
      </c>
      <c r="II59" s="266">
        <f>+'WICHE Public Grads-RE PROJ'!JY62/'WICHE Public Grads-RE PROJ'!AM62</f>
        <v>0.44433064190340765</v>
      </c>
      <c r="IJ59" s="266">
        <f>+'WICHE Public Grads-RE PROJ'!JZ62/'WICHE Public Grads-RE PROJ'!AN62</f>
        <v>0.43833661883094288</v>
      </c>
      <c r="IK59" s="266">
        <f>+'WICHE Public Grads-RE PROJ'!KA62/'WICHE Public Grads-RE PROJ'!AO62</f>
        <v>0.42955088789059392</v>
      </c>
      <c r="IL59" s="266">
        <f>+'WICHE Public Grads-RE PROJ'!KB62/'WICHE Public Grads-RE PROJ'!AP62</f>
        <v>0.43766638117451806</v>
      </c>
      <c r="IM59" s="282">
        <f>+'WICHE Public Grads-RE PROJ'!KC62/'WICHE Public Grads-RE PROJ'!AQ62</f>
        <v>0.43625269000499267</v>
      </c>
      <c r="IN59" s="278">
        <f t="shared" si="120"/>
        <v>1</v>
      </c>
      <c r="IO59" s="278">
        <f t="shared" si="121"/>
        <v>1</v>
      </c>
      <c r="IP59" s="278">
        <f t="shared" si="122"/>
        <v>1</v>
      </c>
      <c r="IQ59" s="278">
        <f t="shared" si="123"/>
        <v>1</v>
      </c>
      <c r="IR59" s="278">
        <f t="shared" si="124"/>
        <v>1</v>
      </c>
      <c r="IS59" s="278">
        <f t="shared" si="125"/>
        <v>1</v>
      </c>
      <c r="IT59" s="278">
        <f t="shared" si="126"/>
        <v>1</v>
      </c>
      <c r="IU59" s="278">
        <f t="shared" si="127"/>
        <v>1</v>
      </c>
      <c r="IV59" s="278">
        <f t="shared" si="128"/>
        <v>1</v>
      </c>
      <c r="IW59" s="278">
        <f t="shared" si="129"/>
        <v>1</v>
      </c>
      <c r="IX59" s="278">
        <f t="shared" si="130"/>
        <v>1</v>
      </c>
      <c r="IY59" s="278">
        <f t="shared" si="131"/>
        <v>1</v>
      </c>
      <c r="IZ59" s="278">
        <f t="shared" si="132"/>
        <v>0.99988070527044115</v>
      </c>
      <c r="JA59" s="278">
        <f t="shared" si="133"/>
        <v>1</v>
      </c>
      <c r="JB59" s="278">
        <f t="shared" si="134"/>
        <v>1</v>
      </c>
      <c r="JC59" s="278">
        <f t="shared" si="135"/>
        <v>0.99687140507240923</v>
      </c>
      <c r="JD59" s="278">
        <f t="shared" si="136"/>
        <v>0.9979472387729752</v>
      </c>
      <c r="JE59" s="278">
        <f t="shared" si="137"/>
        <v>1.0028816322237999</v>
      </c>
      <c r="JF59" s="278">
        <f t="shared" si="138"/>
        <v>1</v>
      </c>
      <c r="JG59" s="278">
        <f t="shared" si="139"/>
        <v>1</v>
      </c>
      <c r="JH59" s="278">
        <f t="shared" si="140"/>
        <v>1</v>
      </c>
      <c r="JI59" s="278">
        <f t="shared" si="141"/>
        <v>1</v>
      </c>
      <c r="JJ59" s="278">
        <f t="shared" si="142"/>
        <v>0.99954842314717163</v>
      </c>
      <c r="JK59" s="278">
        <f t="shared" si="143"/>
        <v>0.99877462757737145</v>
      </c>
      <c r="JL59" s="278">
        <f t="shared" si="144"/>
        <v>0.99829461871773884</v>
      </c>
      <c r="JM59" s="278">
        <f t="shared" si="145"/>
        <v>0.99694547133144618</v>
      </c>
      <c r="JN59" s="278">
        <f t="shared" si="146"/>
        <v>0.99787080391964444</v>
      </c>
      <c r="JO59" s="278">
        <f t="shared" si="147"/>
        <v>0.99806804866973997</v>
      </c>
      <c r="JP59" s="278">
        <f t="shared" si="148"/>
        <v>0.99855865542514133</v>
      </c>
      <c r="JQ59" s="278">
        <f t="shared" si="149"/>
        <v>0.99909227112830057</v>
      </c>
      <c r="JR59" s="278">
        <f t="shared" si="150"/>
        <v>1.0001528679792371</v>
      </c>
      <c r="JS59" s="278">
        <f t="shared" si="151"/>
        <v>1.0011190718870195</v>
      </c>
      <c r="JT59" s="278">
        <f t="shared" si="152"/>
        <v>1.0009159682937043</v>
      </c>
      <c r="JU59" s="278">
        <f t="shared" si="153"/>
        <v>1.0007943840593223</v>
      </c>
      <c r="JV59" s="278">
        <f t="shared" si="154"/>
        <v>1.0042630567764528</v>
      </c>
      <c r="JW59" s="278">
        <f t="shared" si="155"/>
        <v>1.0046157312193065</v>
      </c>
      <c r="JX59" s="278">
        <f t="shared" si="156"/>
        <v>1.0052989344449177</v>
      </c>
      <c r="JY59" s="278">
        <f t="shared" si="157"/>
        <v>1.0026598851103163</v>
      </c>
      <c r="JZ59" s="278">
        <f t="shared" si="157"/>
        <v>1.0041596729314035</v>
      </c>
      <c r="KA59" s="278">
        <f t="shared" si="157"/>
        <v>1.0037865860764448</v>
      </c>
      <c r="KB59" s="278">
        <f t="shared" si="157"/>
        <v>1.0020419552105317</v>
      </c>
    </row>
    <row r="60" spans="1:288" s="17" customFormat="1">
      <c r="A60" s="175" t="s">
        <v>83</v>
      </c>
      <c r="B60" s="262">
        <f>+'WICHE Public Grads-RE PROJ'!AR63/'WICHE Public Grads-RE PROJ'!B63</f>
        <v>5.9127759654611249E-2</v>
      </c>
      <c r="C60" s="262">
        <f>+'WICHE Public Grads-RE PROJ'!AS63/'WICHE Public Grads-RE PROJ'!C63</f>
        <v>6.0941765754382801E-2</v>
      </c>
      <c r="D60" s="262">
        <f>+'WICHE Public Grads-RE PROJ'!AT63/'WICHE Public Grads-RE PROJ'!D63</f>
        <v>6.3613346595533055E-2</v>
      </c>
      <c r="E60" s="262">
        <f>+'WICHE Public Grads-RE PROJ'!AU63/'WICHE Public Grads-RE PROJ'!E63</f>
        <v>6.3292573318932635E-2</v>
      </c>
      <c r="F60" s="262">
        <f>+'WICHE Public Grads-RE PROJ'!AV63/'WICHE Public Grads-RE PROJ'!F63</f>
        <v>6.9627458129031775E-2</v>
      </c>
      <c r="G60" s="262">
        <f>+'WICHE Public Grads-RE PROJ'!AW63/'WICHE Public Grads-RE PROJ'!G63</f>
        <v>6.5878870939522952E-2</v>
      </c>
      <c r="H60" s="267">
        <f>+'WICHE Public Grads-RE PROJ'!AX63/'WICHE Public Grads-RE PROJ'!H63</f>
        <v>6.893240066509948E-2</v>
      </c>
      <c r="I60" s="267">
        <f>+'WICHE Public Grads-RE PROJ'!AY63/'WICHE Public Grads-RE PROJ'!I63</f>
        <v>6.7577065970478967E-2</v>
      </c>
      <c r="J60" s="267">
        <f>+'WICHE Public Grads-RE PROJ'!AZ63/'WICHE Public Grads-RE PROJ'!J63</f>
        <v>7.2651713457182979E-2</v>
      </c>
      <c r="K60" s="267">
        <f>+'WICHE Public Grads-RE PROJ'!BA63/'WICHE Public Grads-RE PROJ'!K63</f>
        <v>7.4835781342505139E-2</v>
      </c>
      <c r="L60" s="262">
        <f>+'WICHE Public Grads-RE PROJ'!BB63/'WICHE Public Grads-RE PROJ'!L63</f>
        <v>7.4219168111660572E-2</v>
      </c>
      <c r="M60" s="267">
        <f>+'WICHE Public Grads-RE PROJ'!BC63/'WICHE Public Grads-RE PROJ'!M63</f>
        <v>7.5644216996481661E-2</v>
      </c>
      <c r="N60" s="267">
        <f>+'WICHE Public Grads-RE PROJ'!BD63/'WICHE Public Grads-RE PROJ'!N63</f>
        <v>7.5627649223455579E-2</v>
      </c>
      <c r="O60" s="267">
        <f>+'WICHE Public Grads-RE PROJ'!BE63/'WICHE Public Grads-RE PROJ'!O63</f>
        <v>7.5612096368870063E-2</v>
      </c>
      <c r="P60" s="267">
        <f>+'WICHE Public Grads-RE PROJ'!BF63/'WICHE Public Grads-RE PROJ'!P63</f>
        <v>8.0288226824128492E-2</v>
      </c>
      <c r="Q60" s="267">
        <f>+'WICHE Public Grads-RE PROJ'!BG63/'WICHE Public Grads-RE PROJ'!Q63</f>
        <v>8.1124913118639841E-2</v>
      </c>
      <c r="R60" s="267">
        <f>+'WICHE Public Grads-RE PROJ'!BH63/'WICHE Public Grads-RE PROJ'!R63</f>
        <v>8.12149055640633E-2</v>
      </c>
      <c r="S60" s="267">
        <f>+'WICHE Public Grads-RE PROJ'!BI63/'WICHE Public Grads-RE PROJ'!S63</f>
        <v>8.2866728942001033E-2</v>
      </c>
      <c r="T60" s="262">
        <f>+'WICHE Public Grads-RE PROJ'!BJ63/'WICHE Public Grads-RE PROJ'!T63</f>
        <v>8.5869245917334872E-2</v>
      </c>
      <c r="U60" s="267">
        <f>+'WICHE Public Grads-RE PROJ'!BK63/'WICHE Public Grads-RE PROJ'!U63</f>
        <v>8.9150358816338468E-2</v>
      </c>
      <c r="V60" s="267">
        <f>+'WICHE Public Grads-RE PROJ'!BL63/'WICHE Public Grads-RE PROJ'!V63</f>
        <v>9.3900743264333633E-2</v>
      </c>
      <c r="W60" s="267">
        <f>+'WICHE Public Grads-RE PROJ'!BM63/'WICHE Public Grads-RE PROJ'!W63</f>
        <v>9.6347208989873284E-2</v>
      </c>
      <c r="X60" s="268">
        <f>+'WICHE Public Grads-RE PROJ'!BN63/'WICHE Public Grads-RE PROJ'!Y63</f>
        <v>0.10140471071678694</v>
      </c>
      <c r="Y60" s="268">
        <f>+'WICHE Public Grads-RE PROJ'!BO63/'WICHE Public Grads-RE PROJ'!Z63</f>
        <v>0.10467814640347614</v>
      </c>
      <c r="Z60" s="268">
        <f>+'WICHE Public Grads-RE PROJ'!BP63/'WICHE Public Grads-RE PROJ'!AA63</f>
        <v>0.1026343343625893</v>
      </c>
      <c r="AA60" s="268">
        <f>+'WICHE Public Grads-RE PROJ'!BQ63/'WICHE Public Grads-RE PROJ'!AB63</f>
        <v>0.10428747156588536</v>
      </c>
      <c r="AB60" s="266">
        <f>+'WICHE Public Grads-RE PROJ'!BR63/'WICHE Public Grads-RE PROJ'!AC63</f>
        <v>0.11238057849325418</v>
      </c>
      <c r="AC60" s="266">
        <f>+'WICHE Public Grads-RE PROJ'!BS63/'WICHE Public Grads-RE PROJ'!AD63</f>
        <v>0.11117934766744349</v>
      </c>
      <c r="AD60" s="266">
        <f>+'WICHE Public Grads-RE PROJ'!BT63/'WICHE Public Grads-RE PROJ'!AE63</f>
        <v>0.11547138444057989</v>
      </c>
      <c r="AE60" s="266">
        <f>+'WICHE Public Grads-RE PROJ'!BU63/'WICHE Public Grads-RE PROJ'!AF63</f>
        <v>0.11899135942206887</v>
      </c>
      <c r="AF60" s="266">
        <f>+'WICHE Public Grads-RE PROJ'!BV63/'WICHE Public Grads-RE PROJ'!AG63</f>
        <v>0.12498691971870579</v>
      </c>
      <c r="AG60" s="268">
        <f>+'WICHE Public Grads-RE PROJ'!BW63/'WICHE Public Grads-RE PROJ'!AH63</f>
        <v>0.12538586245430408</v>
      </c>
      <c r="AH60" s="266">
        <f>+'WICHE Public Grads-RE PROJ'!BX63/'WICHE Public Grads-RE PROJ'!AI63</f>
        <v>0.12996982204275653</v>
      </c>
      <c r="AI60" s="266">
        <f>+'WICHE Public Grads-RE PROJ'!BY63/'WICHE Public Grads-RE PROJ'!AJ63</f>
        <v>0.13554488840263232</v>
      </c>
      <c r="AJ60" s="266">
        <f>+'WICHE Public Grads-RE PROJ'!BZ63/'WICHE Public Grads-RE PROJ'!AK63</f>
        <v>0.13364442205596694</v>
      </c>
      <c r="AK60" s="266">
        <f>+'WICHE Public Grads-RE PROJ'!CA63/'WICHE Public Grads-RE PROJ'!AL63</f>
        <v>0.13645757726679505</v>
      </c>
      <c r="AL60" s="266">
        <f>+'WICHE Public Grads-RE PROJ'!CB63/'WICHE Public Grads-RE PROJ'!AM63</f>
        <v>0.13863450035542918</v>
      </c>
      <c r="AM60" s="266">
        <f>+'WICHE Public Grads-RE PROJ'!CC63/'WICHE Public Grads-RE PROJ'!AN63</f>
        <v>0.14653569312569967</v>
      </c>
      <c r="AN60" s="266">
        <f>+'WICHE Public Grads-RE PROJ'!CD63/'WICHE Public Grads-RE PROJ'!AO63</f>
        <v>0.15820019832783921</v>
      </c>
      <c r="AO60" s="266">
        <f>+'WICHE Public Grads-RE PROJ'!CE63/'WICHE Public Grads-RE PROJ'!AP63</f>
        <v>0.15224389266074612</v>
      </c>
      <c r="AP60" s="282">
        <f>+'WICHE Public Grads-RE PROJ'!CF63/'WICHE Public Grads-RE PROJ'!AQ63</f>
        <v>0.15851854018321537</v>
      </c>
      <c r="AQ60" s="262">
        <f>+'WICHE Public Grads-RE PROJ'!CG63/'WICHE Public Grads-RE PROJ'!B63</f>
        <v>2.2589969756191806E-3</v>
      </c>
      <c r="AR60" s="262">
        <f>+'WICHE Public Grads-RE PROJ'!CH63/'WICHE Public Grads-RE PROJ'!C63</f>
        <v>2.6849574693711786E-3</v>
      </c>
      <c r="AS60" s="262">
        <f>+'WICHE Public Grads-RE PROJ'!CI63/'WICHE Public Grads-RE PROJ'!D63</f>
        <v>2.4037736986466528E-3</v>
      </c>
      <c r="AT60" s="262">
        <f>+'WICHE Public Grads-RE PROJ'!CJ63/'WICHE Public Grads-RE PROJ'!E63</f>
        <v>3.2552624224892563E-3</v>
      </c>
      <c r="AU60" s="262">
        <f>+'WICHE Public Grads-RE PROJ'!CK63/'WICHE Public Grads-RE PROJ'!F63</f>
        <v>2.8496811779674257E-3</v>
      </c>
      <c r="AV60" s="262">
        <f>+'WICHE Public Grads-RE PROJ'!CL63/'WICHE Public Grads-RE PROJ'!G63</f>
        <v>3.0690499795882663E-3</v>
      </c>
      <c r="AW60" s="267">
        <f>+'WICHE Public Grads-RE PROJ'!CM63/'WICHE Public Grads-RE PROJ'!H63</f>
        <v>2.9814804197007051E-3</v>
      </c>
      <c r="AX60" s="267">
        <f>+'WICHE Public Grads-RE PROJ'!CN63/'WICHE Public Grads-RE PROJ'!I63</f>
        <v>2.9262834765395262E-3</v>
      </c>
      <c r="AY60" s="267">
        <f>+'WICHE Public Grads-RE PROJ'!CO63/'WICHE Public Grads-RE PROJ'!J63</f>
        <v>3.0903613182719377E-3</v>
      </c>
      <c r="AZ60" s="267">
        <f>+'WICHE Public Grads-RE PROJ'!CP63/'WICHE Public Grads-RE PROJ'!K63</f>
        <v>3.4817174593329762E-3</v>
      </c>
      <c r="BA60" s="262">
        <f>+'WICHE Public Grads-RE PROJ'!CQ63/'WICHE Public Grads-RE PROJ'!L63</f>
        <v>3.2467764148452608E-3</v>
      </c>
      <c r="BB60" s="267">
        <f>+'WICHE Public Grads-RE PROJ'!CR63/'WICHE Public Grads-RE PROJ'!M63</f>
        <v>3.3027854649626612E-3</v>
      </c>
      <c r="BC60" s="267">
        <f>+'WICHE Public Grads-RE PROJ'!CS63/'WICHE Public Grads-RE PROJ'!N63</f>
        <v>3.3499314863258828E-3</v>
      </c>
      <c r="BD60" s="267">
        <f>+'WICHE Public Grads-RE PROJ'!CT63/'WICHE Public Grads-RE PROJ'!O63</f>
        <v>3.3941894088235871E-3</v>
      </c>
      <c r="BE60" s="267">
        <f>+'WICHE Public Grads-RE PROJ'!CU63/'WICHE Public Grads-RE PROJ'!P63</f>
        <v>3.3309232033717101E-3</v>
      </c>
      <c r="BF60" s="267">
        <f>+'WICHE Public Grads-RE PROJ'!CV63/'WICHE Public Grads-RE PROJ'!Q63</f>
        <v>3.3802047132766599E-3</v>
      </c>
      <c r="BG60" s="267">
        <f>+'WICHE Public Grads-RE PROJ'!CW63/'WICHE Public Grads-RE PROJ'!R63</f>
        <v>3.3974249900743008E-3</v>
      </c>
      <c r="BH60" s="267">
        <f>+'WICHE Public Grads-RE PROJ'!CX63/'WICHE Public Grads-RE PROJ'!S63</f>
        <v>3.5706981654570879E-3</v>
      </c>
      <c r="BI60" s="262">
        <f>+'WICHE Public Grads-RE PROJ'!CY63/'WICHE Public Grads-RE PROJ'!T63</f>
        <v>3.9548268471271747E-3</v>
      </c>
      <c r="BJ60" s="267">
        <f>+'WICHE Public Grads-RE PROJ'!CZ63/'WICHE Public Grads-RE PROJ'!U63</f>
        <v>4.1220974533046515E-3</v>
      </c>
      <c r="BK60" s="267">
        <f>+'WICHE Public Grads-RE PROJ'!DA63/'WICHE Public Grads-RE PROJ'!V63</f>
        <v>4.2268505209863208E-3</v>
      </c>
      <c r="BL60" s="267">
        <f>+'WICHE Public Grads-RE PROJ'!DB63/'WICHE Public Grads-RE PROJ'!W63</f>
        <v>4.3766939286914988E-3</v>
      </c>
      <c r="BM60" s="268">
        <f>+'WICHE Public Grads-RE PROJ'!DC63/'WICHE Public Grads-RE PROJ'!Y63</f>
        <v>4.18762985627609E-3</v>
      </c>
      <c r="BN60" s="268">
        <f>+'WICHE Public Grads-RE PROJ'!DD63/'WICHE Public Grads-RE PROJ'!Z63</f>
        <v>4.7691614364288159E-3</v>
      </c>
      <c r="BO60" s="268">
        <f>+'WICHE Public Grads-RE PROJ'!DE63/'WICHE Public Grads-RE PROJ'!AA63</f>
        <v>4.8686975783196924E-3</v>
      </c>
      <c r="BP60" s="268">
        <f>+'WICHE Public Grads-RE PROJ'!DF63/'WICHE Public Grads-RE PROJ'!AB63</f>
        <v>4.6054291903963717E-3</v>
      </c>
      <c r="BQ60" s="266">
        <f>+'WICHE Public Grads-RE PROJ'!DG63/'WICHE Public Grads-RE PROJ'!AC63</f>
        <v>5.1870034771538658E-3</v>
      </c>
      <c r="BR60" s="266">
        <f>+'WICHE Public Grads-RE PROJ'!DH63/'WICHE Public Grads-RE PROJ'!AD63</f>
        <v>5.7350053484816789E-3</v>
      </c>
      <c r="BS60" s="266">
        <f>+'WICHE Public Grads-RE PROJ'!DI63/'WICHE Public Grads-RE PROJ'!AE63</f>
        <v>6.1002348724659879E-3</v>
      </c>
      <c r="BT60" s="266">
        <f>+'WICHE Public Grads-RE PROJ'!DJ63/'WICHE Public Grads-RE PROJ'!AF63</f>
        <v>6.0181598753480817E-3</v>
      </c>
      <c r="BU60" s="266">
        <f>+'WICHE Public Grads-RE PROJ'!DK63/'WICHE Public Grads-RE PROJ'!AG63</f>
        <v>6.1933959910197359E-3</v>
      </c>
      <c r="BV60" s="268">
        <f>+'WICHE Public Grads-RE PROJ'!DL63/'WICHE Public Grads-RE PROJ'!AH63</f>
        <v>6.7988274746903941E-3</v>
      </c>
      <c r="BW60" s="266">
        <f>+'WICHE Public Grads-RE PROJ'!DM63/'WICHE Public Grads-RE PROJ'!AI63</f>
        <v>7.6454711176474578E-3</v>
      </c>
      <c r="BX60" s="266">
        <f>+'WICHE Public Grads-RE PROJ'!DN63/'WICHE Public Grads-RE PROJ'!AJ63</f>
        <v>8.2559725408233899E-3</v>
      </c>
      <c r="BY60" s="266">
        <f>+'WICHE Public Grads-RE PROJ'!DO63/'WICHE Public Grads-RE PROJ'!AK63</f>
        <v>7.5148858606224984E-3</v>
      </c>
      <c r="BZ60" s="266">
        <f>+'WICHE Public Grads-RE PROJ'!DP63/'WICHE Public Grads-RE PROJ'!AL63</f>
        <v>7.7265220534070206E-3</v>
      </c>
      <c r="CA60" s="266">
        <f>+'WICHE Public Grads-RE PROJ'!DQ63/'WICHE Public Grads-RE PROJ'!AM63</f>
        <v>8.0841593585931643E-3</v>
      </c>
      <c r="CB60" s="266">
        <f>+'WICHE Public Grads-RE PROJ'!DR63/'WICHE Public Grads-RE PROJ'!AN63</f>
        <v>7.7554053128120097E-3</v>
      </c>
      <c r="CC60" s="266">
        <f>+'WICHE Public Grads-RE PROJ'!DS63/'WICHE Public Grads-RE PROJ'!AO63</f>
        <v>7.8160556808628788E-3</v>
      </c>
      <c r="CD60" s="266">
        <f>+'WICHE Public Grads-RE PROJ'!DT63/'WICHE Public Grads-RE PROJ'!AP63</f>
        <v>7.4523108561824558E-3</v>
      </c>
      <c r="CE60" s="282">
        <f>+'WICHE Public Grads-RE PROJ'!DU63/'WICHE Public Grads-RE PROJ'!AQ63</f>
        <v>7.2477275843515071E-3</v>
      </c>
      <c r="CF60" s="262">
        <f>+'WICHE Public Grads-RE PROJ'!DV63/'WICHE Public Grads-RE PROJ'!B63</f>
        <v>5.6868762678992074E-2</v>
      </c>
      <c r="CG60" s="262">
        <f>+'WICHE Public Grads-RE PROJ'!DW63/'WICHE Public Grads-RE PROJ'!C63</f>
        <v>5.8256808285011619E-2</v>
      </c>
      <c r="CH60" s="262">
        <f>+'WICHE Public Grads-RE PROJ'!DX63/'WICHE Public Grads-RE PROJ'!D63</f>
        <v>6.1209572896886395E-2</v>
      </c>
      <c r="CI60" s="262">
        <f>+'WICHE Public Grads-RE PROJ'!DY63/'WICHE Public Grads-RE PROJ'!E63</f>
        <v>6.0037310896443381E-2</v>
      </c>
      <c r="CJ60" s="262">
        <f>+'WICHE Public Grads-RE PROJ'!DZ63/'WICHE Public Grads-RE PROJ'!F63</f>
        <v>6.6777776951064349E-2</v>
      </c>
      <c r="CK60" s="262">
        <f>+'WICHE Public Grads-RE PROJ'!EA63/'WICHE Public Grads-RE PROJ'!G63</f>
        <v>6.2809820959934676E-2</v>
      </c>
      <c r="CL60" s="267">
        <f>+'WICHE Public Grads-RE PROJ'!EB63/'WICHE Public Grads-RE PROJ'!H63</f>
        <v>6.5950920245398767E-2</v>
      </c>
      <c r="CM60" s="267">
        <f>+'WICHE Public Grads-RE PROJ'!EC63/'WICHE Public Grads-RE PROJ'!I63</f>
        <v>6.4650782493939435E-2</v>
      </c>
      <c r="CN60" s="267">
        <f>+'WICHE Public Grads-RE PROJ'!ED63/'WICHE Public Grads-RE PROJ'!J63</f>
        <v>6.9561352138911042E-2</v>
      </c>
      <c r="CO60" s="267">
        <f>+'WICHE Public Grads-RE PROJ'!EE63/'WICHE Public Grads-RE PROJ'!K63</f>
        <v>7.135406388317217E-2</v>
      </c>
      <c r="CP60" s="262">
        <f>+'WICHE Public Grads-RE PROJ'!EF63/'WICHE Public Grads-RE PROJ'!L63</f>
        <v>7.097239169681531E-2</v>
      </c>
      <c r="CQ60" s="267">
        <f>+'WICHE Public Grads-RE PROJ'!EG63/'WICHE Public Grads-RE PROJ'!M63</f>
        <v>7.2341431531519007E-2</v>
      </c>
      <c r="CR60" s="267">
        <f>+'WICHE Public Grads-RE PROJ'!EH63/'WICHE Public Grads-RE PROJ'!N63</f>
        <v>7.2277717737129696E-2</v>
      </c>
      <c r="CS60" s="267">
        <f>+'WICHE Public Grads-RE PROJ'!EI63/'WICHE Public Grads-RE PROJ'!O63</f>
        <v>7.2217906960046471E-2</v>
      </c>
      <c r="CT60" s="267">
        <f>+'WICHE Public Grads-RE PROJ'!EJ63/'WICHE Public Grads-RE PROJ'!P63</f>
        <v>7.6957303620756784E-2</v>
      </c>
      <c r="CU60" s="267">
        <f>+'WICHE Public Grads-RE PROJ'!EK63/'WICHE Public Grads-RE PROJ'!Q63</f>
        <v>7.7744708405363183E-2</v>
      </c>
      <c r="CV60" s="267">
        <f>+'WICHE Public Grads-RE PROJ'!EL63/'WICHE Public Grads-RE PROJ'!R63</f>
        <v>7.7817480573989004E-2</v>
      </c>
      <c r="CW60" s="267">
        <f>+'WICHE Public Grads-RE PROJ'!EM63/'WICHE Public Grads-RE PROJ'!S63</f>
        <v>7.9296030776543944E-2</v>
      </c>
      <c r="CX60" s="262">
        <f>+'WICHE Public Grads-RE PROJ'!EN63/'WICHE Public Grads-RE PROJ'!T63</f>
        <v>8.1914419070207703E-2</v>
      </c>
      <c r="CY60" s="267">
        <f>+'WICHE Public Grads-RE PROJ'!EO63/'WICHE Public Grads-RE PROJ'!U63</f>
        <v>8.5028261363033819E-2</v>
      </c>
      <c r="CZ60" s="267">
        <f>+'WICHE Public Grads-RE PROJ'!EP63/'WICHE Public Grads-RE PROJ'!V63</f>
        <v>8.9673892743347319E-2</v>
      </c>
      <c r="DA60" s="267">
        <f>+'WICHE Public Grads-RE PROJ'!EQ63/'WICHE Public Grads-RE PROJ'!W63</f>
        <v>9.1970515061181785E-2</v>
      </c>
      <c r="DB60" s="268">
        <f>+'WICHE Public Grads-RE PROJ'!ER63/'WICHE Public Grads-RE PROJ'!Y63</f>
        <v>9.7217080860510868E-2</v>
      </c>
      <c r="DC60" s="268">
        <f>+'WICHE Public Grads-RE PROJ'!ES63/'WICHE Public Grads-RE PROJ'!Z63</f>
        <v>9.990898496704731E-2</v>
      </c>
      <c r="DD60" s="268">
        <f>+'WICHE Public Grads-RE PROJ'!ET63/'WICHE Public Grads-RE PROJ'!AA63</f>
        <v>9.7765636784269611E-2</v>
      </c>
      <c r="DE60" s="268">
        <f>+'WICHE Public Grads-RE PROJ'!EU63/'WICHE Public Grads-RE PROJ'!AB63</f>
        <v>9.9682042375488972E-2</v>
      </c>
      <c r="DF60" s="266">
        <f>+'WICHE Public Grads-RE PROJ'!EV63/'WICHE Public Grads-RE PROJ'!AC63</f>
        <v>0.1071935750161003</v>
      </c>
      <c r="DG60" s="266">
        <f>+'WICHE Public Grads-RE PROJ'!EW63/'WICHE Public Grads-RE PROJ'!AD63</f>
        <v>0.10544434231896181</v>
      </c>
      <c r="DH60" s="266">
        <f>+'WICHE Public Grads-RE PROJ'!EX63/'WICHE Public Grads-RE PROJ'!AE63</f>
        <v>0.1093711495681139</v>
      </c>
      <c r="DI60" s="266">
        <f>+'WICHE Public Grads-RE PROJ'!EY63/'WICHE Public Grads-RE PROJ'!AF63</f>
        <v>0.11297319954672078</v>
      </c>
      <c r="DJ60" s="266">
        <f>+'WICHE Public Grads-RE PROJ'!EZ63/'WICHE Public Grads-RE PROJ'!AG63</f>
        <v>0.11879352372768605</v>
      </c>
      <c r="DK60" s="268">
        <f>+'WICHE Public Grads-RE PROJ'!FA63/'WICHE Public Grads-RE PROJ'!AH63</f>
        <v>0.11858703497961368</v>
      </c>
      <c r="DL60" s="266">
        <f>+'WICHE Public Grads-RE PROJ'!FB63/'WICHE Public Grads-RE PROJ'!AI63</f>
        <v>0.12232435092510907</v>
      </c>
      <c r="DM60" s="266">
        <f>+'WICHE Public Grads-RE PROJ'!FC63/'WICHE Public Grads-RE PROJ'!AJ63</f>
        <v>0.12728891586180893</v>
      </c>
      <c r="DN60" s="266">
        <f>+'WICHE Public Grads-RE PROJ'!FD63/'WICHE Public Grads-RE PROJ'!AK63</f>
        <v>0.12612953619534445</v>
      </c>
      <c r="DO60" s="266">
        <f>+'WICHE Public Grads-RE PROJ'!FE63/'WICHE Public Grads-RE PROJ'!AL63</f>
        <v>0.12873105521338804</v>
      </c>
      <c r="DP60" s="266">
        <f>+'WICHE Public Grads-RE PROJ'!FF63/'WICHE Public Grads-RE PROJ'!AM63</f>
        <v>0.13055034099683602</v>
      </c>
      <c r="DQ60" s="266">
        <f>+'WICHE Public Grads-RE PROJ'!FG63/'WICHE Public Grads-RE PROJ'!AN63</f>
        <v>0.13878028781288768</v>
      </c>
      <c r="DR60" s="266">
        <f>+'WICHE Public Grads-RE PROJ'!FH63/'WICHE Public Grads-RE PROJ'!AO63</f>
        <v>0.15038414264697633</v>
      </c>
      <c r="DS60" s="266">
        <f>+'WICHE Public Grads-RE PROJ'!FI63/'WICHE Public Grads-RE PROJ'!AP63</f>
        <v>0.14479158180456367</v>
      </c>
      <c r="DT60" s="282">
        <f>+'WICHE Public Grads-RE PROJ'!FJ63/'WICHE Public Grads-RE PROJ'!AQ63</f>
        <v>0.15127081259886385</v>
      </c>
      <c r="DU60" s="262">
        <f>+'WICHE Public Grads-RE PROJ'!FK63/'WICHE Public Grads-RE PROJ'!B63</f>
        <v>0.14073402539885416</v>
      </c>
      <c r="DV60" s="262">
        <f>+'WICHE Public Grads-RE PROJ'!FL63/'WICHE Public Grads-RE PROJ'!C63</f>
        <v>0.1381888194460113</v>
      </c>
      <c r="DW60" s="262">
        <f>+'WICHE Public Grads-RE PROJ'!FM63/'WICHE Public Grads-RE PROJ'!D63</f>
        <v>0.1411218615305784</v>
      </c>
      <c r="DX60" s="262">
        <f>+'WICHE Public Grads-RE PROJ'!FN63/'WICHE Public Grads-RE PROJ'!E63</f>
        <v>0.142634874358955</v>
      </c>
      <c r="DY60" s="262">
        <f>+'WICHE Public Grads-RE PROJ'!FO63/'WICHE Public Grads-RE PROJ'!F63</f>
        <v>0.14199299112357794</v>
      </c>
      <c r="DZ60" s="262">
        <f>+'WICHE Public Grads-RE PROJ'!FP63/'WICHE Public Grads-RE PROJ'!G63</f>
        <v>0.1482766664722692</v>
      </c>
      <c r="EA60" s="267">
        <f>+'WICHE Public Grads-RE PROJ'!FQ63/'WICHE Public Grads-RE PROJ'!H63</f>
        <v>0.14260936872885729</v>
      </c>
      <c r="EB60" s="267">
        <f>+'WICHE Public Grads-RE PROJ'!FR63/'WICHE Public Grads-RE PROJ'!I63</f>
        <v>0.1334256164560412</v>
      </c>
      <c r="EC60" s="267">
        <f>+'WICHE Public Grads-RE PROJ'!FS63/'WICHE Public Grads-RE PROJ'!J63</f>
        <v>0.14674277328178029</v>
      </c>
      <c r="ED60" s="267">
        <f>+'WICHE Public Grads-RE PROJ'!FT63/'WICHE Public Grads-RE PROJ'!K63</f>
        <v>0.14514673959008767</v>
      </c>
      <c r="EE60" s="262">
        <f>+'WICHE Public Grads-RE PROJ'!FU63/'WICHE Public Grads-RE PROJ'!L63</f>
        <v>0.14047481429152484</v>
      </c>
      <c r="EF60" s="267">
        <f>+'WICHE Public Grads-RE PROJ'!FV63/'WICHE Public Grads-RE PROJ'!M63</f>
        <v>0.1418389909468912</v>
      </c>
      <c r="EG60" s="267">
        <f>+'WICHE Public Grads-RE PROJ'!FW63/'WICHE Public Grads-RE PROJ'!N63</f>
        <v>0.14500321526087381</v>
      </c>
      <c r="EH60" s="267">
        <f>+'WICHE Public Grads-RE PROJ'!FX63/'WICHE Public Grads-RE PROJ'!O63</f>
        <v>0.14797360365005907</v>
      </c>
      <c r="EI60" s="267">
        <f>+'WICHE Public Grads-RE PROJ'!FY63/'WICHE Public Grads-RE PROJ'!P63</f>
        <v>0.15350673909416193</v>
      </c>
      <c r="EJ60" s="267">
        <f>+'WICHE Public Grads-RE PROJ'!FZ63/'WICHE Public Grads-RE PROJ'!Q63</f>
        <v>0.15936863241313348</v>
      </c>
      <c r="EK60" s="267">
        <f>+'WICHE Public Grads-RE PROJ'!GA63/'WICHE Public Grads-RE PROJ'!R63</f>
        <v>0.16342805286143725</v>
      </c>
      <c r="EL60" s="267">
        <f>+'WICHE Public Grads-RE PROJ'!GB63/'WICHE Public Grads-RE PROJ'!S63</f>
        <v>0.16825947810321859</v>
      </c>
      <c r="EM60" s="262">
        <f>+'WICHE Public Grads-RE PROJ'!GC63/'WICHE Public Grads-RE PROJ'!T63</f>
        <v>0.17195064898327767</v>
      </c>
      <c r="EN60" s="267">
        <f>+'WICHE Public Grads-RE PROJ'!GD63/'WICHE Public Grads-RE PROJ'!U63</f>
        <v>0.17306148017579887</v>
      </c>
      <c r="EO60" s="267">
        <f>+'WICHE Public Grads-RE PROJ'!GE63/'WICHE Public Grads-RE PROJ'!V63</f>
        <v>0.16997540803795064</v>
      </c>
      <c r="EP60" s="267">
        <f>+'WICHE Public Grads-RE PROJ'!GF63/'WICHE Public Grads-RE PROJ'!W63</f>
        <v>0.16763499980756746</v>
      </c>
      <c r="EQ60" s="268">
        <f>+'WICHE Public Grads-RE PROJ'!GG63/'WICHE Public Grads-RE PROJ'!Y63</f>
        <v>0.16823199381621268</v>
      </c>
      <c r="ER60" s="268">
        <f>+'WICHE Public Grads-RE PROJ'!GH63/'WICHE Public Grads-RE PROJ'!Z63</f>
        <v>0.17052922244554014</v>
      </c>
      <c r="ES60" s="268">
        <f>+'WICHE Public Grads-RE PROJ'!GI63/'WICHE Public Grads-RE PROJ'!AA63</f>
        <v>0.17009589086630575</v>
      </c>
      <c r="ET60" s="268">
        <f>+'WICHE Public Grads-RE PROJ'!GJ63/'WICHE Public Grads-RE PROJ'!AB63</f>
        <v>0.16862252505168901</v>
      </c>
      <c r="EU60" s="266">
        <f>+'WICHE Public Grads-RE PROJ'!GK63/'WICHE Public Grads-RE PROJ'!AC63</f>
        <v>0.16710146852722813</v>
      </c>
      <c r="EV60" s="266">
        <f>+'WICHE Public Grads-RE PROJ'!GL63/'WICHE Public Grads-RE PROJ'!AD63</f>
        <v>0.16831770993646228</v>
      </c>
      <c r="EW60" s="266">
        <f>+'WICHE Public Grads-RE PROJ'!GM63/'WICHE Public Grads-RE PROJ'!AE63</f>
        <v>0.16682791977890946</v>
      </c>
      <c r="EX60" s="266">
        <f>+'WICHE Public Grads-RE PROJ'!GN63/'WICHE Public Grads-RE PROJ'!AF63</f>
        <v>0.16263053551944301</v>
      </c>
      <c r="EY60" s="266">
        <f>+'WICHE Public Grads-RE PROJ'!GO63/'WICHE Public Grads-RE PROJ'!AG63</f>
        <v>0.1620447550508175</v>
      </c>
      <c r="EZ60" s="268">
        <f>+'WICHE Public Grads-RE PROJ'!GP63/'WICHE Public Grads-RE PROJ'!AH63</f>
        <v>0.16366158485611412</v>
      </c>
      <c r="FA60" s="266">
        <f>+'WICHE Public Grads-RE PROJ'!GQ63/'WICHE Public Grads-RE PROJ'!AI63</f>
        <v>0.16221699368177822</v>
      </c>
      <c r="FB60" s="266">
        <f>+'WICHE Public Grads-RE PROJ'!GR63/'WICHE Public Grads-RE PROJ'!AJ63</f>
        <v>0.16088309752834895</v>
      </c>
      <c r="FC60" s="266">
        <f>+'WICHE Public Grads-RE PROJ'!GS63/'WICHE Public Grads-RE PROJ'!AK63</f>
        <v>0.16193408382065971</v>
      </c>
      <c r="FD60" s="266">
        <f>+'WICHE Public Grads-RE PROJ'!GT63/'WICHE Public Grads-RE PROJ'!AL63</f>
        <v>0.16108034730163959</v>
      </c>
      <c r="FE60" s="266">
        <f>+'WICHE Public Grads-RE PROJ'!GU63/'WICHE Public Grads-RE PROJ'!AM63</f>
        <v>0.15765688000618036</v>
      </c>
      <c r="FF60" s="266">
        <f>+'WICHE Public Grads-RE PROJ'!GV63/'WICHE Public Grads-RE PROJ'!AN63</f>
        <v>0.15474052890759918</v>
      </c>
      <c r="FG60" s="266">
        <f>+'WICHE Public Grads-RE PROJ'!GW63/'WICHE Public Grads-RE PROJ'!AO63</f>
        <v>0.15227401310527558</v>
      </c>
      <c r="FH60" s="266">
        <f>+'WICHE Public Grads-RE PROJ'!GX63/'WICHE Public Grads-RE PROJ'!AP63</f>
        <v>0.15133073095605462</v>
      </c>
      <c r="FI60" s="282">
        <f>+'WICHE Public Grads-RE PROJ'!GY63/'WICHE Public Grads-RE PROJ'!AQ63</f>
        <v>0.14760953385267253</v>
      </c>
      <c r="FJ60" s="262">
        <f>+'WICHE Public Grads-RE PROJ'!GZ63/'WICHE Public Grads-RE PROJ'!B63</f>
        <v>8.6146552428793294E-2</v>
      </c>
      <c r="FK60" s="262">
        <f>+'WICHE Public Grads-RE PROJ'!HA63/'WICHE Public Grads-RE PROJ'!C63</f>
        <v>9.1062927280521649E-2</v>
      </c>
      <c r="FL60" s="262">
        <f>+'WICHE Public Grads-RE PROJ'!HB63/'WICHE Public Grads-RE PROJ'!D63</f>
        <v>9.4704162522229254E-2</v>
      </c>
      <c r="FM60" s="262">
        <f>+'WICHE Public Grads-RE PROJ'!HC63/'WICHE Public Grads-RE PROJ'!E63</f>
        <v>9.7506816413773303E-2</v>
      </c>
      <c r="FN60" s="262">
        <f>+'WICHE Public Grads-RE PROJ'!HD63/'WICHE Public Grads-RE PROJ'!F63</f>
        <v>9.7335585300704602E-2</v>
      </c>
      <c r="FO60" s="262">
        <f>+'WICHE Public Grads-RE PROJ'!HE63/'WICHE Public Grads-RE PROJ'!G63</f>
        <v>0.10768647576835598</v>
      </c>
      <c r="FP60" s="267">
        <f>+'WICHE Public Grads-RE PROJ'!HF63/'WICHE Public Grads-RE PROJ'!H63</f>
        <v>0.1118341838197351</v>
      </c>
      <c r="FQ60" s="267">
        <f>+'WICHE Public Grads-RE PROJ'!HG63/'WICHE Public Grads-RE PROJ'!I63</f>
        <v>0.13047064392581012</v>
      </c>
      <c r="FR60" s="267">
        <f>+'WICHE Public Grads-RE PROJ'!HH63/'WICHE Public Grads-RE PROJ'!J63</f>
        <v>0.11185273511087906</v>
      </c>
      <c r="FS60" s="267">
        <f>+'WICHE Public Grads-RE PROJ'!HI63/'WICHE Public Grads-RE PROJ'!K63</f>
        <v>0.11500239632375743</v>
      </c>
      <c r="FT60" s="262">
        <f>+'WICHE Public Grads-RE PROJ'!HJ63/'WICHE Public Grads-RE PROJ'!L63</f>
        <v>0.11077572981111611</v>
      </c>
      <c r="FU60" s="267">
        <f>+'WICHE Public Grads-RE PROJ'!HK63/'WICHE Public Grads-RE PROJ'!M63</f>
        <v>0.10911707852980851</v>
      </c>
      <c r="FV60" s="267">
        <f>+'WICHE Public Grads-RE PROJ'!HL63/'WICHE Public Grads-RE PROJ'!N63</f>
        <v>0.11599853209032358</v>
      </c>
      <c r="FW60" s="267">
        <f>+'WICHE Public Grads-RE PROJ'!HM63/'WICHE Public Grads-RE PROJ'!O63</f>
        <v>0.12245843749796022</v>
      </c>
      <c r="FX60" s="267">
        <f>+'WICHE Public Grads-RE PROJ'!HN63/'WICHE Public Grads-RE PROJ'!P63</f>
        <v>0.13486840072427494</v>
      </c>
      <c r="FY60" s="267">
        <f>+'WICHE Public Grads-RE PROJ'!HO63/'WICHE Public Grads-RE PROJ'!Q63</f>
        <v>0.14412503787136213</v>
      </c>
      <c r="FZ60" s="267">
        <f>+'WICHE Public Grads-RE PROJ'!HP63/'WICHE Public Grads-RE PROJ'!R63</f>
        <v>0.15142646474958879</v>
      </c>
      <c r="GA60" s="267">
        <f>+'WICHE Public Grads-RE PROJ'!HQ63/'WICHE Public Grads-RE PROJ'!S63</f>
        <v>0.16321849245786743</v>
      </c>
      <c r="GB60" s="262">
        <f>+'WICHE Public Grads-RE PROJ'!HR63/'WICHE Public Grads-RE PROJ'!T63</f>
        <v>0.16814270016210983</v>
      </c>
      <c r="GC60" s="267">
        <f>+'WICHE Public Grads-RE PROJ'!HS63/'WICHE Public Grads-RE PROJ'!U63</f>
        <v>0.1758983141733102</v>
      </c>
      <c r="GD60" s="267">
        <f>+'WICHE Public Grads-RE PROJ'!HT63/'WICHE Public Grads-RE PROJ'!V63</f>
        <v>0.18081258365319736</v>
      </c>
      <c r="GE60" s="267">
        <f>+'WICHE Public Grads-RE PROJ'!HU63/'WICHE Public Grads-RE PROJ'!W63</f>
        <v>0.18592633254043503</v>
      </c>
      <c r="GF60" s="268">
        <f>+'WICHE Public Grads-RE PROJ'!HV63/'WICHE Public Grads-RE PROJ'!Y63</f>
        <v>0.19732812333979541</v>
      </c>
      <c r="GG60" s="268">
        <f>+'WICHE Public Grads-RE PROJ'!HW63/'WICHE Public Grads-RE PROJ'!Z63</f>
        <v>0.20273186882122882</v>
      </c>
      <c r="GH60" s="268">
        <f>+'WICHE Public Grads-RE PROJ'!HX63/'WICHE Public Grads-RE PROJ'!AA63</f>
        <v>0.20396718065632172</v>
      </c>
      <c r="GI60" s="268">
        <f>+'WICHE Public Grads-RE PROJ'!HY63/'WICHE Public Grads-RE PROJ'!AB63</f>
        <v>0.20750404267415173</v>
      </c>
      <c r="GJ60" s="266">
        <f>+'WICHE Public Grads-RE PROJ'!HZ63/'WICHE Public Grads-RE PROJ'!AC63</f>
        <v>0.21629416937320142</v>
      </c>
      <c r="GK60" s="266">
        <f>+'WICHE Public Grads-RE PROJ'!IA63/'WICHE Public Grads-RE PROJ'!AD63</f>
        <v>0.22661381675181322</v>
      </c>
      <c r="GL60" s="266">
        <f>+'WICHE Public Grads-RE PROJ'!IB63/'WICHE Public Grads-RE PROJ'!AE63</f>
        <v>0.23539618138627619</v>
      </c>
      <c r="GM60" s="266">
        <f>+'WICHE Public Grads-RE PROJ'!IC63/'WICHE Public Grads-RE PROJ'!AF63</f>
        <v>0.24092123646518362</v>
      </c>
      <c r="GN60" s="266">
        <f>+'WICHE Public Grads-RE PROJ'!ID63/'WICHE Public Grads-RE PROJ'!AG63</f>
        <v>0.24925827545012288</v>
      </c>
      <c r="GO60" s="268">
        <f>+'WICHE Public Grads-RE PROJ'!IE63/'WICHE Public Grads-RE PROJ'!AH63</f>
        <v>0.26516624750515366</v>
      </c>
      <c r="GP60" s="266">
        <f>+'WICHE Public Grads-RE PROJ'!IF63/'WICHE Public Grads-RE PROJ'!AI63</f>
        <v>0.27611085988681322</v>
      </c>
      <c r="GQ60" s="266">
        <f>+'WICHE Public Grads-RE PROJ'!IG63/'WICHE Public Grads-RE PROJ'!AJ63</f>
        <v>0.28630695570212628</v>
      </c>
      <c r="GR60" s="266">
        <f>+'WICHE Public Grads-RE PROJ'!IH63/'WICHE Public Grads-RE PROJ'!AK63</f>
        <v>0.27819639923454736</v>
      </c>
      <c r="GS60" s="266">
        <f>+'WICHE Public Grads-RE PROJ'!II63/'WICHE Public Grads-RE PROJ'!AL63</f>
        <v>0.27832397155394201</v>
      </c>
      <c r="GT60" s="266">
        <f>+'WICHE Public Grads-RE PROJ'!IJ63/'WICHE Public Grads-RE PROJ'!AM63</f>
        <v>0.27860254456105682</v>
      </c>
      <c r="GU60" s="266">
        <f>+'WICHE Public Grads-RE PROJ'!IK63/'WICHE Public Grads-RE PROJ'!AN63</f>
        <v>0.27438144853429214</v>
      </c>
      <c r="GV60" s="266">
        <f>+'WICHE Public Grads-RE PROJ'!IL63/'WICHE Public Grads-RE PROJ'!AO63</f>
        <v>0.27043504957245457</v>
      </c>
      <c r="GW60" s="266">
        <f>+'WICHE Public Grads-RE PROJ'!IM63/'WICHE Public Grads-RE PROJ'!AP63</f>
        <v>0.2693839321784865</v>
      </c>
      <c r="GX60" s="282">
        <f>+'WICHE Public Grads-RE PROJ'!IN63/'WICHE Public Grads-RE PROJ'!AQ63</f>
        <v>0.26970955639286531</v>
      </c>
      <c r="GY60" s="262">
        <f>+'WICHE Public Grads-RE PROJ'!IO63/'WICHE Public Grads-RE PROJ'!B63</f>
        <v>0.71399166251774127</v>
      </c>
      <c r="GZ60" s="262">
        <f>+'WICHE Public Grads-RE PROJ'!IP63/'WICHE Public Grads-RE PROJ'!C63</f>
        <v>0.70980648751908426</v>
      </c>
      <c r="HA60" s="262">
        <f>+'WICHE Public Grads-RE PROJ'!IQ63/'WICHE Public Grads-RE PROJ'!D63</f>
        <v>0.7005606293516593</v>
      </c>
      <c r="HB60" s="262">
        <f>+'WICHE Public Grads-RE PROJ'!IR63/'WICHE Public Grads-RE PROJ'!E63</f>
        <v>0.69656573590833903</v>
      </c>
      <c r="HC60" s="262">
        <f>+'WICHE Public Grads-RE PROJ'!IS63/'WICHE Public Grads-RE PROJ'!F63</f>
        <v>0.69104396544668567</v>
      </c>
      <c r="HD60" s="262">
        <f>+'WICHE Public Grads-RE PROJ'!IT63/'WICHE Public Grads-RE PROJ'!G63</f>
        <v>0.67815798681985184</v>
      </c>
      <c r="HE60" s="267">
        <f>+'WICHE Public Grads-RE PROJ'!IU63/'WICHE Public Grads-RE PROJ'!H63</f>
        <v>0.67662404678630816</v>
      </c>
      <c r="HF60" s="267">
        <f>+'WICHE Public Grads-RE PROJ'!IV63/'WICHE Public Grads-RE PROJ'!I63</f>
        <v>0.66852667364766971</v>
      </c>
      <c r="HG60" s="267">
        <f>+'WICHE Public Grads-RE PROJ'!IW63/'WICHE Public Grads-RE PROJ'!J63</f>
        <v>0.66875277815015766</v>
      </c>
      <c r="HH60" s="267">
        <f>+'WICHE Public Grads-RE PROJ'!IX63/'WICHE Public Grads-RE PROJ'!K63</f>
        <v>0.66501508274364973</v>
      </c>
      <c r="HI60" s="262">
        <f>+'WICHE Public Grads-RE PROJ'!IY63/'WICHE Public Grads-RE PROJ'!L63</f>
        <v>0.67453028778569846</v>
      </c>
      <c r="HJ60" s="267">
        <f>+'WICHE Public Grads-RE PROJ'!IZ63/'WICHE Public Grads-RE PROJ'!M63</f>
        <v>0.6733997135268186</v>
      </c>
      <c r="HK60" s="267">
        <f>+'WICHE Public Grads-RE PROJ'!JA63/'WICHE Public Grads-RE PROJ'!N63</f>
        <v>0.66337060342534704</v>
      </c>
      <c r="HL60" s="267">
        <f>+'WICHE Public Grads-RE PROJ'!JB63/'WICHE Public Grads-RE PROJ'!O63</f>
        <v>0.65395586248311066</v>
      </c>
      <c r="HM60" s="267">
        <f>+'WICHE Public Grads-RE PROJ'!JC63/'WICHE Public Grads-RE PROJ'!P63</f>
        <v>0.63133663335743462</v>
      </c>
      <c r="HN60" s="267">
        <f>+'WICHE Public Grads-RE PROJ'!JD63/'WICHE Public Grads-RE PROJ'!Q63</f>
        <v>0.61895172069647664</v>
      </c>
      <c r="HO60" s="267">
        <f>+'WICHE Public Grads-RE PROJ'!JE63/'WICHE Public Grads-RE PROJ'!R63</f>
        <v>0.60245590153706541</v>
      </c>
      <c r="HP60" s="267">
        <f>+'WICHE Public Grads-RE PROJ'!JF63/'WICHE Public Grads-RE PROJ'!S63</f>
        <v>0.58386995141418441</v>
      </c>
      <c r="HQ60" s="262">
        <f>+'WICHE Public Grads-RE PROJ'!JG63/'WICHE Public Grads-RE PROJ'!T63</f>
        <v>0.57181247484033815</v>
      </c>
      <c r="HR60" s="267">
        <f>+'WICHE Public Grads-RE PROJ'!JH63/'WICHE Public Grads-RE PROJ'!U63</f>
        <v>0.56188984683455245</v>
      </c>
      <c r="HS60" s="267">
        <f>+'WICHE Public Grads-RE PROJ'!JI63/'WICHE Public Grads-RE PROJ'!V63</f>
        <v>0.55531126504451833</v>
      </c>
      <c r="HT60" s="267">
        <f>+'WICHE Public Grads-RE PROJ'!JJ63/'WICHE Public Grads-RE PROJ'!W63</f>
        <v>0.55009145866212428</v>
      </c>
      <c r="HU60" s="268">
        <f>+'WICHE Public Grads-RE PROJ'!JK63/'WICHE Public Grads-RE PROJ'!Y63</f>
        <v>0.53387209458672669</v>
      </c>
      <c r="HV60" s="268">
        <f>+'WICHE Public Grads-RE PROJ'!JL63/'WICHE Public Grads-RE PROJ'!Z63</f>
        <v>0.52204725418934506</v>
      </c>
      <c r="HW60" s="268">
        <f>+'WICHE Public Grads-RE PROJ'!JM63/'WICHE Public Grads-RE PROJ'!AA63</f>
        <v>0.52915658469892735</v>
      </c>
      <c r="HX60" s="268">
        <f>+'WICHE Public Grads-RE PROJ'!JN63/'WICHE Public Grads-RE PROJ'!AB63</f>
        <v>0.51976918176093878</v>
      </c>
      <c r="HY60" s="266">
        <f>+'WICHE Public Grads-RE PROJ'!JO63/'WICHE Public Grads-RE PROJ'!AC63</f>
        <v>0.50699163592757612</v>
      </c>
      <c r="HZ60" s="266">
        <f>+'WICHE Public Grads-RE PROJ'!JP63/'WICHE Public Grads-RE PROJ'!AD63</f>
        <v>0.49729637228071805</v>
      </c>
      <c r="IA60" s="266">
        <f>+'WICHE Public Grads-RE PROJ'!JQ63/'WICHE Public Grads-RE PROJ'!AE63</f>
        <v>0.48758976889464689</v>
      </c>
      <c r="IB60" s="266">
        <f>+'WICHE Public Grads-RE PROJ'!JR63/'WICHE Public Grads-RE PROJ'!AF63</f>
        <v>0.48497960824688147</v>
      </c>
      <c r="IC60" s="266">
        <f>+'WICHE Public Grads-RE PROJ'!JS63/'WICHE Public Grads-RE PROJ'!AG63</f>
        <v>0.47293838706756364</v>
      </c>
      <c r="ID60" s="268">
        <f>+'WICHE Public Grads-RE PROJ'!JT63/'WICHE Public Grads-RE PROJ'!AH63</f>
        <v>0.45655269378481939</v>
      </c>
      <c r="IE60" s="266">
        <f>+'WICHE Public Grads-RE PROJ'!JU63/'WICHE Public Grads-RE PROJ'!AI63</f>
        <v>0.44534327818245012</v>
      </c>
      <c r="IF60" s="266">
        <f>+'WICHE Public Grads-RE PROJ'!JV63/'WICHE Public Grads-RE PROJ'!AJ63</f>
        <v>0.43448556886720768</v>
      </c>
      <c r="IG60" s="266">
        <f>+'WICHE Public Grads-RE PROJ'!JW63/'WICHE Public Grads-RE PROJ'!AK63</f>
        <v>0.44286748426922146</v>
      </c>
      <c r="IH60" s="266">
        <f>+'WICHE Public Grads-RE PROJ'!JX63/'WICHE Public Grads-RE PROJ'!AL63</f>
        <v>0.44170235986309414</v>
      </c>
      <c r="II60" s="266">
        <f>+'WICHE Public Grads-RE PROJ'!JY63/'WICHE Public Grads-RE PROJ'!AM63</f>
        <v>0.44305429447600969</v>
      </c>
      <c r="IJ60" s="266">
        <f>+'WICHE Public Grads-RE PROJ'!JZ63/'WICHE Public Grads-RE PROJ'!AN63</f>
        <v>0.4306245633856669</v>
      </c>
      <c r="IK60" s="266">
        <f>+'WICHE Public Grads-RE PROJ'!KA63/'WICHE Public Grads-RE PROJ'!AO63</f>
        <v>0.42739535820922703</v>
      </c>
      <c r="IL60" s="266">
        <f>+'WICHE Public Grads-RE PROJ'!KB63/'WICHE Public Grads-RE PROJ'!AP63</f>
        <v>0.43306281258302454</v>
      </c>
      <c r="IM60" s="282">
        <f>+'WICHE Public Grads-RE PROJ'!KC63/'WICHE Public Grads-RE PROJ'!AQ63</f>
        <v>0.4316826412736483</v>
      </c>
      <c r="IN60" s="278">
        <f t="shared" si="120"/>
        <v>1</v>
      </c>
      <c r="IO60" s="278">
        <f t="shared" si="121"/>
        <v>1</v>
      </c>
      <c r="IP60" s="278">
        <f t="shared" si="122"/>
        <v>1</v>
      </c>
      <c r="IQ60" s="278">
        <f t="shared" si="123"/>
        <v>1</v>
      </c>
      <c r="IR60" s="278">
        <f t="shared" si="124"/>
        <v>1</v>
      </c>
      <c r="IS60" s="278">
        <f t="shared" si="125"/>
        <v>1</v>
      </c>
      <c r="IT60" s="278">
        <f t="shared" si="126"/>
        <v>1</v>
      </c>
      <c r="IU60" s="278">
        <f t="shared" si="127"/>
        <v>1</v>
      </c>
      <c r="IV60" s="278">
        <f t="shared" si="128"/>
        <v>1</v>
      </c>
      <c r="IW60" s="278">
        <f t="shared" si="129"/>
        <v>1</v>
      </c>
      <c r="IX60" s="278">
        <f t="shared" si="130"/>
        <v>1</v>
      </c>
      <c r="IY60" s="278">
        <f t="shared" si="131"/>
        <v>1</v>
      </c>
      <c r="IZ60" s="278">
        <f t="shared" si="132"/>
        <v>1</v>
      </c>
      <c r="JA60" s="278">
        <f t="shared" si="133"/>
        <v>1</v>
      </c>
      <c r="JB60" s="278">
        <f t="shared" si="134"/>
        <v>1</v>
      </c>
      <c r="JC60" s="278">
        <f t="shared" si="135"/>
        <v>1.003570304099612</v>
      </c>
      <c r="JD60" s="278">
        <f t="shared" si="136"/>
        <v>0.99852532471215472</v>
      </c>
      <c r="JE60" s="278">
        <f t="shared" si="137"/>
        <v>0.99821465091727146</v>
      </c>
      <c r="JF60" s="278">
        <f t="shared" si="138"/>
        <v>0.99777506990306053</v>
      </c>
      <c r="JG60" s="278">
        <f t="shared" si="139"/>
        <v>1</v>
      </c>
      <c r="JH60" s="278">
        <f t="shared" si="140"/>
        <v>1</v>
      </c>
      <c r="JI60" s="278">
        <f t="shared" si="141"/>
        <v>1</v>
      </c>
      <c r="JJ60" s="278">
        <f t="shared" si="142"/>
        <v>1.0008369224595217</v>
      </c>
      <c r="JK60" s="278">
        <f t="shared" si="143"/>
        <v>0.99998649185959021</v>
      </c>
      <c r="JL60" s="278">
        <f t="shared" si="144"/>
        <v>1.0058539905841442</v>
      </c>
      <c r="JM60" s="278">
        <f t="shared" si="145"/>
        <v>1.0001832210526649</v>
      </c>
      <c r="JN60" s="278">
        <f t="shared" si="146"/>
        <v>1.0027678523212598</v>
      </c>
      <c r="JO60" s="278">
        <f t="shared" si="147"/>
        <v>1.003407246636437</v>
      </c>
      <c r="JP60" s="278">
        <f t="shared" si="148"/>
        <v>1.0052852545004125</v>
      </c>
      <c r="JQ60" s="278">
        <f t="shared" si="149"/>
        <v>1.0075227396535769</v>
      </c>
      <c r="JR60" s="278">
        <f t="shared" si="150"/>
        <v>1.00922833728721</v>
      </c>
      <c r="JS60" s="278">
        <f t="shared" si="151"/>
        <v>1.0107663886003913</v>
      </c>
      <c r="JT60" s="278">
        <f t="shared" si="152"/>
        <v>1.0136409537937983</v>
      </c>
      <c r="JU60" s="278">
        <f t="shared" si="153"/>
        <v>1.0172205105003154</v>
      </c>
      <c r="JV60" s="278">
        <f t="shared" si="154"/>
        <v>1.0166423893803955</v>
      </c>
      <c r="JW60" s="278">
        <f t="shared" si="155"/>
        <v>1.0175642559854707</v>
      </c>
      <c r="JX60" s="278">
        <f t="shared" si="156"/>
        <v>1.017948219398676</v>
      </c>
      <c r="JY60" s="278">
        <f t="shared" si="157"/>
        <v>1.0062822339532578</v>
      </c>
      <c r="JZ60" s="278">
        <f t="shared" si="157"/>
        <v>1.0083046192147964</v>
      </c>
      <c r="KA60" s="278">
        <f t="shared" si="157"/>
        <v>1.0060213683783117</v>
      </c>
      <c r="KB60" s="278">
        <f t="shared" si="157"/>
        <v>1.0075202717024014</v>
      </c>
    </row>
    <row r="61" spans="1:288" s="17" customFormat="1">
      <c r="A61" s="175" t="s">
        <v>84</v>
      </c>
      <c r="B61" s="262">
        <f>+'WICHE Public Grads-RE PROJ'!AR64/'WICHE Public Grads-RE PROJ'!B64</f>
        <v>2.1110693967135472E-2</v>
      </c>
      <c r="C61" s="262">
        <f>+'WICHE Public Grads-RE PROJ'!AS64/'WICHE Public Grads-RE PROJ'!C64</f>
        <v>2.1742274502241719E-2</v>
      </c>
      <c r="D61" s="262">
        <f>+'WICHE Public Grads-RE PROJ'!AT64/'WICHE Public Grads-RE PROJ'!D64</f>
        <v>2.2116950116714724E-2</v>
      </c>
      <c r="E61" s="262">
        <f>+'WICHE Public Grads-RE PROJ'!AU64/'WICHE Public Grads-RE PROJ'!E64</f>
        <v>2.2343632976782594E-2</v>
      </c>
      <c r="F61" s="262">
        <f>+'WICHE Public Grads-RE PROJ'!AV64/'WICHE Public Grads-RE PROJ'!F64</f>
        <v>2.0966022211528483E-2</v>
      </c>
      <c r="G61" s="262">
        <f>+'WICHE Public Grads-RE PROJ'!AW64/'WICHE Public Grads-RE PROJ'!G64</f>
        <v>2.1586700607441851E-2</v>
      </c>
      <c r="H61" s="267">
        <f>+'WICHE Public Grads-RE PROJ'!AX64/'WICHE Public Grads-RE PROJ'!H64</f>
        <v>2.1754613727134216E-2</v>
      </c>
      <c r="I61" s="267">
        <f>+'WICHE Public Grads-RE PROJ'!AY64/'WICHE Public Grads-RE PROJ'!I64</f>
        <v>2.2071880105121101E-2</v>
      </c>
      <c r="J61" s="267">
        <f>+'WICHE Public Grads-RE PROJ'!AZ64/'WICHE Public Grads-RE PROJ'!J64</f>
        <v>2.160426118165305E-2</v>
      </c>
      <c r="K61" s="267">
        <f>+'WICHE Public Grads-RE PROJ'!BA64/'WICHE Public Grads-RE PROJ'!K64</f>
        <v>2.2973539795169352E-2</v>
      </c>
      <c r="L61" s="262">
        <f>+'WICHE Public Grads-RE PROJ'!BB64/'WICHE Public Grads-RE PROJ'!L64</f>
        <v>2.4342500195749198E-2</v>
      </c>
      <c r="M61" s="267">
        <f>+'WICHE Public Grads-RE PROJ'!BC64/'WICHE Public Grads-RE PROJ'!M64</f>
        <v>2.4130139327791351E-2</v>
      </c>
      <c r="N61" s="267">
        <f>+'WICHE Public Grads-RE PROJ'!BD64/'WICHE Public Grads-RE PROJ'!N64</f>
        <v>2.47177543450443E-2</v>
      </c>
      <c r="O61" s="267">
        <f>+'WICHE Public Grads-RE PROJ'!BE64/'WICHE Public Grads-RE PROJ'!O64</f>
        <v>2.6074480193654916E-2</v>
      </c>
      <c r="P61" s="267">
        <f>+'WICHE Public Grads-RE PROJ'!BF64/'WICHE Public Grads-RE PROJ'!P64</f>
        <v>2.5883913136145121E-2</v>
      </c>
      <c r="Q61" s="267">
        <f>+'WICHE Public Grads-RE PROJ'!BG64/'WICHE Public Grads-RE PROJ'!Q64</f>
        <v>2.5699244963181263E-2</v>
      </c>
      <c r="R61" s="267">
        <f>+'WICHE Public Grads-RE PROJ'!BH64/'WICHE Public Grads-RE PROJ'!R64</f>
        <v>2.7513852860366238E-2</v>
      </c>
      <c r="S61" s="267">
        <f>+'WICHE Public Grads-RE PROJ'!BI64/'WICHE Public Grads-RE PROJ'!S64</f>
        <v>2.7529887186395017E-2</v>
      </c>
      <c r="T61" s="267">
        <f>+'WICHE Public Grads-RE PROJ'!BJ64/'WICHE Public Grads-RE PROJ'!T64</f>
        <v>2.8418533030446249E-2</v>
      </c>
      <c r="U61" s="267">
        <f>+'WICHE Public Grads-RE PROJ'!BK64/'WICHE Public Grads-RE PROJ'!U64</f>
        <v>3.0604455284134389E-2</v>
      </c>
      <c r="V61" s="267">
        <f>+'WICHE Public Grads-RE PROJ'!BL64/'WICHE Public Grads-RE PROJ'!V64</f>
        <v>3.2876359232737948E-2</v>
      </c>
      <c r="W61" s="267">
        <f>+'WICHE Public Grads-RE PROJ'!BM64/'WICHE Public Grads-RE PROJ'!W64</f>
        <v>3.5796577595219717E-2</v>
      </c>
      <c r="X61" s="268">
        <f>+'WICHE Public Grads-RE PROJ'!BN64/'WICHE Public Grads-RE PROJ'!Y64</f>
        <v>3.644428301414724E-2</v>
      </c>
      <c r="Y61" s="268">
        <f>+'WICHE Public Grads-RE PROJ'!BO64/'WICHE Public Grads-RE PROJ'!Z64</f>
        <v>3.8708033813001801E-2</v>
      </c>
      <c r="Z61" s="268">
        <f>+'WICHE Public Grads-RE PROJ'!BP64/'WICHE Public Grads-RE PROJ'!AA64</f>
        <v>4.0332887765704789E-2</v>
      </c>
      <c r="AA61" s="268">
        <f>+'WICHE Public Grads-RE PROJ'!BQ64/'WICHE Public Grads-RE PROJ'!AB64</f>
        <v>4.0651104646392974E-2</v>
      </c>
      <c r="AB61" s="266">
        <f>+'WICHE Public Grads-RE PROJ'!BR64/'WICHE Public Grads-RE PROJ'!AC64</f>
        <v>4.3467469919416309E-2</v>
      </c>
      <c r="AC61" s="266">
        <f>+'WICHE Public Grads-RE PROJ'!BS64/'WICHE Public Grads-RE PROJ'!AD64</f>
        <v>4.5557522972909263E-2</v>
      </c>
      <c r="AD61" s="266">
        <f>+'WICHE Public Grads-RE PROJ'!BT64/'WICHE Public Grads-RE PROJ'!AE64</f>
        <v>4.750885050668157E-2</v>
      </c>
      <c r="AE61" s="266">
        <f>+'WICHE Public Grads-RE PROJ'!BU64/'WICHE Public Grads-RE PROJ'!AF64</f>
        <v>4.9398835348189174E-2</v>
      </c>
      <c r="AF61" s="266">
        <f>+'WICHE Public Grads-RE PROJ'!BV64/'WICHE Public Grads-RE PROJ'!AG64</f>
        <v>5.1468548304372169E-2</v>
      </c>
      <c r="AG61" s="268">
        <f>+'WICHE Public Grads-RE PROJ'!BW64/'WICHE Public Grads-RE PROJ'!AH64</f>
        <v>5.1601397554599623E-2</v>
      </c>
      <c r="AH61" s="266">
        <f>+'WICHE Public Grads-RE PROJ'!BX64/'WICHE Public Grads-RE PROJ'!AI64</f>
        <v>5.2226909587153668E-2</v>
      </c>
      <c r="AI61" s="266">
        <f>+'WICHE Public Grads-RE PROJ'!BY64/'WICHE Public Grads-RE PROJ'!AJ64</f>
        <v>5.3482164195997613E-2</v>
      </c>
      <c r="AJ61" s="266">
        <f>+'WICHE Public Grads-RE PROJ'!BZ64/'WICHE Public Grads-RE PROJ'!AK64</f>
        <v>5.3981677179607147E-2</v>
      </c>
      <c r="AK61" s="266">
        <f>+'WICHE Public Grads-RE PROJ'!CA64/'WICHE Public Grads-RE PROJ'!AL64</f>
        <v>5.6236951221103545E-2</v>
      </c>
      <c r="AL61" s="266">
        <f>+'WICHE Public Grads-RE PROJ'!CB64/'WICHE Public Grads-RE PROJ'!AM64</f>
        <v>5.6806960505428147E-2</v>
      </c>
      <c r="AM61" s="266">
        <f>+'WICHE Public Grads-RE PROJ'!CC64/'WICHE Public Grads-RE PROJ'!AN64</f>
        <v>5.6260374528407084E-2</v>
      </c>
      <c r="AN61" s="266">
        <f>+'WICHE Public Grads-RE PROJ'!CD64/'WICHE Public Grads-RE PROJ'!AO64</f>
        <v>6.2635941223235014E-2</v>
      </c>
      <c r="AO61" s="266">
        <f>+'WICHE Public Grads-RE PROJ'!CE64/'WICHE Public Grads-RE PROJ'!AP64</f>
        <v>6.0172672249471225E-2</v>
      </c>
      <c r="AP61" s="282">
        <f>+'WICHE Public Grads-RE PROJ'!CF64/'WICHE Public Grads-RE PROJ'!AQ64</f>
        <v>6.2338491016057346E-2</v>
      </c>
      <c r="AQ61" s="262">
        <f>+'WICHE Public Grads-RE PROJ'!CG64/'WICHE Public Grads-RE PROJ'!B64</f>
        <v>9.3376074546837242E-4</v>
      </c>
      <c r="AR61" s="262">
        <f>+'WICHE Public Grads-RE PROJ'!CH64/'WICHE Public Grads-RE PROJ'!C64</f>
        <v>8.0991177746709728E-4</v>
      </c>
      <c r="AS61" s="262">
        <f>+'WICHE Public Grads-RE PROJ'!CI64/'WICHE Public Grads-RE PROJ'!D64</f>
        <v>7.061731301123992E-4</v>
      </c>
      <c r="AT61" s="262">
        <f>+'WICHE Public Grads-RE PROJ'!CJ64/'WICHE Public Grads-RE PROJ'!E64</f>
        <v>5.3770668100551152E-4</v>
      </c>
      <c r="AU61" s="262">
        <f>+'WICHE Public Grads-RE PROJ'!CK64/'WICHE Public Grads-RE PROJ'!F64</f>
        <v>8.3033751332786069E-4</v>
      </c>
      <c r="AV61" s="262">
        <f>+'WICHE Public Grads-RE PROJ'!CL64/'WICHE Public Grads-RE PROJ'!G64</f>
        <v>7.903176893316302E-4</v>
      </c>
      <c r="AW61" s="267">
        <f>+'WICHE Public Grads-RE PROJ'!CM64/'WICHE Public Grads-RE PROJ'!H64</f>
        <v>7.7534056383487052E-4</v>
      </c>
      <c r="AX61" s="267">
        <f>+'WICHE Public Grads-RE PROJ'!CN64/'WICHE Public Grads-RE PROJ'!I64</f>
        <v>9.0560409119965911E-4</v>
      </c>
      <c r="AY61" s="267">
        <f>+'WICHE Public Grads-RE PROJ'!CO64/'WICHE Public Grads-RE PROJ'!J64</f>
        <v>5.879307470230521E-4</v>
      </c>
      <c r="AZ61" s="267">
        <f>+'WICHE Public Grads-RE PROJ'!CP64/'WICHE Public Grads-RE PROJ'!K64</f>
        <v>5.4178754937257506E-4</v>
      </c>
      <c r="BA61" s="262">
        <f>+'WICHE Public Grads-RE PROJ'!CQ64/'WICHE Public Grads-RE PROJ'!L64</f>
        <v>8.8739636167491716E-4</v>
      </c>
      <c r="BB61" s="267">
        <f>+'WICHE Public Grads-RE PROJ'!CR64/'WICHE Public Grads-RE PROJ'!M64</f>
        <v>8.754888145881451E-4</v>
      </c>
      <c r="BC61" s="267">
        <f>+'WICHE Public Grads-RE PROJ'!CS64/'WICHE Public Grads-RE PROJ'!N64</f>
        <v>8.0988710173801777E-4</v>
      </c>
      <c r="BD61" s="267">
        <f>+'WICHE Public Grads-RE PROJ'!CT64/'WICHE Public Grads-RE PROJ'!O64</f>
        <v>9.1376905689414709E-4</v>
      </c>
      <c r="BE61" s="267">
        <f>+'WICHE Public Grads-RE PROJ'!CU64/'WICHE Public Grads-RE PROJ'!P64</f>
        <v>9.7094276174011893E-4</v>
      </c>
      <c r="BF61" s="267">
        <f>+'WICHE Public Grads-RE PROJ'!CV64/'WICHE Public Grads-RE PROJ'!Q64</f>
        <v>1.0264146248532306E-3</v>
      </c>
      <c r="BG61" s="267">
        <f>+'WICHE Public Grads-RE PROJ'!CW64/'WICHE Public Grads-RE PROJ'!R64</f>
        <v>1.1205083731139387E-3</v>
      </c>
      <c r="BH61" s="267">
        <f>+'WICHE Public Grads-RE PROJ'!CX64/'WICHE Public Grads-RE PROJ'!S64</f>
        <v>1.2934531371978754E-3</v>
      </c>
      <c r="BI61" s="267">
        <f>+'WICHE Public Grads-RE PROJ'!CY64/'WICHE Public Grads-RE PROJ'!T64</f>
        <v>1.509353417389581E-3</v>
      </c>
      <c r="BJ61" s="267">
        <f>+'WICHE Public Grads-RE PROJ'!CZ64/'WICHE Public Grads-RE PROJ'!U64</f>
        <v>1.352530038915168E-3</v>
      </c>
      <c r="BK61" s="267">
        <f>+'WICHE Public Grads-RE PROJ'!DA64/'WICHE Public Grads-RE PROJ'!V64</f>
        <v>1.539589092468058E-3</v>
      </c>
      <c r="BL61" s="267">
        <f>+'WICHE Public Grads-RE PROJ'!DB64/'WICHE Public Grads-RE PROJ'!W64</f>
        <v>1.2733002579199131E-3</v>
      </c>
      <c r="BM61" s="268">
        <f>+'WICHE Public Grads-RE PROJ'!DC64/'WICHE Public Grads-RE PROJ'!Y64</f>
        <v>1.2501017617925108E-3</v>
      </c>
      <c r="BN61" s="268">
        <f>+'WICHE Public Grads-RE PROJ'!DD64/'WICHE Public Grads-RE PROJ'!Z64</f>
        <v>1.2364565910148015E-3</v>
      </c>
      <c r="BO61" s="268">
        <f>+'WICHE Public Grads-RE PROJ'!DE64/'WICHE Public Grads-RE PROJ'!AA64</f>
        <v>1.1527114740032143E-3</v>
      </c>
      <c r="BP61" s="268">
        <f>+'WICHE Public Grads-RE PROJ'!DF64/'WICHE Public Grads-RE PROJ'!AB64</f>
        <v>1.2850579026786363E-3</v>
      </c>
      <c r="BQ61" s="266">
        <f>+'WICHE Public Grads-RE PROJ'!DG64/'WICHE Public Grads-RE PROJ'!AC64</f>
        <v>1.1287852132027027E-3</v>
      </c>
      <c r="BR61" s="266">
        <f>+'WICHE Public Grads-RE PROJ'!DH64/'WICHE Public Grads-RE PROJ'!AD64</f>
        <v>1.2037631861261306E-3</v>
      </c>
      <c r="BS61" s="266">
        <f>+'WICHE Public Grads-RE PROJ'!DI64/'WICHE Public Grads-RE PROJ'!AE64</f>
        <v>1.3167616682079634E-3</v>
      </c>
      <c r="BT61" s="266">
        <f>+'WICHE Public Grads-RE PROJ'!DJ64/'WICHE Public Grads-RE PROJ'!AF64</f>
        <v>1.216993688248855E-3</v>
      </c>
      <c r="BU61" s="266">
        <f>+'WICHE Public Grads-RE PROJ'!DK64/'WICHE Public Grads-RE PROJ'!AG64</f>
        <v>1.1418815219019635E-3</v>
      </c>
      <c r="BV61" s="268">
        <f>+'WICHE Public Grads-RE PROJ'!DL64/'WICHE Public Grads-RE PROJ'!AH64</f>
        <v>1.3757349158435813E-3</v>
      </c>
      <c r="BW61" s="266">
        <f>+'WICHE Public Grads-RE PROJ'!DM64/'WICHE Public Grads-RE PROJ'!AI64</f>
        <v>1.0780597052605623E-3</v>
      </c>
      <c r="BX61" s="266">
        <f>+'WICHE Public Grads-RE PROJ'!DN64/'WICHE Public Grads-RE PROJ'!AJ64</f>
        <v>1.1365141440901636E-3</v>
      </c>
      <c r="BY61" s="266">
        <f>+'WICHE Public Grads-RE PROJ'!DO64/'WICHE Public Grads-RE PROJ'!AK64</f>
        <v>1.177504712781525E-3</v>
      </c>
      <c r="BZ61" s="266">
        <f>+'WICHE Public Grads-RE PROJ'!DP64/'WICHE Public Grads-RE PROJ'!AL64</f>
        <v>1.1344662162586551E-3</v>
      </c>
      <c r="CA61" s="266">
        <f>+'WICHE Public Grads-RE PROJ'!DQ64/'WICHE Public Grads-RE PROJ'!AM64</f>
        <v>1.0522928948480967E-3</v>
      </c>
      <c r="CB61" s="266">
        <f>+'WICHE Public Grads-RE PROJ'!DR64/'WICHE Public Grads-RE PROJ'!AN64</f>
        <v>1.019074790202654E-3</v>
      </c>
      <c r="CC61" s="266">
        <f>+'WICHE Public Grads-RE PROJ'!DS64/'WICHE Public Grads-RE PROJ'!AO64</f>
        <v>9.5556839526556058E-4</v>
      </c>
      <c r="CD61" s="266">
        <f>+'WICHE Public Grads-RE PROJ'!DT64/'WICHE Public Grads-RE PROJ'!AP64</f>
        <v>1.1216971011390779E-3</v>
      </c>
      <c r="CE61" s="282">
        <f>+'WICHE Public Grads-RE PROJ'!DU64/'WICHE Public Grads-RE PROJ'!AQ64</f>
        <v>9.2486641283198961E-4</v>
      </c>
      <c r="CF61" s="262">
        <f>+'WICHE Public Grads-RE PROJ'!DV64/'WICHE Public Grads-RE PROJ'!B64</f>
        <v>2.0176933221667099E-2</v>
      </c>
      <c r="CG61" s="262">
        <f>+'WICHE Public Grads-RE PROJ'!DW64/'WICHE Public Grads-RE PROJ'!C64</f>
        <v>2.0932362724774622E-2</v>
      </c>
      <c r="CH61" s="262">
        <f>+'WICHE Public Grads-RE PROJ'!DX64/'WICHE Public Grads-RE PROJ'!D64</f>
        <v>2.1410776986602327E-2</v>
      </c>
      <c r="CI61" s="262">
        <f>+'WICHE Public Grads-RE PROJ'!DY64/'WICHE Public Grads-RE PROJ'!E64</f>
        <v>2.1805926295777083E-2</v>
      </c>
      <c r="CJ61" s="262">
        <f>+'WICHE Public Grads-RE PROJ'!DZ64/'WICHE Public Grads-RE PROJ'!F64</f>
        <v>2.013568469820062E-2</v>
      </c>
      <c r="CK61" s="262">
        <f>+'WICHE Public Grads-RE PROJ'!EA64/'WICHE Public Grads-RE PROJ'!G64</f>
        <v>2.0796382918110222E-2</v>
      </c>
      <c r="CL61" s="267">
        <f>+'WICHE Public Grads-RE PROJ'!EB64/'WICHE Public Grads-RE PROJ'!H64</f>
        <v>2.0979273163299346E-2</v>
      </c>
      <c r="CM61" s="267">
        <f>+'WICHE Public Grads-RE PROJ'!EC64/'WICHE Public Grads-RE PROJ'!I64</f>
        <v>2.1166276013921442E-2</v>
      </c>
      <c r="CN61" s="267">
        <f>+'WICHE Public Grads-RE PROJ'!ED64/'WICHE Public Grads-RE PROJ'!J64</f>
        <v>2.1016330434629998E-2</v>
      </c>
      <c r="CO61" s="267">
        <f>+'WICHE Public Grads-RE PROJ'!EE64/'WICHE Public Grads-RE PROJ'!K64</f>
        <v>2.2431752245796778E-2</v>
      </c>
      <c r="CP61" s="262">
        <f>+'WICHE Public Grads-RE PROJ'!EF64/'WICHE Public Grads-RE PROJ'!L64</f>
        <v>2.345510383407428E-2</v>
      </c>
      <c r="CQ61" s="267">
        <f>+'WICHE Public Grads-RE PROJ'!EG64/'WICHE Public Grads-RE PROJ'!M64</f>
        <v>2.3254650513203204E-2</v>
      </c>
      <c r="CR61" s="267">
        <f>+'WICHE Public Grads-RE PROJ'!EH64/'WICHE Public Grads-RE PROJ'!N64</f>
        <v>2.3907867243306284E-2</v>
      </c>
      <c r="CS61" s="267">
        <f>+'WICHE Public Grads-RE PROJ'!EI64/'WICHE Public Grads-RE PROJ'!O64</f>
        <v>2.5160711136760768E-2</v>
      </c>
      <c r="CT61" s="267">
        <f>+'WICHE Public Grads-RE PROJ'!EJ64/'WICHE Public Grads-RE PROJ'!P64</f>
        <v>2.4912970374405003E-2</v>
      </c>
      <c r="CU61" s="267">
        <f>+'WICHE Public Grads-RE PROJ'!EK64/'WICHE Public Grads-RE PROJ'!Q64</f>
        <v>2.4672830338328032E-2</v>
      </c>
      <c r="CV61" s="267">
        <f>+'WICHE Public Grads-RE PROJ'!EL64/'WICHE Public Grads-RE PROJ'!R64</f>
        <v>2.63933444872523E-2</v>
      </c>
      <c r="CW61" s="267">
        <f>+'WICHE Public Grads-RE PROJ'!EM64/'WICHE Public Grads-RE PROJ'!S64</f>
        <v>2.6236434049197142E-2</v>
      </c>
      <c r="CX61" s="267">
        <f>+'WICHE Public Grads-RE PROJ'!EN64/'WICHE Public Grads-RE PROJ'!T64</f>
        <v>2.690917961305667E-2</v>
      </c>
      <c r="CY61" s="267">
        <f>+'WICHE Public Grads-RE PROJ'!EO64/'WICHE Public Grads-RE PROJ'!U64</f>
        <v>2.9251925245219225E-2</v>
      </c>
      <c r="CZ61" s="267">
        <f>+'WICHE Public Grads-RE PROJ'!EP64/'WICHE Public Grads-RE PROJ'!V64</f>
        <v>3.1336770140269886E-2</v>
      </c>
      <c r="DA61" s="267">
        <f>+'WICHE Public Grads-RE PROJ'!EQ64/'WICHE Public Grads-RE PROJ'!W64</f>
        <v>3.4523277337299804E-2</v>
      </c>
      <c r="DB61" s="268">
        <f>+'WICHE Public Grads-RE PROJ'!ER64/'WICHE Public Grads-RE PROJ'!Y64</f>
        <v>3.5194181252354725E-2</v>
      </c>
      <c r="DC61" s="268">
        <f>+'WICHE Public Grads-RE PROJ'!ES64/'WICHE Public Grads-RE PROJ'!Z64</f>
        <v>3.7471577221987004E-2</v>
      </c>
      <c r="DD61" s="268">
        <f>+'WICHE Public Grads-RE PROJ'!ET64/'WICHE Public Grads-RE PROJ'!AA64</f>
        <v>3.9180176291701577E-2</v>
      </c>
      <c r="DE61" s="268">
        <f>+'WICHE Public Grads-RE PROJ'!EU64/'WICHE Public Grads-RE PROJ'!AB64</f>
        <v>3.9366046743714335E-2</v>
      </c>
      <c r="DF61" s="266">
        <f>+'WICHE Public Grads-RE PROJ'!EV64/'WICHE Public Grads-RE PROJ'!AC64</f>
        <v>4.2338684706213603E-2</v>
      </c>
      <c r="DG61" s="266">
        <f>+'WICHE Public Grads-RE PROJ'!EW64/'WICHE Public Grads-RE PROJ'!AD64</f>
        <v>4.4353759786783138E-2</v>
      </c>
      <c r="DH61" s="266">
        <f>+'WICHE Public Grads-RE PROJ'!EX64/'WICHE Public Grads-RE PROJ'!AE64</f>
        <v>4.6192088838473609E-2</v>
      </c>
      <c r="DI61" s="266">
        <f>+'WICHE Public Grads-RE PROJ'!EY64/'WICHE Public Grads-RE PROJ'!AF64</f>
        <v>4.8181841659940314E-2</v>
      </c>
      <c r="DJ61" s="266">
        <f>+'WICHE Public Grads-RE PROJ'!EZ64/'WICHE Public Grads-RE PROJ'!AG64</f>
        <v>5.0326666782470213E-2</v>
      </c>
      <c r="DK61" s="268">
        <f>+'WICHE Public Grads-RE PROJ'!FA64/'WICHE Public Grads-RE PROJ'!AH64</f>
        <v>5.0225662638756038E-2</v>
      </c>
      <c r="DL61" s="266">
        <f>+'WICHE Public Grads-RE PROJ'!FB64/'WICHE Public Grads-RE PROJ'!AI64</f>
        <v>5.1148849881893103E-2</v>
      </c>
      <c r="DM61" s="266">
        <f>+'WICHE Public Grads-RE PROJ'!FC64/'WICHE Public Grads-RE PROJ'!AJ64</f>
        <v>5.2345650051907451E-2</v>
      </c>
      <c r="DN61" s="266">
        <f>+'WICHE Public Grads-RE PROJ'!FD64/'WICHE Public Grads-RE PROJ'!AK64</f>
        <v>5.2804172466825616E-2</v>
      </c>
      <c r="DO61" s="266">
        <f>+'WICHE Public Grads-RE PROJ'!FE64/'WICHE Public Grads-RE PROJ'!AL64</f>
        <v>5.5102485004844888E-2</v>
      </c>
      <c r="DP61" s="266">
        <f>+'WICHE Public Grads-RE PROJ'!FF64/'WICHE Public Grads-RE PROJ'!AM64</f>
        <v>5.5754667610580053E-2</v>
      </c>
      <c r="DQ61" s="266">
        <f>+'WICHE Public Grads-RE PROJ'!FG64/'WICHE Public Grads-RE PROJ'!AN64</f>
        <v>5.5241299738204429E-2</v>
      </c>
      <c r="DR61" s="266">
        <f>+'WICHE Public Grads-RE PROJ'!FH64/'WICHE Public Grads-RE PROJ'!AO64</f>
        <v>6.1680372827969454E-2</v>
      </c>
      <c r="DS61" s="266">
        <f>+'WICHE Public Grads-RE PROJ'!FI64/'WICHE Public Grads-RE PROJ'!AP64</f>
        <v>5.9050975148332151E-2</v>
      </c>
      <c r="DT61" s="282">
        <f>+'WICHE Public Grads-RE PROJ'!FJ64/'WICHE Public Grads-RE PROJ'!AQ64</f>
        <v>6.1413624603225359E-2</v>
      </c>
      <c r="DU61" s="262">
        <f>+'WICHE Public Grads-RE PROJ'!FK64/'WICHE Public Grads-RE PROJ'!B64</f>
        <v>8.9130832394759385E-2</v>
      </c>
      <c r="DV61" s="262">
        <f>+'WICHE Public Grads-RE PROJ'!FL64/'WICHE Public Grads-RE PROJ'!C64</f>
        <v>9.4431856529913705E-2</v>
      </c>
      <c r="DW61" s="262">
        <f>+'WICHE Public Grads-RE PROJ'!FM64/'WICHE Public Grads-RE PROJ'!D64</f>
        <v>9.5107789481943539E-2</v>
      </c>
      <c r="DX61" s="262">
        <f>+'WICHE Public Grads-RE PROJ'!FN64/'WICHE Public Grads-RE PROJ'!E64</f>
        <v>9.4674783477041849E-2</v>
      </c>
      <c r="DY61" s="262">
        <f>+'WICHE Public Grads-RE PROJ'!FO64/'WICHE Public Grads-RE PROJ'!F64</f>
        <v>9.9612194638661652E-2</v>
      </c>
      <c r="DZ61" s="262">
        <f>+'WICHE Public Grads-RE PROJ'!FP64/'WICHE Public Grads-RE PROJ'!G64</f>
        <v>9.9184870011119586E-2</v>
      </c>
      <c r="EA61" s="267">
        <f>+'WICHE Public Grads-RE PROJ'!FQ64/'WICHE Public Grads-RE PROJ'!H64</f>
        <v>9.7377365464888788E-2</v>
      </c>
      <c r="EB61" s="267">
        <f>+'WICHE Public Grads-RE PROJ'!FR64/'WICHE Public Grads-RE PROJ'!I64</f>
        <v>0.10205802968960864</v>
      </c>
      <c r="EC61" s="267">
        <f>+'WICHE Public Grads-RE PROJ'!FS64/'WICHE Public Grads-RE PROJ'!J64</f>
        <v>0.10278257969971656</v>
      </c>
      <c r="ED61" s="267">
        <f>+'WICHE Public Grads-RE PROJ'!FT64/'WICHE Public Grads-RE PROJ'!K64</f>
        <v>0.10411933307700375</v>
      </c>
      <c r="EE61" s="262">
        <f>+'WICHE Public Grads-RE PROJ'!FU64/'WICHE Public Grads-RE PROJ'!L64</f>
        <v>0.1013980842678545</v>
      </c>
      <c r="EF61" s="267">
        <f>+'WICHE Public Grads-RE PROJ'!FV64/'WICHE Public Grads-RE PROJ'!M64</f>
        <v>0.10958618562030467</v>
      </c>
      <c r="EG61" s="267">
        <f>+'WICHE Public Grads-RE PROJ'!FW64/'WICHE Public Grads-RE PROJ'!N64</f>
        <v>0.11583815216158867</v>
      </c>
      <c r="EH61" s="267">
        <f>+'WICHE Public Grads-RE PROJ'!FX64/'WICHE Public Grads-RE PROJ'!O64</f>
        <v>0.12512223665015471</v>
      </c>
      <c r="EI61" s="267">
        <f>+'WICHE Public Grads-RE PROJ'!FY64/'WICHE Public Grads-RE PROJ'!P64</f>
        <v>0.12285188781269488</v>
      </c>
      <c r="EJ61" s="267">
        <f>+'WICHE Public Grads-RE PROJ'!FZ64/'WICHE Public Grads-RE PROJ'!Q64</f>
        <v>0.12064259776210508</v>
      </c>
      <c r="EK61" s="267">
        <f>+'WICHE Public Grads-RE PROJ'!GA64/'WICHE Public Grads-RE PROJ'!R64</f>
        <v>0.12364733150163472</v>
      </c>
      <c r="EL61" s="267">
        <f>+'WICHE Public Grads-RE PROJ'!GB64/'WICHE Public Grads-RE PROJ'!S64</f>
        <v>0.12570221494282785</v>
      </c>
      <c r="EM61" s="267">
        <f>+'WICHE Public Grads-RE PROJ'!GC64/'WICHE Public Grads-RE PROJ'!T64</f>
        <v>0.13533106676220824</v>
      </c>
      <c r="EN61" s="267">
        <f>+'WICHE Public Grads-RE PROJ'!GD64/'WICHE Public Grads-RE PROJ'!U64</f>
        <v>0.1372407804059958</v>
      </c>
      <c r="EO61" s="267">
        <f>+'WICHE Public Grads-RE PROJ'!GE64/'WICHE Public Grads-RE PROJ'!V64</f>
        <v>0.14024731554392056</v>
      </c>
      <c r="EP61" s="267">
        <f>+'WICHE Public Grads-RE PROJ'!GF64/'WICHE Public Grads-RE PROJ'!W64</f>
        <v>0.13861756515526408</v>
      </c>
      <c r="EQ61" s="268">
        <f>+'WICHE Public Grads-RE PROJ'!GG64/'WICHE Public Grads-RE PROJ'!Y64</f>
        <v>0.13707005460178603</v>
      </c>
      <c r="ER61" s="268">
        <f>+'WICHE Public Grads-RE PROJ'!GH64/'WICHE Public Grads-RE PROJ'!Z64</f>
        <v>0.1406601069369523</v>
      </c>
      <c r="ES61" s="268">
        <f>+'WICHE Public Grads-RE PROJ'!GI64/'WICHE Public Grads-RE PROJ'!AA64</f>
        <v>0.13641197353662218</v>
      </c>
      <c r="ET61" s="268">
        <f>+'WICHE Public Grads-RE PROJ'!GJ64/'WICHE Public Grads-RE PROJ'!AB64</f>
        <v>0.13739099512555172</v>
      </c>
      <c r="EU61" s="266">
        <f>+'WICHE Public Grads-RE PROJ'!GK64/'WICHE Public Grads-RE PROJ'!AC64</f>
        <v>0.13845576150608876</v>
      </c>
      <c r="EV61" s="266">
        <f>+'WICHE Public Grads-RE PROJ'!GL64/'WICHE Public Grads-RE PROJ'!AD64</f>
        <v>0.1370177373001433</v>
      </c>
      <c r="EW61" s="266">
        <f>+'WICHE Public Grads-RE PROJ'!GM64/'WICHE Public Grads-RE PROJ'!AE64</f>
        <v>0.13939992620449987</v>
      </c>
      <c r="EX61" s="266">
        <f>+'WICHE Public Grads-RE PROJ'!GN64/'WICHE Public Grads-RE PROJ'!AF64</f>
        <v>0.13640354561297235</v>
      </c>
      <c r="EY61" s="266">
        <f>+'WICHE Public Grads-RE PROJ'!GO64/'WICHE Public Grads-RE PROJ'!AG64</f>
        <v>0.13440389432663066</v>
      </c>
      <c r="EZ61" s="268">
        <f>+'WICHE Public Grads-RE PROJ'!GP64/'WICHE Public Grads-RE PROJ'!AH64</f>
        <v>0.1371721291619947</v>
      </c>
      <c r="FA61" s="266">
        <f>+'WICHE Public Grads-RE PROJ'!GQ64/'WICHE Public Grads-RE PROJ'!AI64</f>
        <v>0.1376131951105565</v>
      </c>
      <c r="FB61" s="266">
        <f>+'WICHE Public Grads-RE PROJ'!GR64/'WICHE Public Grads-RE PROJ'!AJ64</f>
        <v>0.14184420907919743</v>
      </c>
      <c r="FC61" s="266">
        <f>+'WICHE Public Grads-RE PROJ'!GS64/'WICHE Public Grads-RE PROJ'!AK64</f>
        <v>0.14684526111272572</v>
      </c>
      <c r="FD61" s="266">
        <f>+'WICHE Public Grads-RE PROJ'!GT64/'WICHE Public Grads-RE PROJ'!AL64</f>
        <v>0.14724921823259182</v>
      </c>
      <c r="FE61" s="266">
        <f>+'WICHE Public Grads-RE PROJ'!GU64/'WICHE Public Grads-RE PROJ'!AM64</f>
        <v>0.1470660233571584</v>
      </c>
      <c r="FF61" s="266">
        <f>+'WICHE Public Grads-RE PROJ'!GV64/'WICHE Public Grads-RE PROJ'!AN64</f>
        <v>0.14133978130030092</v>
      </c>
      <c r="FG61" s="266">
        <f>+'WICHE Public Grads-RE PROJ'!GW64/'WICHE Public Grads-RE PROJ'!AO64</f>
        <v>0.143488079559521</v>
      </c>
      <c r="FH61" s="266">
        <f>+'WICHE Public Grads-RE PROJ'!GX64/'WICHE Public Grads-RE PROJ'!AP64</f>
        <v>0.14124239163356972</v>
      </c>
      <c r="FI61" s="282">
        <f>+'WICHE Public Grads-RE PROJ'!GY64/'WICHE Public Grads-RE PROJ'!AQ64</f>
        <v>0.13674362331327988</v>
      </c>
      <c r="FJ61" s="262">
        <f>+'WICHE Public Grads-RE PROJ'!GZ64/'WICHE Public Grads-RE PROJ'!B64</f>
        <v>1.510382071793687E-2</v>
      </c>
      <c r="FK61" s="262">
        <f>+'WICHE Public Grads-RE PROJ'!HA64/'WICHE Public Grads-RE PROJ'!C64</f>
        <v>1.7210625271175818E-2</v>
      </c>
      <c r="FL61" s="262">
        <f>+'WICHE Public Grads-RE PROJ'!HB64/'WICHE Public Grads-RE PROJ'!D64</f>
        <v>1.7919143176602131E-2</v>
      </c>
      <c r="FM61" s="262">
        <f>+'WICHE Public Grads-RE PROJ'!HC64/'WICHE Public Grads-RE PROJ'!E64</f>
        <v>1.8877345265300636E-2</v>
      </c>
      <c r="FN61" s="262">
        <f>+'WICHE Public Grads-RE PROJ'!HD64/'WICHE Public Grads-RE PROJ'!F64</f>
        <v>1.9956407280550287E-2</v>
      </c>
      <c r="FO61" s="262">
        <f>+'WICHE Public Grads-RE PROJ'!HE64/'WICHE Public Grads-RE PROJ'!G64</f>
        <v>2.0290947186560923E-2</v>
      </c>
      <c r="FP61" s="267">
        <f>+'WICHE Public Grads-RE PROJ'!HF64/'WICHE Public Grads-RE PROJ'!H64</f>
        <v>2.359379366925414E-2</v>
      </c>
      <c r="FQ61" s="267">
        <f>+'WICHE Public Grads-RE PROJ'!HG64/'WICHE Public Grads-RE PROJ'!I64</f>
        <v>2.3936359116414518E-2</v>
      </c>
      <c r="FR61" s="267">
        <f>+'WICHE Public Grads-RE PROJ'!HH64/'WICHE Public Grads-RE PROJ'!J64</f>
        <v>2.4789617318509288E-2</v>
      </c>
      <c r="FS61" s="267">
        <f>+'WICHE Public Grads-RE PROJ'!HI64/'WICHE Public Grads-RE PROJ'!K64</f>
        <v>2.5874724736970882E-2</v>
      </c>
      <c r="FT61" s="262">
        <f>+'WICHE Public Grads-RE PROJ'!HJ64/'WICHE Public Grads-RE PROJ'!L64</f>
        <v>2.6908989673142342E-2</v>
      </c>
      <c r="FU61" s="267">
        <f>+'WICHE Public Grads-RE PROJ'!HK64/'WICHE Public Grads-RE PROJ'!M64</f>
        <v>2.9733267741155478E-2</v>
      </c>
      <c r="FV61" s="267">
        <f>+'WICHE Public Grads-RE PROJ'!HL64/'WICHE Public Grads-RE PROJ'!N64</f>
        <v>3.3480732785849655E-2</v>
      </c>
      <c r="FW61" s="267">
        <f>+'WICHE Public Grads-RE PROJ'!HM64/'WICHE Public Grads-RE PROJ'!O64</f>
        <v>3.6951538177912441E-2</v>
      </c>
      <c r="FX61" s="267">
        <f>+'WICHE Public Grads-RE PROJ'!HN64/'WICHE Public Grads-RE PROJ'!P64</f>
        <v>4.016387619295711E-2</v>
      </c>
      <c r="FY61" s="267">
        <f>+'WICHE Public Grads-RE PROJ'!HO64/'WICHE Public Grads-RE PROJ'!Q64</f>
        <v>4.3280483347977884E-2</v>
      </c>
      <c r="FZ61" s="267">
        <f>+'WICHE Public Grads-RE PROJ'!HP64/'WICHE Public Grads-RE PROJ'!R64</f>
        <v>4.5879445578596752E-2</v>
      </c>
      <c r="GA61" s="267">
        <f>+'WICHE Public Grads-RE PROJ'!HQ64/'WICHE Public Grads-RE PROJ'!S64</f>
        <v>4.9817079704266097E-2</v>
      </c>
      <c r="GB61" s="267">
        <f>+'WICHE Public Grads-RE PROJ'!HR64/'WICHE Public Grads-RE PROJ'!T64</f>
        <v>5.3780244240825725E-2</v>
      </c>
      <c r="GC61" s="267">
        <f>+'WICHE Public Grads-RE PROJ'!HS64/'WICHE Public Grads-RE PROJ'!U64</f>
        <v>5.8963495133707897E-2</v>
      </c>
      <c r="GD61" s="267">
        <f>+'WICHE Public Grads-RE PROJ'!HT64/'WICHE Public Grads-RE PROJ'!V64</f>
        <v>6.3788116872765366E-2</v>
      </c>
      <c r="GE61" s="267">
        <f>+'WICHE Public Grads-RE PROJ'!HU64/'WICHE Public Grads-RE PROJ'!W64</f>
        <v>6.7084306155944434E-2</v>
      </c>
      <c r="GF61" s="268">
        <f>+'WICHE Public Grads-RE PROJ'!HV64/'WICHE Public Grads-RE PROJ'!Y64</f>
        <v>7.0304908081173859E-2</v>
      </c>
      <c r="GG61" s="268">
        <f>+'WICHE Public Grads-RE PROJ'!HW64/'WICHE Public Grads-RE PROJ'!Z64</f>
        <v>7.4065838695512004E-2</v>
      </c>
      <c r="GH61" s="268">
        <f>+'WICHE Public Grads-RE PROJ'!HX64/'WICHE Public Grads-RE PROJ'!AA64</f>
        <v>7.7031385548410602E-2</v>
      </c>
      <c r="GI61" s="268">
        <f>+'WICHE Public Grads-RE PROJ'!HY64/'WICHE Public Grads-RE PROJ'!AB64</f>
        <v>8.01868626148102E-2</v>
      </c>
      <c r="GJ61" s="266">
        <f>+'WICHE Public Grads-RE PROJ'!HZ64/'WICHE Public Grads-RE PROJ'!AC64</f>
        <v>8.1428020718292818E-2</v>
      </c>
      <c r="GK61" s="266">
        <f>+'WICHE Public Grads-RE PROJ'!IA64/'WICHE Public Grads-RE PROJ'!AD64</f>
        <v>8.8950614464187214E-2</v>
      </c>
      <c r="GL61" s="266">
        <f>+'WICHE Public Grads-RE PROJ'!IB64/'WICHE Public Grads-RE PROJ'!AE64</f>
        <v>9.1434048505886198E-2</v>
      </c>
      <c r="GM61" s="266">
        <f>+'WICHE Public Grads-RE PROJ'!IC64/'WICHE Public Grads-RE PROJ'!AF64</f>
        <v>9.4315642916881173E-2</v>
      </c>
      <c r="GN61" s="266">
        <f>+'WICHE Public Grads-RE PROJ'!ID64/'WICHE Public Grads-RE PROJ'!AG64</f>
        <v>0.10117665968758446</v>
      </c>
      <c r="GO61" s="268">
        <f>+'WICHE Public Grads-RE PROJ'!IE64/'WICHE Public Grads-RE PROJ'!AH64</f>
        <v>0.10559990401007036</v>
      </c>
      <c r="GP61" s="266">
        <f>+'WICHE Public Grads-RE PROJ'!IF64/'WICHE Public Grads-RE PROJ'!AI64</f>
        <v>0.11258117627593488</v>
      </c>
      <c r="GQ61" s="266">
        <f>+'WICHE Public Grads-RE PROJ'!IG64/'WICHE Public Grads-RE PROJ'!AJ64</f>
        <v>0.11851572052845263</v>
      </c>
      <c r="GR61" s="266">
        <f>+'WICHE Public Grads-RE PROJ'!IH64/'WICHE Public Grads-RE PROJ'!AK64</f>
        <v>0.11941307500232737</v>
      </c>
      <c r="GS61" s="266">
        <f>+'WICHE Public Grads-RE PROJ'!II64/'WICHE Public Grads-RE PROJ'!AL64</f>
        <v>0.12259706189838722</v>
      </c>
      <c r="GT61" s="266">
        <f>+'WICHE Public Grads-RE PROJ'!IJ64/'WICHE Public Grads-RE PROJ'!AM64</f>
        <v>0.12194544685451895</v>
      </c>
      <c r="GU61" s="266">
        <f>+'WICHE Public Grads-RE PROJ'!IK64/'WICHE Public Grads-RE PROJ'!AN64</f>
        <v>0.12622447568851303</v>
      </c>
      <c r="GV61" s="266">
        <f>+'WICHE Public Grads-RE PROJ'!IL64/'WICHE Public Grads-RE PROJ'!AO64</f>
        <v>0.12595410480275041</v>
      </c>
      <c r="GW61" s="266">
        <f>+'WICHE Public Grads-RE PROJ'!IM64/'WICHE Public Grads-RE PROJ'!AP64</f>
        <v>0.12813949341384356</v>
      </c>
      <c r="GX61" s="282">
        <f>+'WICHE Public Grads-RE PROJ'!IN64/'WICHE Public Grads-RE PROJ'!AQ64</f>
        <v>0.12985020713365211</v>
      </c>
      <c r="GY61" s="262">
        <f>+'WICHE Public Grads-RE PROJ'!IO64/'WICHE Public Grads-RE PROJ'!B64</f>
        <v>0.87465465292016831</v>
      </c>
      <c r="GZ61" s="262">
        <f>+'WICHE Public Grads-RE PROJ'!IP64/'WICHE Public Grads-RE PROJ'!C64</f>
        <v>0.86661524369666876</v>
      </c>
      <c r="HA61" s="262">
        <f>+'WICHE Public Grads-RE PROJ'!IQ64/'WICHE Public Grads-RE PROJ'!D64</f>
        <v>0.86485611722473965</v>
      </c>
      <c r="HB61" s="262">
        <f>+'WICHE Public Grads-RE PROJ'!IR64/'WICHE Public Grads-RE PROJ'!E64</f>
        <v>0.8641042382808749</v>
      </c>
      <c r="HC61" s="262">
        <f>+'WICHE Public Grads-RE PROJ'!IS64/'WICHE Public Grads-RE PROJ'!F64</f>
        <v>0.85946537586925953</v>
      </c>
      <c r="HD61" s="262">
        <f>+'WICHE Public Grads-RE PROJ'!IT64/'WICHE Public Grads-RE PROJ'!G64</f>
        <v>0.85893748219487764</v>
      </c>
      <c r="HE61" s="267">
        <f>+'WICHE Public Grads-RE PROJ'!IU64/'WICHE Public Grads-RE PROJ'!H64</f>
        <v>0.85727422713872281</v>
      </c>
      <c r="HF61" s="267">
        <f>+'WICHE Public Grads-RE PROJ'!IV64/'WICHE Public Grads-RE PROJ'!I64</f>
        <v>0.85193373108885573</v>
      </c>
      <c r="HG61" s="267">
        <f>+'WICHE Public Grads-RE PROJ'!IW64/'WICHE Public Grads-RE PROJ'!J64</f>
        <v>0.8508235418001211</v>
      </c>
      <c r="HH61" s="267">
        <f>+'WICHE Public Grads-RE PROJ'!IX64/'WICHE Public Grads-RE PROJ'!K64</f>
        <v>0.84703240239085598</v>
      </c>
      <c r="HI61" s="262">
        <f>+'WICHE Public Grads-RE PROJ'!IY64/'WICHE Public Grads-RE PROJ'!L64</f>
        <v>0.84735042586325393</v>
      </c>
      <c r="HJ61" s="267">
        <f>+'WICHE Public Grads-RE PROJ'!IZ64/'WICHE Public Grads-RE PROJ'!M64</f>
        <v>0.83655040731074848</v>
      </c>
      <c r="HK61" s="267">
        <f>+'WICHE Public Grads-RE PROJ'!JA64/'WICHE Public Grads-RE PROJ'!N64</f>
        <v>0.82599575619158694</v>
      </c>
      <c r="HL61" s="267">
        <f>+'WICHE Public Grads-RE PROJ'!JB64/'WICHE Public Grads-RE PROJ'!O64</f>
        <v>0.81185174497827794</v>
      </c>
      <c r="HM61" s="267">
        <f>+'WICHE Public Grads-RE PROJ'!JC64/'WICHE Public Grads-RE PROJ'!P64</f>
        <v>0.81110032285820288</v>
      </c>
      <c r="HN61" s="267">
        <f>+'WICHE Public Grads-RE PROJ'!JD64/'WICHE Public Grads-RE PROJ'!Q64</f>
        <v>0.81037767392673576</v>
      </c>
      <c r="HO61" s="267">
        <f>+'WICHE Public Grads-RE PROJ'!JE64/'WICHE Public Grads-RE PROJ'!R64</f>
        <v>0.80089487175551433</v>
      </c>
      <c r="HP61" s="267">
        <f>+'WICHE Public Grads-RE PROJ'!JF64/'WICHE Public Grads-RE PROJ'!S64</f>
        <v>0.79376693352110084</v>
      </c>
      <c r="HQ61" s="267">
        <f>+'WICHE Public Grads-RE PROJ'!JG64/'WICHE Public Grads-RE PROJ'!T64</f>
        <v>0.77798021069963863</v>
      </c>
      <c r="HR61" s="267">
        <f>+'WICHE Public Grads-RE PROJ'!JH64/'WICHE Public Grads-RE PROJ'!U64</f>
        <v>0.77319126917616188</v>
      </c>
      <c r="HS61" s="267">
        <f>+'WICHE Public Grads-RE PROJ'!JI64/'WICHE Public Grads-RE PROJ'!V64</f>
        <v>0.76308820835057611</v>
      </c>
      <c r="HT61" s="267">
        <f>+'WICHE Public Grads-RE PROJ'!JJ64/'WICHE Public Grads-RE PROJ'!W64</f>
        <v>0.75850155109357176</v>
      </c>
      <c r="HU61" s="268">
        <f>+'WICHE Public Grads-RE PROJ'!JK64/'WICHE Public Grads-RE PROJ'!Y64</f>
        <v>0.75586426823722508</v>
      </c>
      <c r="HV61" s="268">
        <f>+'WICHE Public Grads-RE PROJ'!JL64/'WICHE Public Grads-RE PROJ'!Z64</f>
        <v>0.74646038050283769</v>
      </c>
      <c r="HW61" s="268">
        <f>+'WICHE Public Grads-RE PROJ'!JM64/'WICHE Public Grads-RE PROJ'!AA64</f>
        <v>0.74706372033387158</v>
      </c>
      <c r="HX61" s="268">
        <f>+'WICHE Public Grads-RE PROJ'!JN64/'WICHE Public Grads-RE PROJ'!AB64</f>
        <v>0.7429153005506548</v>
      </c>
      <c r="HY61" s="266">
        <f>+'WICHE Public Grads-RE PROJ'!JO64/'WICHE Public Grads-RE PROJ'!AC64</f>
        <v>0.73961914631082015</v>
      </c>
      <c r="HZ61" s="266">
        <f>+'WICHE Public Grads-RE PROJ'!JP64/'WICHE Public Grads-RE PROJ'!AD64</f>
        <v>0.73267995567341004</v>
      </c>
      <c r="IA61" s="266">
        <f>+'WICHE Public Grads-RE PROJ'!JQ64/'WICHE Public Grads-RE PROJ'!AE64</f>
        <v>0.72711091704040842</v>
      </c>
      <c r="IB61" s="266">
        <f>+'WICHE Public Grads-RE PROJ'!JR64/'WICHE Public Grads-RE PROJ'!AF64</f>
        <v>0.72751757217616453</v>
      </c>
      <c r="IC61" s="266">
        <f>+'WICHE Public Grads-RE PROJ'!JS64/'WICHE Public Grads-RE PROJ'!AG64</f>
        <v>0.72302065453001829</v>
      </c>
      <c r="ID61" s="268">
        <f>+'WICHE Public Grads-RE PROJ'!JT64/'WICHE Public Grads-RE PROJ'!AH64</f>
        <v>0.71697736974743431</v>
      </c>
      <c r="IE61" s="266">
        <f>+'WICHE Public Grads-RE PROJ'!JU64/'WICHE Public Grads-RE PROJ'!AI64</f>
        <v>0.71149071622869697</v>
      </c>
      <c r="IF61" s="266">
        <f>+'WICHE Public Grads-RE PROJ'!JV64/'WICHE Public Grads-RE PROJ'!AJ64</f>
        <v>0.70349619799710283</v>
      </c>
      <c r="IG61" s="266">
        <f>+'WICHE Public Grads-RE PROJ'!JW64/'WICHE Public Grads-RE PROJ'!AK64</f>
        <v>0.69631521731855039</v>
      </c>
      <c r="IH61" s="266">
        <f>+'WICHE Public Grads-RE PROJ'!JX64/'WICHE Public Grads-RE PROJ'!AL64</f>
        <v>0.69156953345215399</v>
      </c>
      <c r="II61" s="266">
        <f>+'WICHE Public Grads-RE PROJ'!JY64/'WICHE Public Grads-RE PROJ'!AM64</f>
        <v>0.69195195781723184</v>
      </c>
      <c r="IJ61" s="266">
        <f>+'WICHE Public Grads-RE PROJ'!JZ64/'WICHE Public Grads-RE PROJ'!AN64</f>
        <v>0.68697324521511272</v>
      </c>
      <c r="IK61" s="266">
        <f>+'WICHE Public Grads-RE PROJ'!KA64/'WICHE Public Grads-RE PROJ'!AO64</f>
        <v>0.68128481738919788</v>
      </c>
      <c r="IL61" s="266">
        <f>+'WICHE Public Grads-RE PROJ'!KB64/'WICHE Public Grads-RE PROJ'!AP64</f>
        <v>0.6833674704132422</v>
      </c>
      <c r="IM61" s="282">
        <f>+'WICHE Public Grads-RE PROJ'!KC64/'WICHE Public Grads-RE PROJ'!AQ64</f>
        <v>0.68077374828017223</v>
      </c>
      <c r="IN61" s="278">
        <f t="shared" si="120"/>
        <v>1</v>
      </c>
      <c r="IO61" s="278">
        <f t="shared" si="121"/>
        <v>1</v>
      </c>
      <c r="IP61" s="278">
        <f t="shared" si="122"/>
        <v>1</v>
      </c>
      <c r="IQ61" s="278">
        <f t="shared" si="123"/>
        <v>1</v>
      </c>
      <c r="IR61" s="278">
        <f t="shared" si="124"/>
        <v>1</v>
      </c>
      <c r="IS61" s="278">
        <f t="shared" si="125"/>
        <v>1</v>
      </c>
      <c r="IT61" s="278">
        <f t="shared" si="126"/>
        <v>1</v>
      </c>
      <c r="IU61" s="278">
        <f t="shared" si="127"/>
        <v>1</v>
      </c>
      <c r="IV61" s="278">
        <f t="shared" si="128"/>
        <v>1</v>
      </c>
      <c r="IW61" s="278">
        <f t="shared" si="129"/>
        <v>1</v>
      </c>
      <c r="IX61" s="278">
        <f t="shared" si="130"/>
        <v>1</v>
      </c>
      <c r="IY61" s="278">
        <f t="shared" si="131"/>
        <v>1</v>
      </c>
      <c r="IZ61" s="278">
        <f t="shared" si="132"/>
        <v>1.0000323954840695</v>
      </c>
      <c r="JA61" s="278">
        <f t="shared" si="133"/>
        <v>1</v>
      </c>
      <c r="JB61" s="278">
        <f t="shared" si="134"/>
        <v>1</v>
      </c>
      <c r="JC61" s="278">
        <f t="shared" si="135"/>
        <v>1</v>
      </c>
      <c r="JD61" s="278">
        <f t="shared" si="136"/>
        <v>0.997935501696112</v>
      </c>
      <c r="JE61" s="278">
        <f t="shared" si="137"/>
        <v>0.9968161153545898</v>
      </c>
      <c r="JF61" s="278">
        <f t="shared" si="138"/>
        <v>0.99551005473311882</v>
      </c>
      <c r="JG61" s="278">
        <f t="shared" si="139"/>
        <v>1</v>
      </c>
      <c r="JH61" s="278">
        <f t="shared" si="140"/>
        <v>1</v>
      </c>
      <c r="JI61" s="278">
        <f t="shared" si="141"/>
        <v>1</v>
      </c>
      <c r="JJ61" s="278">
        <f t="shared" si="142"/>
        <v>0.99968351393433219</v>
      </c>
      <c r="JK61" s="278">
        <f t="shared" si="143"/>
        <v>0.99989435994830378</v>
      </c>
      <c r="JL61" s="278">
        <f t="shared" si="144"/>
        <v>1.0008399671846091</v>
      </c>
      <c r="JM61" s="278">
        <f t="shared" si="145"/>
        <v>1.0011442629374097</v>
      </c>
      <c r="JN61" s="278">
        <f t="shared" si="146"/>
        <v>1.0029703984546181</v>
      </c>
      <c r="JO61" s="278">
        <f t="shared" si="147"/>
        <v>1.0042058304106498</v>
      </c>
      <c r="JP61" s="278">
        <f t="shared" si="148"/>
        <v>1.0054537422574761</v>
      </c>
      <c r="JQ61" s="278">
        <f t="shared" si="149"/>
        <v>1.0076355960542072</v>
      </c>
      <c r="JR61" s="278">
        <f t="shared" si="150"/>
        <v>1.0100697568486057</v>
      </c>
      <c r="JS61" s="278">
        <f t="shared" si="151"/>
        <v>1.011350800474099</v>
      </c>
      <c r="JT61" s="278">
        <f t="shared" si="152"/>
        <v>1.013911997202342</v>
      </c>
      <c r="JU61" s="278">
        <f t="shared" si="153"/>
        <v>1.0173382918007505</v>
      </c>
      <c r="JV61" s="278">
        <f t="shared" si="154"/>
        <v>1.0165552306132106</v>
      </c>
      <c r="JW61" s="278">
        <f t="shared" si="155"/>
        <v>1.0176527648042366</v>
      </c>
      <c r="JX61" s="278">
        <f t="shared" si="156"/>
        <v>1.0177703885343374</v>
      </c>
      <c r="JY61" s="278">
        <f t="shared" si="157"/>
        <v>1.0107978767323338</v>
      </c>
      <c r="JZ61" s="278">
        <f t="shared" si="157"/>
        <v>1.0133629429747044</v>
      </c>
      <c r="KA61" s="278">
        <f t="shared" si="157"/>
        <v>1.0129220277101267</v>
      </c>
      <c r="KB61" s="278">
        <f t="shared" si="157"/>
        <v>1.0097060697431615</v>
      </c>
    </row>
    <row r="62" spans="1:288" s="17" customFormat="1">
      <c r="A62" s="175" t="s">
        <v>85</v>
      </c>
      <c r="B62" s="262">
        <f>+'WICHE Public Grads-RE PROJ'!AR65/'WICHE Public Grads-RE PROJ'!B65</f>
        <v>3.1776265753623634E-2</v>
      </c>
      <c r="C62" s="262">
        <f>+'WICHE Public Grads-RE PROJ'!AS65/'WICHE Public Grads-RE PROJ'!C65</f>
        <v>3.0628272251308899E-2</v>
      </c>
      <c r="D62" s="262">
        <f>+'WICHE Public Grads-RE PROJ'!AT65/'WICHE Public Grads-RE PROJ'!D65</f>
        <v>2.7516778523489934E-2</v>
      </c>
      <c r="E62" s="262">
        <f>+'WICHE Public Grads-RE PROJ'!AU65/'WICHE Public Grads-RE PROJ'!E65</f>
        <v>3.7183746486072068E-2</v>
      </c>
      <c r="F62" s="262">
        <f>+'WICHE Public Grads-RE PROJ'!AV65/'WICHE Public Grads-RE PROJ'!F65</f>
        <v>2.7831967746130837E-2</v>
      </c>
      <c r="G62" s="262">
        <f>+'WICHE Public Grads-RE PROJ'!AW65/'WICHE Public Grads-RE PROJ'!G65</f>
        <v>3.5414012738853501E-2</v>
      </c>
      <c r="H62" s="267">
        <f>+'WICHE Public Grads-RE PROJ'!AX65/'WICHE Public Grads-RE PROJ'!H65</f>
        <v>3.5670052018825858E-2</v>
      </c>
      <c r="I62" s="267">
        <f>+'WICHE Public Grads-RE PROJ'!AY65/'WICHE Public Grads-RE PROJ'!I65</f>
        <v>3.5823450299547623E-2</v>
      </c>
      <c r="J62" s="267">
        <f>+'WICHE Public Grads-RE PROJ'!AZ65/'WICHE Public Grads-RE PROJ'!J65</f>
        <v>3.6097676064645513E-2</v>
      </c>
      <c r="K62" s="267">
        <f>+'WICHE Public Grads-RE PROJ'!BA65/'WICHE Public Grads-RE PROJ'!K65</f>
        <v>3.6150180169708244E-2</v>
      </c>
      <c r="L62" s="262">
        <f>+'WICHE Public Grads-RE PROJ'!BB65/'WICHE Public Grads-RE PROJ'!L65</f>
        <v>3.9973351099267154E-2</v>
      </c>
      <c r="M62" s="267">
        <f>+'WICHE Public Grads-RE PROJ'!BC65/'WICHE Public Grads-RE PROJ'!M65</f>
        <v>3.8098304357158191E-2</v>
      </c>
      <c r="N62" s="267">
        <f>+'WICHE Public Grads-RE PROJ'!BD65/'WICHE Public Grads-RE PROJ'!N65</f>
        <v>3.5968891769280621E-2</v>
      </c>
      <c r="O62" s="267">
        <f>+'WICHE Public Grads-RE PROJ'!BE65/'WICHE Public Grads-RE PROJ'!O65</f>
        <v>3.623115069324967E-2</v>
      </c>
      <c r="P62" s="267">
        <f>+'WICHE Public Grads-RE PROJ'!BF65/'WICHE Public Grads-RE PROJ'!P65</f>
        <v>3.2746339533043137E-2</v>
      </c>
      <c r="Q62" s="267">
        <f>+'WICHE Public Grads-RE PROJ'!BG65/'WICHE Public Grads-RE PROJ'!Q65</f>
        <v>3.5150231124807398E-2</v>
      </c>
      <c r="R62" s="267">
        <f>+'WICHE Public Grads-RE PROJ'!BH65/'WICHE Public Grads-RE PROJ'!R65</f>
        <v>3.6532328211075674E-2</v>
      </c>
      <c r="S62" s="267">
        <f>+'WICHE Public Grads-RE PROJ'!BI65/'WICHE Public Grads-RE PROJ'!S65</f>
        <v>3.4802552852014362E-2</v>
      </c>
      <c r="T62" s="267">
        <f>+'WICHE Public Grads-RE PROJ'!BJ65/'WICHE Public Grads-RE PROJ'!T65</f>
        <v>4.0169559951554301E-2</v>
      </c>
      <c r="U62" s="267">
        <f>+'WICHE Public Grads-RE PROJ'!BK65/'WICHE Public Grads-RE PROJ'!U65</f>
        <v>3.4338023166490525E-2</v>
      </c>
      <c r="V62" s="267">
        <f>+'WICHE Public Grads-RE PROJ'!BL65/'WICHE Public Grads-RE PROJ'!V65</f>
        <v>3.5982447106843535E-2</v>
      </c>
      <c r="W62" s="267">
        <f>+'WICHE Public Grads-RE PROJ'!BM65/'WICHE Public Grads-RE PROJ'!W65</f>
        <v>3.5552786903323141E-2</v>
      </c>
      <c r="X62" s="268">
        <f>+'WICHE Public Grads-RE PROJ'!BN65/'WICHE Public Grads-RE PROJ'!Y65</f>
        <v>3.5876613605609578E-2</v>
      </c>
      <c r="Y62" s="268">
        <f>+'WICHE Public Grads-RE PROJ'!BO65/'WICHE Public Grads-RE PROJ'!Z65</f>
        <v>4.1934250758057477E-2</v>
      </c>
      <c r="Z62" s="268">
        <f>+'WICHE Public Grads-RE PROJ'!BP65/'WICHE Public Grads-RE PROJ'!AA65</f>
        <v>3.7907328636391568E-2</v>
      </c>
      <c r="AA62" s="268">
        <f>+'WICHE Public Grads-RE PROJ'!BQ65/'WICHE Public Grads-RE PROJ'!AB65</f>
        <v>3.6296710166041947E-2</v>
      </c>
      <c r="AB62" s="266">
        <f>+'WICHE Public Grads-RE PROJ'!BR65/'WICHE Public Grads-RE PROJ'!AC65</f>
        <v>3.5185953827356078E-2</v>
      </c>
      <c r="AC62" s="266">
        <f>+'WICHE Public Grads-RE PROJ'!BS65/'WICHE Public Grads-RE PROJ'!AD65</f>
        <v>3.7027112637665602E-2</v>
      </c>
      <c r="AD62" s="266">
        <f>+'WICHE Public Grads-RE PROJ'!BT65/'WICHE Public Grads-RE PROJ'!AE65</f>
        <v>3.8786018090839765E-2</v>
      </c>
      <c r="AE62" s="266">
        <f>+'WICHE Public Grads-RE PROJ'!BU65/'WICHE Public Grads-RE PROJ'!AF65</f>
        <v>3.4603056767250839E-2</v>
      </c>
      <c r="AF62" s="266">
        <f>+'WICHE Public Grads-RE PROJ'!BV65/'WICHE Public Grads-RE PROJ'!AG65</f>
        <v>3.9716753863911686E-2</v>
      </c>
      <c r="AG62" s="268">
        <f>+'WICHE Public Grads-RE PROJ'!BW65/'WICHE Public Grads-RE PROJ'!AH65</f>
        <v>3.5583107358874828E-2</v>
      </c>
      <c r="AH62" s="266">
        <f>+'WICHE Public Grads-RE PROJ'!BX65/'WICHE Public Grads-RE PROJ'!AI65</f>
        <v>3.6074033323988605E-2</v>
      </c>
      <c r="AI62" s="266">
        <f>+'WICHE Public Grads-RE PROJ'!BY65/'WICHE Public Grads-RE PROJ'!AJ65</f>
        <v>3.5970522082885696E-2</v>
      </c>
      <c r="AJ62" s="266">
        <f>+'WICHE Public Grads-RE PROJ'!BZ65/'WICHE Public Grads-RE PROJ'!AK65</f>
        <v>3.8220334189921212E-2</v>
      </c>
      <c r="AK62" s="266">
        <f>+'WICHE Public Grads-RE PROJ'!CA65/'WICHE Public Grads-RE PROJ'!AL65</f>
        <v>4.0697145398106004E-2</v>
      </c>
      <c r="AL62" s="266">
        <f>+'WICHE Public Grads-RE PROJ'!CB65/'WICHE Public Grads-RE PROJ'!AM65</f>
        <v>3.5688401569770198E-2</v>
      </c>
      <c r="AM62" s="266">
        <f>+'WICHE Public Grads-RE PROJ'!CC65/'WICHE Public Grads-RE PROJ'!AN65</f>
        <v>3.7828288262177129E-2</v>
      </c>
      <c r="AN62" s="266">
        <f>+'WICHE Public Grads-RE PROJ'!CD65/'WICHE Public Grads-RE PROJ'!AO65</f>
        <v>3.8188519989280162E-2</v>
      </c>
      <c r="AO62" s="266">
        <f>+'WICHE Public Grads-RE PROJ'!CE65/'WICHE Public Grads-RE PROJ'!AP65</f>
        <v>3.9440266740668431E-2</v>
      </c>
      <c r="AP62" s="282">
        <f>+'WICHE Public Grads-RE PROJ'!CF65/'WICHE Public Grads-RE PROJ'!AQ65</f>
        <v>3.9621612093242303E-2</v>
      </c>
      <c r="AQ62" s="262">
        <f>+'WICHE Public Grads-RE PROJ'!CG65/'WICHE Public Grads-RE PROJ'!B65</f>
        <v>3.3060658239965554E-3</v>
      </c>
      <c r="AR62" s="262">
        <f>+'WICHE Public Grads-RE PROJ'!CH65/'WICHE Public Grads-RE PROJ'!C65</f>
        <v>3.0104712041884815E-3</v>
      </c>
      <c r="AS62" s="262">
        <f>+'WICHE Public Grads-RE PROJ'!CI65/'WICHE Public Grads-RE PROJ'!D65</f>
        <v>2.8187919463087247E-3</v>
      </c>
      <c r="AT62" s="262">
        <f>+'WICHE Public Grads-RE PROJ'!CJ65/'WICHE Public Grads-RE PROJ'!E65</f>
        <v>4.0889343214924609E-3</v>
      </c>
      <c r="AU62" s="262">
        <f>+'WICHE Public Grads-RE PROJ'!CK65/'WICHE Public Grads-RE PROJ'!F65</f>
        <v>2.0808947847574459E-3</v>
      </c>
      <c r="AV62" s="262">
        <f>+'WICHE Public Grads-RE PROJ'!CL65/'WICHE Public Grads-RE PROJ'!G65</f>
        <v>6.1146496815286623E-3</v>
      </c>
      <c r="AW62" s="267">
        <f>+'WICHE Public Grads-RE PROJ'!CM65/'WICHE Public Grads-RE PROJ'!H65</f>
        <v>4.2110478077780527E-3</v>
      </c>
      <c r="AX62" s="267">
        <f>+'WICHE Public Grads-RE PROJ'!CN65/'WICHE Public Grads-RE PROJ'!I65</f>
        <v>3.3011370583200879E-3</v>
      </c>
      <c r="AY62" s="267">
        <f>+'WICHE Public Grads-RE PROJ'!CO65/'WICHE Public Grads-RE PROJ'!J65</f>
        <v>1.6515276630883566E-3</v>
      </c>
      <c r="AZ62" s="267">
        <f>+'WICHE Public Grads-RE PROJ'!CP65/'WICHE Public Grads-RE PROJ'!K65</f>
        <v>4.4170638149482735E-3</v>
      </c>
      <c r="BA62" s="262">
        <f>+'WICHE Public Grads-RE PROJ'!CQ65/'WICHE Public Grads-RE PROJ'!L65</f>
        <v>4.7745947146346883E-3</v>
      </c>
      <c r="BB62" s="267">
        <f>+'WICHE Public Grads-RE PROJ'!CR65/'WICHE Public Grads-RE PROJ'!M65</f>
        <v>3.5415325177076628E-3</v>
      </c>
      <c r="BC62" s="267">
        <f>+'WICHE Public Grads-RE PROJ'!CS65/'WICHE Public Grads-RE PROJ'!N65</f>
        <v>4.2125729099157481E-3</v>
      </c>
      <c r="BD62" s="267">
        <f>+'WICHE Public Grads-RE PROJ'!CT65/'WICHE Public Grads-RE PROJ'!O65</f>
        <v>4.2505819249063857E-3</v>
      </c>
      <c r="BE62" s="267">
        <f>+'WICHE Public Grads-RE PROJ'!CU65/'WICHE Public Grads-RE PROJ'!P65</f>
        <v>5.342303126236644E-3</v>
      </c>
      <c r="BF62" s="267">
        <f>+'WICHE Public Grads-RE PROJ'!CV65/'WICHE Public Grads-RE PROJ'!Q65</f>
        <v>4.1409861325115566E-3</v>
      </c>
      <c r="BG62" s="267">
        <f>+'WICHE Public Grads-RE PROJ'!CW65/'WICHE Public Grads-RE PROJ'!R65</f>
        <v>6.1853677394413838E-3</v>
      </c>
      <c r="BH62" s="267">
        <f>+'WICHE Public Grads-RE PROJ'!CX65/'WICHE Public Grads-RE PROJ'!S65</f>
        <v>6.2824092540885524E-3</v>
      </c>
      <c r="BI62" s="267">
        <f>+'WICHE Public Grads-RE PROJ'!CY65/'WICHE Public Grads-RE PROJ'!T65</f>
        <v>6.1566410981025435E-3</v>
      </c>
      <c r="BJ62" s="267">
        <f>+'WICHE Public Grads-RE PROJ'!CZ65/'WICHE Public Grads-RE PROJ'!U65</f>
        <v>5.3434356045952884E-3</v>
      </c>
      <c r="BK62" s="267">
        <f>+'WICHE Public Grads-RE PROJ'!DA65/'WICHE Public Grads-RE PROJ'!V65</f>
        <v>4.5116535454229178E-3</v>
      </c>
      <c r="BL62" s="267">
        <f>+'WICHE Public Grads-RE PROJ'!DB65/'WICHE Public Grads-RE PROJ'!W65</f>
        <v>3.8465807378944873E-3</v>
      </c>
      <c r="BM62" s="268">
        <f>+'WICHE Public Grads-RE PROJ'!DC65/'WICHE Public Grads-RE PROJ'!Y65</f>
        <v>3.5990538193473682E-3</v>
      </c>
      <c r="BN62" s="268">
        <f>+'WICHE Public Grads-RE PROJ'!DD65/'WICHE Public Grads-RE PROJ'!Z65</f>
        <v>5.5722551472043363E-3</v>
      </c>
      <c r="BO62" s="268">
        <f>+'WICHE Public Grads-RE PROJ'!DE65/'WICHE Public Grads-RE PROJ'!AA65</f>
        <v>6.5088084323068202E-3</v>
      </c>
      <c r="BP62" s="268">
        <f>+'WICHE Public Grads-RE PROJ'!DF65/'WICHE Public Grads-RE PROJ'!AB65</f>
        <v>5.8386040850023297E-3</v>
      </c>
      <c r="BQ62" s="266">
        <f>+'WICHE Public Grads-RE PROJ'!DG65/'WICHE Public Grads-RE PROJ'!AC65</f>
        <v>4.7449299640540928E-3</v>
      </c>
      <c r="BR62" s="266">
        <f>+'WICHE Public Grads-RE PROJ'!DH65/'WICHE Public Grads-RE PROJ'!AD65</f>
        <v>4.6515028908767561E-3</v>
      </c>
      <c r="BS62" s="266">
        <f>+'WICHE Public Grads-RE PROJ'!DI65/'WICHE Public Grads-RE PROJ'!AE65</f>
        <v>4.89908032044125E-3</v>
      </c>
      <c r="BT62" s="266">
        <f>+'WICHE Public Grads-RE PROJ'!DJ65/'WICHE Public Grads-RE PROJ'!AF65</f>
        <v>4.4625583214583054E-3</v>
      </c>
      <c r="BU62" s="266">
        <f>+'WICHE Public Grads-RE PROJ'!DK65/'WICHE Public Grads-RE PROJ'!AG65</f>
        <v>5.1695324717397993E-3</v>
      </c>
      <c r="BV62" s="268">
        <f>+'WICHE Public Grads-RE PROJ'!DL65/'WICHE Public Grads-RE PROJ'!AH65</f>
        <v>5.1471182042980628E-3</v>
      </c>
      <c r="BW62" s="266">
        <f>+'WICHE Public Grads-RE PROJ'!DM65/'WICHE Public Grads-RE PROJ'!AI65</f>
        <v>3.9918960335226187E-3</v>
      </c>
      <c r="BX62" s="266">
        <f>+'WICHE Public Grads-RE PROJ'!DN65/'WICHE Public Grads-RE PROJ'!AJ65</f>
        <v>3.8685944034648171E-3</v>
      </c>
      <c r="BY62" s="266">
        <f>+'WICHE Public Grads-RE PROJ'!DO65/'WICHE Public Grads-RE PROJ'!AK65</f>
        <v>3.8997050448166533E-3</v>
      </c>
      <c r="BZ62" s="266">
        <f>+'WICHE Public Grads-RE PROJ'!DP65/'WICHE Public Grads-RE PROJ'!AL65</f>
        <v>2.9398593344163791E-3</v>
      </c>
      <c r="CA62" s="266">
        <f>+'WICHE Public Grads-RE PROJ'!DQ65/'WICHE Public Grads-RE PROJ'!AM65</f>
        <v>2.7623813086933677E-3</v>
      </c>
      <c r="CB62" s="266">
        <f>+'WICHE Public Grads-RE PROJ'!DR65/'WICHE Public Grads-RE PROJ'!AN65</f>
        <v>2.540542994926898E-3</v>
      </c>
      <c r="CC62" s="266">
        <f>+'WICHE Public Grads-RE PROJ'!DS65/'WICHE Public Grads-RE PROJ'!AO65</f>
        <v>2.8312042256836163E-3</v>
      </c>
      <c r="CD62" s="266">
        <f>+'WICHE Public Grads-RE PROJ'!DT65/'WICHE Public Grads-RE PROJ'!AP65</f>
        <v>2.9122190541827049E-3</v>
      </c>
      <c r="CE62" s="282">
        <f>+'WICHE Public Grads-RE PROJ'!DU65/'WICHE Public Grads-RE PROJ'!AQ65</f>
        <v>2.7700464849857685E-3</v>
      </c>
      <c r="CF62" s="262">
        <f>+'WICHE Public Grads-RE PROJ'!DV65/'WICHE Public Grads-RE PROJ'!B65</f>
        <v>2.8470199929627082E-2</v>
      </c>
      <c r="CG62" s="262">
        <f>+'WICHE Public Grads-RE PROJ'!DW65/'WICHE Public Grads-RE PROJ'!C65</f>
        <v>2.761780104712042E-2</v>
      </c>
      <c r="CH62" s="262">
        <f>+'WICHE Public Grads-RE PROJ'!DX65/'WICHE Public Grads-RE PROJ'!D65</f>
        <v>2.4697986577181207E-2</v>
      </c>
      <c r="CI62" s="262">
        <f>+'WICHE Public Grads-RE PROJ'!DY65/'WICHE Public Grads-RE PROJ'!E65</f>
        <v>3.3094812164579608E-2</v>
      </c>
      <c r="CJ62" s="262">
        <f>+'WICHE Public Grads-RE PROJ'!DZ65/'WICHE Public Grads-RE PROJ'!F65</f>
        <v>2.575107296137339E-2</v>
      </c>
      <c r="CK62" s="262">
        <f>+'WICHE Public Grads-RE PROJ'!EA65/'WICHE Public Grads-RE PROJ'!G65</f>
        <v>2.9299363057324841E-2</v>
      </c>
      <c r="CL62" s="267">
        <f>+'WICHE Public Grads-RE PROJ'!EB65/'WICHE Public Grads-RE PROJ'!H65</f>
        <v>3.145900421104781E-2</v>
      </c>
      <c r="CM62" s="267">
        <f>+'WICHE Public Grads-RE PROJ'!EC65/'WICHE Public Grads-RE PROJ'!I65</f>
        <v>3.2522313241227535E-2</v>
      </c>
      <c r="CN62" s="267">
        <f>+'WICHE Public Grads-RE PROJ'!ED65/'WICHE Public Grads-RE PROJ'!J65</f>
        <v>3.4446148401557151E-2</v>
      </c>
      <c r="CO62" s="267">
        <f>+'WICHE Public Grads-RE PROJ'!EE65/'WICHE Public Grads-RE PROJ'!K65</f>
        <v>3.173311635475997E-2</v>
      </c>
      <c r="CP62" s="262">
        <f>+'WICHE Public Grads-RE PROJ'!EF65/'WICHE Public Grads-RE PROJ'!L65</f>
        <v>3.5198756384632469E-2</v>
      </c>
      <c r="CQ62" s="267">
        <f>+'WICHE Public Grads-RE PROJ'!EG65/'WICHE Public Grads-RE PROJ'!M65</f>
        <v>3.4556771839450523E-2</v>
      </c>
      <c r="CR62" s="267">
        <f>+'WICHE Public Grads-RE PROJ'!EH65/'WICHE Public Grads-RE PROJ'!N65</f>
        <v>3.1756318859364877E-2</v>
      </c>
      <c r="CS62" s="267">
        <f>+'WICHE Public Grads-RE PROJ'!EI65/'WICHE Public Grads-RE PROJ'!O65</f>
        <v>3.1980568768343286E-2</v>
      </c>
      <c r="CT62" s="267">
        <f>+'WICHE Public Grads-RE PROJ'!EJ65/'WICHE Public Grads-RE PROJ'!P65</f>
        <v>2.7404036406806491E-2</v>
      </c>
      <c r="CU62" s="267">
        <f>+'WICHE Public Grads-RE PROJ'!EK65/'WICHE Public Grads-RE PROJ'!Q65</f>
        <v>3.1009244992295841E-2</v>
      </c>
      <c r="CV62" s="267">
        <f>+'WICHE Public Grads-RE PROJ'!EL65/'WICHE Public Grads-RE PROJ'!R65</f>
        <v>3.034696047163429E-2</v>
      </c>
      <c r="CW62" s="267">
        <f>+'WICHE Public Grads-RE PROJ'!EM65/'WICHE Public Grads-RE PROJ'!S65</f>
        <v>2.8520143597925807E-2</v>
      </c>
      <c r="CX62" s="267">
        <f>+'WICHE Public Grads-RE PROJ'!EN65/'WICHE Public Grads-RE PROJ'!T65</f>
        <v>3.4012918853451757E-2</v>
      </c>
      <c r="CY62" s="267">
        <f>+'WICHE Public Grads-RE PROJ'!EO65/'WICHE Public Grads-RE PROJ'!U65</f>
        <v>2.8994587561895237E-2</v>
      </c>
      <c r="CZ62" s="267">
        <f>+'WICHE Public Grads-RE PROJ'!EP65/'WICHE Public Grads-RE PROJ'!V65</f>
        <v>3.1470793561420622E-2</v>
      </c>
      <c r="DA62" s="267">
        <f>+'WICHE Public Grads-RE PROJ'!EQ65/'WICHE Public Grads-RE PROJ'!W65</f>
        <v>3.1706206165428658E-2</v>
      </c>
      <c r="DB62" s="268">
        <f>+'WICHE Public Grads-RE PROJ'!ER65/'WICHE Public Grads-RE PROJ'!Y65</f>
        <v>3.2277559786262212E-2</v>
      </c>
      <c r="DC62" s="268">
        <f>+'WICHE Public Grads-RE PROJ'!ES65/'WICHE Public Grads-RE PROJ'!Z65</f>
        <v>3.636199561085314E-2</v>
      </c>
      <c r="DD62" s="268">
        <f>+'WICHE Public Grads-RE PROJ'!ET65/'WICHE Public Grads-RE PROJ'!AA65</f>
        <v>3.1398520204084748E-2</v>
      </c>
      <c r="DE62" s="268">
        <f>+'WICHE Public Grads-RE PROJ'!EU65/'WICHE Public Grads-RE PROJ'!AB65</f>
        <v>3.0458106081039622E-2</v>
      </c>
      <c r="DF62" s="266">
        <f>+'WICHE Public Grads-RE PROJ'!EV65/'WICHE Public Grads-RE PROJ'!AC65</f>
        <v>3.0441023863301987E-2</v>
      </c>
      <c r="DG62" s="266">
        <f>+'WICHE Public Grads-RE PROJ'!EW65/'WICHE Public Grads-RE PROJ'!AD65</f>
        <v>3.2375609746788846E-2</v>
      </c>
      <c r="DH62" s="266">
        <f>+'WICHE Public Grads-RE PROJ'!EX65/'WICHE Public Grads-RE PROJ'!AE65</f>
        <v>3.3886937770398515E-2</v>
      </c>
      <c r="DI62" s="266">
        <f>+'WICHE Public Grads-RE PROJ'!EY65/'WICHE Public Grads-RE PROJ'!AF65</f>
        <v>3.0140498445792537E-2</v>
      </c>
      <c r="DJ62" s="266">
        <f>+'WICHE Public Grads-RE PROJ'!EZ65/'WICHE Public Grads-RE PROJ'!AG65</f>
        <v>3.4547221392171888E-2</v>
      </c>
      <c r="DK62" s="268">
        <f>+'WICHE Public Grads-RE PROJ'!FA65/'WICHE Public Grads-RE PROJ'!AH65</f>
        <v>3.0435989154576765E-2</v>
      </c>
      <c r="DL62" s="266">
        <f>+'WICHE Public Grads-RE PROJ'!FB65/'WICHE Public Grads-RE PROJ'!AI65</f>
        <v>3.2082137290465988E-2</v>
      </c>
      <c r="DM62" s="266">
        <f>+'WICHE Public Grads-RE PROJ'!FC65/'WICHE Public Grads-RE PROJ'!AJ65</f>
        <v>3.2101927679420876E-2</v>
      </c>
      <c r="DN62" s="266">
        <f>+'WICHE Public Grads-RE PROJ'!FD65/'WICHE Public Grads-RE PROJ'!AK65</f>
        <v>3.4320629145104566E-2</v>
      </c>
      <c r="DO62" s="266">
        <f>+'WICHE Public Grads-RE PROJ'!FE65/'WICHE Public Grads-RE PROJ'!AL65</f>
        <v>3.7757286063689624E-2</v>
      </c>
      <c r="DP62" s="266">
        <f>+'WICHE Public Grads-RE PROJ'!FF65/'WICHE Public Grads-RE PROJ'!AM65</f>
        <v>3.2926020261076827E-2</v>
      </c>
      <c r="DQ62" s="266">
        <f>+'WICHE Public Grads-RE PROJ'!FG65/'WICHE Public Grads-RE PROJ'!AN65</f>
        <v>3.5287745267250231E-2</v>
      </c>
      <c r="DR62" s="266">
        <f>+'WICHE Public Grads-RE PROJ'!FH65/'WICHE Public Grads-RE PROJ'!AO65</f>
        <v>3.5357315763596547E-2</v>
      </c>
      <c r="DS62" s="266">
        <f>+'WICHE Public Grads-RE PROJ'!FI65/'WICHE Public Grads-RE PROJ'!AP65</f>
        <v>3.652804768648573E-2</v>
      </c>
      <c r="DT62" s="282">
        <f>+'WICHE Public Grads-RE PROJ'!FJ65/'WICHE Public Grads-RE PROJ'!AQ65</f>
        <v>3.6851565608256531E-2</v>
      </c>
      <c r="DU62" s="262">
        <f>+'WICHE Public Grads-RE PROJ'!FK65/'WICHE Public Grads-RE PROJ'!B65</f>
        <v>5.6980725280993232E-2</v>
      </c>
      <c r="DV62" s="262">
        <f>+'WICHE Public Grads-RE PROJ'!FL65/'WICHE Public Grads-RE PROJ'!C65</f>
        <v>5.7460732984293196E-2</v>
      </c>
      <c r="DW62" s="262">
        <f>+'WICHE Public Grads-RE PROJ'!FM65/'WICHE Public Grads-RE PROJ'!D65</f>
        <v>5.8791946308724835E-2</v>
      </c>
      <c r="DX62" s="262">
        <f>+'WICHE Public Grads-RE PROJ'!FN65/'WICHE Public Grads-RE PROJ'!E65</f>
        <v>5.4689496549961664E-2</v>
      </c>
      <c r="DY62" s="262">
        <f>+'WICHE Public Grads-RE PROJ'!FO65/'WICHE Public Grads-RE PROJ'!F65</f>
        <v>6.0345948757965923E-2</v>
      </c>
      <c r="DZ62" s="262">
        <f>+'WICHE Public Grads-RE PROJ'!FP65/'WICHE Public Grads-RE PROJ'!G65</f>
        <v>5.3121019108280251E-2</v>
      </c>
      <c r="EA62" s="267">
        <f>+'WICHE Public Grads-RE PROJ'!FQ65/'WICHE Public Grads-RE PROJ'!H65</f>
        <v>5.7220708446866483E-2</v>
      </c>
      <c r="EB62" s="267">
        <f>+'WICHE Public Grads-RE PROJ'!FR65/'WICHE Public Grads-RE PROJ'!I65</f>
        <v>5.954273138525492E-2</v>
      </c>
      <c r="EC62" s="267">
        <f>+'WICHE Public Grads-RE PROJ'!FS65/'WICHE Public Grads-RE PROJ'!J65</f>
        <v>5.4736345405214111E-2</v>
      </c>
      <c r="ED62" s="267">
        <f>+'WICHE Public Grads-RE PROJ'!FT65/'WICHE Public Grads-RE PROJ'!K65</f>
        <v>6.346623270951994E-2</v>
      </c>
      <c r="EE62" s="262">
        <f>+'WICHE Public Grads-RE PROJ'!FU65/'WICHE Public Grads-RE PROJ'!L65</f>
        <v>7.2951365756162553E-2</v>
      </c>
      <c r="EF62" s="267">
        <f>+'WICHE Public Grads-RE PROJ'!FV65/'WICHE Public Grads-RE PROJ'!M65</f>
        <v>7.3406310367031546E-2</v>
      </c>
      <c r="EG62" s="267">
        <f>+'WICHE Public Grads-RE PROJ'!FW65/'WICHE Public Grads-RE PROJ'!N65</f>
        <v>6.9129401598617413E-2</v>
      </c>
      <c r="EH62" s="267">
        <f>+'WICHE Public Grads-RE PROJ'!FX65/'WICHE Public Grads-RE PROJ'!O65</f>
        <v>8.0356239247039773E-2</v>
      </c>
      <c r="EI62" s="267">
        <f>+'WICHE Public Grads-RE PROJ'!FY65/'WICHE Public Grads-RE PROJ'!P65</f>
        <v>8.1024930747922441E-2</v>
      </c>
      <c r="EJ62" s="267">
        <f>+'WICHE Public Grads-RE PROJ'!FZ65/'WICHE Public Grads-RE PROJ'!Q65</f>
        <v>8.3879044684129433E-2</v>
      </c>
      <c r="EK62" s="267">
        <f>+'WICHE Public Grads-RE PROJ'!GA65/'WICHE Public Grads-RE PROJ'!R65</f>
        <v>8.6015270126606744E-2</v>
      </c>
      <c r="EL62" s="267">
        <f>+'WICHE Public Grads-RE PROJ'!GB65/'WICHE Public Grads-RE PROJ'!S65</f>
        <v>8.3366573593936982E-2</v>
      </c>
      <c r="EM62" s="267">
        <f>+'WICHE Public Grads-RE PROJ'!GC65/'WICHE Public Grads-RE PROJ'!T65</f>
        <v>8.7303189341945905E-2</v>
      </c>
      <c r="EN62" s="267">
        <f>+'WICHE Public Grads-RE PROJ'!GD65/'WICHE Public Grads-RE PROJ'!U65</f>
        <v>8.5028436608184224E-2</v>
      </c>
      <c r="EO62" s="267">
        <f>+'WICHE Public Grads-RE PROJ'!GE65/'WICHE Public Grads-RE PROJ'!V65</f>
        <v>8.3262401844945752E-2</v>
      </c>
      <c r="EP62" s="267">
        <f>+'WICHE Public Grads-RE PROJ'!GF65/'WICHE Public Grads-RE PROJ'!W65</f>
        <v>8.2003290220867858E-2</v>
      </c>
      <c r="EQ62" s="268">
        <f>+'WICHE Public Grads-RE PROJ'!GG65/'WICHE Public Grads-RE PROJ'!Y65</f>
        <v>8.1277826889860336E-2</v>
      </c>
      <c r="ER62" s="268">
        <f>+'WICHE Public Grads-RE PROJ'!GH65/'WICHE Public Grads-RE PROJ'!Z65</f>
        <v>8.5753280840125998E-2</v>
      </c>
      <c r="ES62" s="268">
        <f>+'WICHE Public Grads-RE PROJ'!GI65/'WICHE Public Grads-RE PROJ'!AA65</f>
        <v>8.2763119833353882E-2</v>
      </c>
      <c r="ET62" s="268">
        <f>+'WICHE Public Grads-RE PROJ'!GJ65/'WICHE Public Grads-RE PROJ'!AB65</f>
        <v>7.8688926741667858E-2</v>
      </c>
      <c r="EU62" s="266">
        <f>+'WICHE Public Grads-RE PROJ'!GK65/'WICHE Public Grads-RE PROJ'!AC65</f>
        <v>8.1435138266026177E-2</v>
      </c>
      <c r="EV62" s="266">
        <f>+'WICHE Public Grads-RE PROJ'!GL65/'WICHE Public Grads-RE PROJ'!AD65</f>
        <v>8.1388871726898904E-2</v>
      </c>
      <c r="EW62" s="266">
        <f>+'WICHE Public Grads-RE PROJ'!GM65/'WICHE Public Grads-RE PROJ'!AE65</f>
        <v>7.5620524975367046E-2</v>
      </c>
      <c r="EX62" s="266">
        <f>+'WICHE Public Grads-RE PROJ'!GN65/'WICHE Public Grads-RE PROJ'!AF65</f>
        <v>8.063797267692728E-2</v>
      </c>
      <c r="EY62" s="266">
        <f>+'WICHE Public Grads-RE PROJ'!GO65/'WICHE Public Grads-RE PROJ'!AG65</f>
        <v>7.7526147863898359E-2</v>
      </c>
      <c r="EZ62" s="268">
        <f>+'WICHE Public Grads-RE PROJ'!GP65/'WICHE Public Grads-RE PROJ'!AH65</f>
        <v>8.1180462037650822E-2</v>
      </c>
      <c r="FA62" s="266">
        <f>+'WICHE Public Grads-RE PROJ'!GQ65/'WICHE Public Grads-RE PROJ'!AI65</f>
        <v>7.1265670256257824E-2</v>
      </c>
      <c r="FB62" s="266">
        <f>+'WICHE Public Grads-RE PROJ'!GR65/'WICHE Public Grads-RE PROJ'!AJ65</f>
        <v>7.9240179348136958E-2</v>
      </c>
      <c r="FC62" s="266">
        <f>+'WICHE Public Grads-RE PROJ'!GS65/'WICHE Public Grads-RE PROJ'!AK65</f>
        <v>8.0197116229438772E-2</v>
      </c>
      <c r="FD62" s="266">
        <f>+'WICHE Public Grads-RE PROJ'!GT65/'WICHE Public Grads-RE PROJ'!AL65</f>
        <v>7.1442365328712676E-2</v>
      </c>
      <c r="FE62" s="266">
        <f>+'WICHE Public Grads-RE PROJ'!GU65/'WICHE Public Grads-RE PROJ'!AM65</f>
        <v>7.3648565128599339E-2</v>
      </c>
      <c r="FF62" s="266">
        <f>+'WICHE Public Grads-RE PROJ'!GV65/'WICHE Public Grads-RE PROJ'!AN65</f>
        <v>7.3427138506222761E-2</v>
      </c>
      <c r="FG62" s="266">
        <f>+'WICHE Public Grads-RE PROJ'!GW65/'WICHE Public Grads-RE PROJ'!AO65</f>
        <v>6.6327800967881059E-2</v>
      </c>
      <c r="FH62" s="266">
        <f>+'WICHE Public Grads-RE PROJ'!GX65/'WICHE Public Grads-RE PROJ'!AP65</f>
        <v>7.3499326663076056E-2</v>
      </c>
      <c r="FI62" s="282">
        <f>+'WICHE Public Grads-RE PROJ'!GY65/'WICHE Public Grads-RE PROJ'!AQ65</f>
        <v>6.667092737207711E-2</v>
      </c>
      <c r="FJ62" s="262">
        <f>+'WICHE Public Grads-RE PROJ'!GZ65/'WICHE Public Grads-RE PROJ'!B65</f>
        <v>5.0006979955690346E-2</v>
      </c>
      <c r="FK62" s="262">
        <f>+'WICHE Public Grads-RE PROJ'!HA65/'WICHE Public Grads-RE PROJ'!C65</f>
        <v>5.0654450261780108E-2</v>
      </c>
      <c r="FL62" s="262">
        <f>+'WICHE Public Grads-RE PROJ'!HB65/'WICHE Public Grads-RE PROJ'!D65</f>
        <v>5.4899328859060403E-2</v>
      </c>
      <c r="FM62" s="262">
        <f>+'WICHE Public Grads-RE PROJ'!HC65/'WICHE Public Grads-RE PROJ'!E65</f>
        <v>4.4467160746230514E-2</v>
      </c>
      <c r="FN62" s="262">
        <f>+'WICHE Public Grads-RE PROJ'!HD65/'WICHE Public Grads-RE PROJ'!F65</f>
        <v>6.5027962023670172E-2</v>
      </c>
      <c r="FO62" s="262">
        <f>+'WICHE Public Grads-RE PROJ'!HE65/'WICHE Public Grads-RE PROJ'!G65</f>
        <v>7.5796178343949042E-2</v>
      </c>
      <c r="FP62" s="267">
        <f>+'WICHE Public Grads-RE PROJ'!HF65/'WICHE Public Grads-RE PROJ'!H65</f>
        <v>7.4312608372553879E-2</v>
      </c>
      <c r="FQ62" s="267">
        <f>+'WICHE Public Grads-RE PROJ'!HG65/'WICHE Public Grads-RE PROJ'!I65</f>
        <v>8.0327668419122145E-2</v>
      </c>
      <c r="FR62" s="267">
        <f>+'WICHE Public Grads-RE PROJ'!HH65/'WICHE Public Grads-RE PROJ'!J65</f>
        <v>8.3520113247611188E-2</v>
      </c>
      <c r="FS62" s="267">
        <f>+'WICHE Public Grads-RE PROJ'!HI65/'WICHE Public Grads-RE PROJ'!K65</f>
        <v>8.9387422991979548E-2</v>
      </c>
      <c r="FT62" s="262">
        <f>+'WICHE Public Grads-RE PROJ'!HJ65/'WICHE Public Grads-RE PROJ'!L65</f>
        <v>9.5158783033533201E-2</v>
      </c>
      <c r="FU62" s="267">
        <f>+'WICHE Public Grads-RE PROJ'!HK65/'WICHE Public Grads-RE PROJ'!M65</f>
        <v>9.5728697145310154E-2</v>
      </c>
      <c r="FV62" s="267">
        <f>+'WICHE Public Grads-RE PROJ'!HL65/'WICHE Public Grads-RE PROJ'!N65</f>
        <v>0.10261395549794772</v>
      </c>
      <c r="FW62" s="267">
        <f>+'WICHE Public Grads-RE PROJ'!HM65/'WICHE Public Grads-RE PROJ'!O65</f>
        <v>0.11668859427183484</v>
      </c>
      <c r="FX62" s="267">
        <f>+'WICHE Public Grads-RE PROJ'!HN65/'WICHE Public Grads-RE PROJ'!P65</f>
        <v>0.12781954887218044</v>
      </c>
      <c r="FY62" s="267">
        <f>+'WICHE Public Grads-RE PROJ'!HO65/'WICHE Public Grads-RE PROJ'!Q65</f>
        <v>0.14300847457627119</v>
      </c>
      <c r="FZ62" s="267">
        <f>+'WICHE Public Grads-RE PROJ'!HP65/'WICHE Public Grads-RE PROJ'!R65</f>
        <v>0.15511742534067846</v>
      </c>
      <c r="GA62" s="267">
        <f>+'WICHE Public Grads-RE PROJ'!HQ65/'WICHE Public Grads-RE PROJ'!S65</f>
        <v>0.15147586757080175</v>
      </c>
      <c r="GB62" s="267">
        <f>+'WICHE Public Grads-RE PROJ'!HR65/'WICHE Public Grads-RE PROJ'!T65</f>
        <v>0.1577513120710537</v>
      </c>
      <c r="GC62" s="267">
        <f>+'WICHE Public Grads-RE PROJ'!HS65/'WICHE Public Grads-RE PROJ'!U65</f>
        <v>0.17328259975318799</v>
      </c>
      <c r="GD62" s="267">
        <f>+'WICHE Public Grads-RE PROJ'!HT65/'WICHE Public Grads-RE PROJ'!V65</f>
        <v>0.1762896113219157</v>
      </c>
      <c r="GE62" s="267">
        <f>+'WICHE Public Grads-RE PROJ'!HU65/'WICHE Public Grads-RE PROJ'!W65</f>
        <v>0.18164735358596931</v>
      </c>
      <c r="GF62" s="268">
        <f>+'WICHE Public Grads-RE PROJ'!HV65/'WICHE Public Grads-RE PROJ'!Y65</f>
        <v>0.19807389378561269</v>
      </c>
      <c r="GG62" s="268">
        <f>+'WICHE Public Grads-RE PROJ'!HW65/'WICHE Public Grads-RE PROJ'!Z65</f>
        <v>0.21005716484565917</v>
      </c>
      <c r="GH62" s="268">
        <f>+'WICHE Public Grads-RE PROJ'!HX65/'WICHE Public Grads-RE PROJ'!AA65</f>
        <v>0.21266669545997727</v>
      </c>
      <c r="GI62" s="268">
        <f>+'WICHE Public Grads-RE PROJ'!HY65/'WICHE Public Grads-RE PROJ'!AB65</f>
        <v>0.21414747953156835</v>
      </c>
      <c r="GJ62" s="266">
        <f>+'WICHE Public Grads-RE PROJ'!HZ65/'WICHE Public Grads-RE PROJ'!AC65</f>
        <v>0.22784614156976163</v>
      </c>
      <c r="GK62" s="266">
        <f>+'WICHE Public Grads-RE PROJ'!IA65/'WICHE Public Grads-RE PROJ'!AD65</f>
        <v>0.24762760833075198</v>
      </c>
      <c r="GL62" s="266">
        <f>+'WICHE Public Grads-RE PROJ'!IB65/'WICHE Public Grads-RE PROJ'!AE65</f>
        <v>0.25383646568178758</v>
      </c>
      <c r="GM62" s="266">
        <f>+'WICHE Public Grads-RE PROJ'!IC65/'WICHE Public Grads-RE PROJ'!AF65</f>
        <v>0.26041965595070415</v>
      </c>
      <c r="GN62" s="266">
        <f>+'WICHE Public Grads-RE PROJ'!ID65/'WICHE Public Grads-RE PROJ'!AG65</f>
        <v>0.2775135928409011</v>
      </c>
      <c r="GO62" s="268">
        <f>+'WICHE Public Grads-RE PROJ'!IE65/'WICHE Public Grads-RE PROJ'!AH65</f>
        <v>0.2917243873248847</v>
      </c>
      <c r="GP62" s="266">
        <f>+'WICHE Public Grads-RE PROJ'!IF65/'WICHE Public Grads-RE PROJ'!AI65</f>
        <v>0.31134038029678573</v>
      </c>
      <c r="GQ62" s="266">
        <f>+'WICHE Public Grads-RE PROJ'!IG65/'WICHE Public Grads-RE PROJ'!AJ65</f>
        <v>0.32818481562835783</v>
      </c>
      <c r="GR62" s="266">
        <f>+'WICHE Public Grads-RE PROJ'!IH65/'WICHE Public Grads-RE PROJ'!AK65</f>
        <v>0.32478901155216178</v>
      </c>
      <c r="GS62" s="266">
        <f>+'WICHE Public Grads-RE PROJ'!II65/'WICHE Public Grads-RE PROJ'!AL65</f>
        <v>0.32830682344686124</v>
      </c>
      <c r="GT62" s="266">
        <f>+'WICHE Public Grads-RE PROJ'!IJ65/'WICHE Public Grads-RE PROJ'!AM65</f>
        <v>0.32739421481797282</v>
      </c>
      <c r="GU62" s="266">
        <f>+'WICHE Public Grads-RE PROJ'!IK65/'WICHE Public Grads-RE PROJ'!AN65</f>
        <v>0.33447014321029422</v>
      </c>
      <c r="GV62" s="266">
        <f>+'WICHE Public Grads-RE PROJ'!IL65/'WICHE Public Grads-RE PROJ'!AO65</f>
        <v>0.34207086935536801</v>
      </c>
      <c r="GW62" s="266">
        <f>+'WICHE Public Grads-RE PROJ'!IM65/'WICHE Public Grads-RE PROJ'!AP65</f>
        <v>0.34230475792092546</v>
      </c>
      <c r="GX62" s="282">
        <f>+'WICHE Public Grads-RE PROJ'!IN65/'WICHE Public Grads-RE PROJ'!AQ65</f>
        <v>0.36008272679315817</v>
      </c>
      <c r="GY62" s="262">
        <f>+'WICHE Public Grads-RE PROJ'!IO65/'WICHE Public Grads-RE PROJ'!B65</f>
        <v>0.86123602900969276</v>
      </c>
      <c r="GZ62" s="262">
        <f>+'WICHE Public Grads-RE PROJ'!IP65/'WICHE Public Grads-RE PROJ'!C65</f>
        <v>0.86125654450261779</v>
      </c>
      <c r="HA62" s="262">
        <f>+'WICHE Public Grads-RE PROJ'!IQ65/'WICHE Public Grads-RE PROJ'!D65</f>
        <v>0.8587919463087248</v>
      </c>
      <c r="HB62" s="262">
        <f>+'WICHE Public Grads-RE PROJ'!IR65/'WICHE Public Grads-RE PROJ'!E65</f>
        <v>0.8636595962177358</v>
      </c>
      <c r="HC62" s="262">
        <f>+'WICHE Public Grads-RE PROJ'!IS65/'WICHE Public Grads-RE PROJ'!F65</f>
        <v>0.8467941214722331</v>
      </c>
      <c r="HD62" s="262">
        <f>+'WICHE Public Grads-RE PROJ'!IT65/'WICHE Public Grads-RE PROJ'!G65</f>
        <v>0.83566878980891723</v>
      </c>
      <c r="HE62" s="267">
        <f>+'WICHE Public Grads-RE PROJ'!IU65/'WICHE Public Grads-RE PROJ'!H65</f>
        <v>0.83279663116175373</v>
      </c>
      <c r="HF62" s="267">
        <f>+'WICHE Public Grads-RE PROJ'!IV65/'WICHE Public Grads-RE PROJ'!I65</f>
        <v>0.82430614989607531</v>
      </c>
      <c r="HG62" s="267">
        <f>+'WICHE Public Grads-RE PROJ'!IW65/'WICHE Public Grads-RE PROJ'!J65</f>
        <v>0.82564586528252915</v>
      </c>
      <c r="HH62" s="267">
        <f>+'WICHE Public Grads-RE PROJ'!IX65/'WICHE Public Grads-RE PROJ'!K65</f>
        <v>0.81099616412879227</v>
      </c>
      <c r="HI62" s="262">
        <f>+'WICHE Public Grads-RE PROJ'!IY65/'WICHE Public Grads-RE PROJ'!L65</f>
        <v>0.79191650011103709</v>
      </c>
      <c r="HJ62" s="267">
        <f>+'WICHE Public Grads-RE PROJ'!IZ65/'WICHE Public Grads-RE PROJ'!M65</f>
        <v>0.79276668813050011</v>
      </c>
      <c r="HK62" s="267">
        <f>+'WICHE Public Grads-RE PROJ'!JA65/'WICHE Public Grads-RE PROJ'!N65</f>
        <v>0.79228775113415428</v>
      </c>
      <c r="HL62" s="267">
        <f>+'WICHE Public Grads-RE PROJ'!JB65/'WICHE Public Grads-RE PROJ'!O65</f>
        <v>0.76672401578787575</v>
      </c>
      <c r="HM62" s="267">
        <f>+'WICHE Public Grads-RE PROJ'!JC65/'WICHE Public Grads-RE PROJ'!P65</f>
        <v>0.75840918084685394</v>
      </c>
      <c r="HN62" s="267">
        <f>+'WICHE Public Grads-RE PROJ'!JD65/'WICHE Public Grads-RE PROJ'!Q65</f>
        <v>0.73796224961479195</v>
      </c>
      <c r="HO62" s="267">
        <f>+'WICHE Public Grads-RE PROJ'!JE65/'WICHE Public Grads-RE PROJ'!R65</f>
        <v>0.72233497632163912</v>
      </c>
      <c r="HP62" s="267">
        <f>+'WICHE Public Grads-RE PROJ'!JF65/'WICHE Public Grads-RE PROJ'!S65</f>
        <v>0.73035500598324687</v>
      </c>
      <c r="HQ62" s="267">
        <f>+'WICHE Public Grads-RE PROJ'!JG65/'WICHE Public Grads-RE PROJ'!T65</f>
        <v>0.71477593863544608</v>
      </c>
      <c r="HR62" s="267">
        <f>+'WICHE Public Grads-RE PROJ'!JH65/'WICHE Public Grads-RE PROJ'!U65</f>
        <v>0.70735094047213731</v>
      </c>
      <c r="HS62" s="267">
        <f>+'WICHE Public Grads-RE PROJ'!JI65/'WICHE Public Grads-RE PROJ'!V65</f>
        <v>0.70446553972629511</v>
      </c>
      <c r="HT62" s="267">
        <f>+'WICHE Public Grads-RE PROJ'!JJ65/'WICHE Public Grads-RE PROJ'!W65</f>
        <v>0.70079656928983969</v>
      </c>
      <c r="HU62" s="268">
        <f>+'WICHE Public Grads-RE PROJ'!JK65/'WICHE Public Grads-RE PROJ'!Y65</f>
        <v>0.68561375475466668</v>
      </c>
      <c r="HV62" s="268">
        <f>+'WICHE Public Grads-RE PROJ'!JL65/'WICHE Public Grads-RE PROJ'!Z65</f>
        <v>0.66208660951129461</v>
      </c>
      <c r="HW62" s="268">
        <f>+'WICHE Public Grads-RE PROJ'!JM65/'WICHE Public Grads-RE PROJ'!AA65</f>
        <v>0.66451454712377167</v>
      </c>
      <c r="HX62" s="268">
        <f>+'WICHE Public Grads-RE PROJ'!JN65/'WICHE Public Grads-RE PROJ'!AB65</f>
        <v>0.66827442660705449</v>
      </c>
      <c r="HY62" s="266">
        <f>+'WICHE Public Grads-RE PROJ'!JO65/'WICHE Public Grads-RE PROJ'!AC65</f>
        <v>0.65589202413650738</v>
      </c>
      <c r="HZ62" s="266">
        <f>+'WICHE Public Grads-RE PROJ'!JP65/'WICHE Public Grads-RE PROJ'!AD65</f>
        <v>0.63725600087576484</v>
      </c>
      <c r="IA62" s="266">
        <f>+'WICHE Public Grads-RE PROJ'!JQ65/'WICHE Public Grads-RE PROJ'!AE65</f>
        <v>0.63632460858050022</v>
      </c>
      <c r="IB62" s="266">
        <f>+'WICHE Public Grads-RE PROJ'!JR65/'WICHE Public Grads-RE PROJ'!AF65</f>
        <v>0.63054011505264773</v>
      </c>
      <c r="IC62" s="266">
        <f>+'WICHE Public Grads-RE PROJ'!JS65/'WICHE Public Grads-RE PROJ'!AG65</f>
        <v>0.61491964541211042</v>
      </c>
      <c r="ID62" s="268">
        <f>+'WICHE Public Grads-RE PROJ'!JT65/'WICHE Public Grads-RE PROJ'!AH65</f>
        <v>0.60432916938180337</v>
      </c>
      <c r="IE62" s="266">
        <f>+'WICHE Public Grads-RE PROJ'!JU65/'WICHE Public Grads-RE PROJ'!AI65</f>
        <v>0.60034127385710079</v>
      </c>
      <c r="IF62" s="266">
        <f>+'WICHE Public Grads-RE PROJ'!JV65/'WICHE Public Grads-RE PROJ'!AJ65</f>
        <v>0.57982801221923463</v>
      </c>
      <c r="IG62" s="266">
        <f>+'WICHE Public Grads-RE PROJ'!JW65/'WICHE Public Grads-RE PROJ'!AK65</f>
        <v>0.58216217565010731</v>
      </c>
      <c r="IH62" s="266">
        <f>+'WICHE Public Grads-RE PROJ'!JX65/'WICHE Public Grads-RE PROJ'!AL65</f>
        <v>0.58719502314511673</v>
      </c>
      <c r="II62" s="266">
        <f>+'WICHE Public Grads-RE PROJ'!JY65/'WICHE Public Grads-RE PROJ'!AM65</f>
        <v>0.5911233882183009</v>
      </c>
      <c r="IJ62" s="266">
        <f>+'WICHE Public Grads-RE PROJ'!JZ65/'WICHE Public Grads-RE PROJ'!AN65</f>
        <v>0.56561691797029934</v>
      </c>
      <c r="IK62" s="266">
        <f>+'WICHE Public Grads-RE PROJ'!KA65/'WICHE Public Grads-RE PROJ'!AO65</f>
        <v>0.56242602131426656</v>
      </c>
      <c r="IL62" s="266">
        <f>+'WICHE Public Grads-RE PROJ'!KB65/'WICHE Public Grads-RE PROJ'!AP65</f>
        <v>0.55751317585573346</v>
      </c>
      <c r="IM62" s="282">
        <f>+'WICHE Public Grads-RE PROJ'!KC65/'WICHE Public Grads-RE PROJ'!AQ65</f>
        <v>0.55704529221618337</v>
      </c>
      <c r="IN62" s="278">
        <f t="shared" si="120"/>
        <v>1</v>
      </c>
      <c r="IO62" s="278">
        <f t="shared" si="121"/>
        <v>1</v>
      </c>
      <c r="IP62" s="278">
        <f t="shared" si="122"/>
        <v>1</v>
      </c>
      <c r="IQ62" s="278">
        <f t="shared" si="123"/>
        <v>1</v>
      </c>
      <c r="IR62" s="278">
        <f t="shared" si="124"/>
        <v>1</v>
      </c>
      <c r="IS62" s="278">
        <f t="shared" si="125"/>
        <v>1</v>
      </c>
      <c r="IT62" s="278">
        <f t="shared" si="126"/>
        <v>1</v>
      </c>
      <c r="IU62" s="278">
        <f t="shared" si="127"/>
        <v>1</v>
      </c>
      <c r="IV62" s="278">
        <f t="shared" si="128"/>
        <v>1</v>
      </c>
      <c r="IW62" s="278">
        <f t="shared" si="129"/>
        <v>1</v>
      </c>
      <c r="IX62" s="278">
        <f t="shared" si="130"/>
        <v>1</v>
      </c>
      <c r="IY62" s="278">
        <f t="shared" si="131"/>
        <v>1</v>
      </c>
      <c r="IZ62" s="278">
        <f t="shared" si="132"/>
        <v>1</v>
      </c>
      <c r="JA62" s="278">
        <f t="shared" si="133"/>
        <v>1</v>
      </c>
      <c r="JB62" s="278">
        <f t="shared" si="134"/>
        <v>1</v>
      </c>
      <c r="JC62" s="278">
        <f t="shared" si="135"/>
        <v>1</v>
      </c>
      <c r="JD62" s="278">
        <f t="shared" si="136"/>
        <v>1</v>
      </c>
      <c r="JE62" s="278">
        <f t="shared" si="137"/>
        <v>1</v>
      </c>
      <c r="JF62" s="278">
        <f t="shared" si="138"/>
        <v>1</v>
      </c>
      <c r="JG62" s="278">
        <f t="shared" si="139"/>
        <v>1</v>
      </c>
      <c r="JH62" s="278">
        <f t="shared" si="140"/>
        <v>1</v>
      </c>
      <c r="JI62" s="278">
        <f t="shared" si="141"/>
        <v>1</v>
      </c>
      <c r="JJ62" s="278">
        <f t="shared" si="142"/>
        <v>1.0008420890357492</v>
      </c>
      <c r="JK62" s="278">
        <f t="shared" si="143"/>
        <v>0.99983130595513725</v>
      </c>
      <c r="JL62" s="278">
        <f t="shared" si="144"/>
        <v>0.99785169105349436</v>
      </c>
      <c r="JM62" s="278">
        <f t="shared" si="145"/>
        <v>0.99740754304633261</v>
      </c>
      <c r="JN62" s="278">
        <f t="shared" si="146"/>
        <v>1.0003592577996514</v>
      </c>
      <c r="JO62" s="278">
        <f t="shared" si="147"/>
        <v>1.0032995935710813</v>
      </c>
      <c r="JP62" s="278">
        <f t="shared" si="148"/>
        <v>1.0045676173284948</v>
      </c>
      <c r="JQ62" s="278">
        <f t="shared" si="149"/>
        <v>1.00620080044753</v>
      </c>
      <c r="JR62" s="278">
        <f t="shared" si="150"/>
        <v>1.0096761399808216</v>
      </c>
      <c r="JS62" s="278">
        <f t="shared" si="151"/>
        <v>1.0128171261032137</v>
      </c>
      <c r="JT62" s="278">
        <f t="shared" si="152"/>
        <v>1.0190213577341329</v>
      </c>
      <c r="JU62" s="278">
        <f t="shared" si="153"/>
        <v>1.0232235292786152</v>
      </c>
      <c r="JV62" s="278">
        <f t="shared" si="154"/>
        <v>1.0253686376216291</v>
      </c>
      <c r="JW62" s="278">
        <f t="shared" si="155"/>
        <v>1.0276413573187968</v>
      </c>
      <c r="JX62" s="278">
        <f t="shared" si="156"/>
        <v>1.0278545697346433</v>
      </c>
      <c r="JY62" s="278">
        <f t="shared" si="157"/>
        <v>1.0113424879489934</v>
      </c>
      <c r="JZ62" s="278">
        <f t="shared" si="157"/>
        <v>1.0090132116267958</v>
      </c>
      <c r="KA62" s="278">
        <f t="shared" si="157"/>
        <v>1.0127575271804035</v>
      </c>
      <c r="KB62" s="278">
        <f t="shared" si="157"/>
        <v>1.023420558474661</v>
      </c>
    </row>
    <row r="63" spans="1:288" s="17" customFormat="1">
      <c r="A63" s="176" t="s">
        <v>86</v>
      </c>
      <c r="B63" s="263">
        <f>+'WICHE Public Grads-RE PROJ'!AR66/'WICHE Public Grads-RE PROJ'!B66</f>
        <v>1.4181485597177992E-2</v>
      </c>
      <c r="C63" s="263">
        <f>+'WICHE Public Grads-RE PROJ'!AS66/'WICHE Public Grads-RE PROJ'!C66</f>
        <v>1.2612873532510947E-2</v>
      </c>
      <c r="D63" s="263">
        <f>+'WICHE Public Grads-RE PROJ'!AT66/'WICHE Public Grads-RE PROJ'!D66</f>
        <v>1.6949914879764136E-2</v>
      </c>
      <c r="E63" s="263">
        <f>+'WICHE Public Grads-RE PROJ'!AU66/'WICHE Public Grads-RE PROJ'!E66</f>
        <v>1.4146923470257372E-2</v>
      </c>
      <c r="F63" s="263">
        <f>+'WICHE Public Grads-RE PROJ'!AV66/'WICHE Public Grads-RE PROJ'!F66</f>
        <v>1.4146923470257372E-2</v>
      </c>
      <c r="G63" s="263">
        <f>+'WICHE Public Grads-RE PROJ'!AW66/'WICHE Public Grads-RE PROJ'!G66</f>
        <v>1.7796473062611229E-2</v>
      </c>
      <c r="H63" s="264">
        <f>+'WICHE Public Grads-RE PROJ'!AX66/'WICHE Public Grads-RE PROJ'!H66</f>
        <v>2.071417529757304E-2</v>
      </c>
      <c r="I63" s="264">
        <f>+'WICHE Public Grads-RE PROJ'!AY66/'WICHE Public Grads-RE PROJ'!I66</f>
        <v>1.8865030674846624E-2</v>
      </c>
      <c r="J63" s="264">
        <f>+'WICHE Public Grads-RE PROJ'!AZ66/'WICHE Public Grads-RE PROJ'!J66</f>
        <v>1.647940074906367E-2</v>
      </c>
      <c r="K63" s="264">
        <f>+'WICHE Public Grads-RE PROJ'!BA66/'WICHE Public Grads-RE PROJ'!K66</f>
        <v>2.0454826633605597E-2</v>
      </c>
      <c r="L63" s="263">
        <f>+'WICHE Public Grads-RE PROJ'!BB66/'WICHE Public Grads-RE PROJ'!L66</f>
        <v>2.4631785233658055E-2</v>
      </c>
      <c r="M63" s="264">
        <f>+'WICHE Public Grads-RE PROJ'!BC66/'WICHE Public Grads-RE PROJ'!M66</f>
        <v>2.5251076040172165E-2</v>
      </c>
      <c r="N63" s="264">
        <f>+'WICHE Public Grads-RE PROJ'!BD66/'WICHE Public Grads-RE PROJ'!N66</f>
        <v>2.6338028169014083E-2</v>
      </c>
      <c r="O63" s="264">
        <f>+'WICHE Public Grads-RE PROJ'!BE66/'WICHE Public Grads-RE PROJ'!O66</f>
        <v>1.8596196868008948E-2</v>
      </c>
      <c r="P63" s="264">
        <f>+'WICHE Public Grads-RE PROJ'!BF66/'WICHE Public Grads-RE PROJ'!P66</f>
        <v>2.4929930668240154E-2</v>
      </c>
      <c r="Q63" s="264">
        <f>+'WICHE Public Grads-RE PROJ'!BG66/'WICHE Public Grads-RE PROJ'!Q66</f>
        <v>2.5693590269236025E-2</v>
      </c>
      <c r="R63" s="264">
        <f>+'WICHE Public Grads-RE PROJ'!BH66/'WICHE Public Grads-RE PROJ'!R66</f>
        <v>1.9751082251082252E-2</v>
      </c>
      <c r="S63" s="264">
        <f>+'WICHE Public Grads-RE PROJ'!BI66/'WICHE Public Grads-RE PROJ'!S66</f>
        <v>2.8158971041121039E-2</v>
      </c>
      <c r="T63" s="263">
        <f>+'WICHE Public Grads-RE PROJ'!BJ66/'WICHE Public Grads-RE PROJ'!T66</f>
        <v>3.1309118527659288E-2</v>
      </c>
      <c r="U63" s="264">
        <f>+'WICHE Public Grads-RE PROJ'!BK66/'WICHE Public Grads-RE PROJ'!U66</f>
        <v>3.3356107298161908E-2</v>
      </c>
      <c r="V63" s="263">
        <f>+'WICHE Public Grads-RE PROJ'!BL66/'WICHE Public Grads-RE PROJ'!V66</f>
        <v>2.8451906150830857E-2</v>
      </c>
      <c r="W63" s="263">
        <f>+'WICHE Public Grads-RE PROJ'!BM66/'WICHE Public Grads-RE PROJ'!W66</f>
        <v>2.5996256386757476E-2</v>
      </c>
      <c r="X63" s="269">
        <f>+'WICHE Public Grads-RE PROJ'!BN66/'WICHE Public Grads-RE PROJ'!Y66</f>
        <v>3.6571309004886372E-2</v>
      </c>
      <c r="Y63" s="269">
        <f>+'WICHE Public Grads-RE PROJ'!BO66/'WICHE Public Grads-RE PROJ'!Z66</f>
        <v>3.7390552417751834E-2</v>
      </c>
      <c r="Z63" s="269">
        <f>+'WICHE Public Grads-RE PROJ'!BP66/'WICHE Public Grads-RE PROJ'!AA66</f>
        <v>4.2566255349977856E-2</v>
      </c>
      <c r="AA63" s="265">
        <f>+'WICHE Public Grads-RE PROJ'!BQ66/'WICHE Public Grads-RE PROJ'!AB66</f>
        <v>3.433076190360377E-2</v>
      </c>
      <c r="AB63" s="269">
        <f>+'WICHE Public Grads-RE PROJ'!BR66/'WICHE Public Grads-RE PROJ'!AC66</f>
        <v>4.0546428088675979E-2</v>
      </c>
      <c r="AC63" s="269">
        <f>+'WICHE Public Grads-RE PROJ'!BS66/'WICHE Public Grads-RE PROJ'!AD66</f>
        <v>4.6342552506247026E-2</v>
      </c>
      <c r="AD63" s="269">
        <f>+'WICHE Public Grads-RE PROJ'!BT66/'WICHE Public Grads-RE PROJ'!AE66</f>
        <v>4.4902532484657948E-2</v>
      </c>
      <c r="AE63" s="269">
        <f>+'WICHE Public Grads-RE PROJ'!BU66/'WICHE Public Grads-RE PROJ'!AF66</f>
        <v>5.1357182839005061E-2</v>
      </c>
      <c r="AF63" s="269">
        <f>+'WICHE Public Grads-RE PROJ'!BV66/'WICHE Public Grads-RE PROJ'!AG66</f>
        <v>4.769944400771458E-2</v>
      </c>
      <c r="AG63" s="265">
        <f>+'WICHE Public Grads-RE PROJ'!BW66/'WICHE Public Grads-RE PROJ'!AH66</f>
        <v>5.7841127295255937E-2</v>
      </c>
      <c r="AH63" s="269">
        <f>+'WICHE Public Grads-RE PROJ'!BX66/'WICHE Public Grads-RE PROJ'!AI66</f>
        <v>6.2114432374493607E-2</v>
      </c>
      <c r="AI63" s="269">
        <f>+'WICHE Public Grads-RE PROJ'!BY66/'WICHE Public Grads-RE PROJ'!AJ66</f>
        <v>5.2654863388965294E-2</v>
      </c>
      <c r="AJ63" s="269">
        <f>+'WICHE Public Grads-RE PROJ'!BZ66/'WICHE Public Grads-RE PROJ'!AK66</f>
        <v>5.973774744146286E-2</v>
      </c>
      <c r="AK63" s="269">
        <f>+'WICHE Public Grads-RE PROJ'!CA66/'WICHE Public Grads-RE PROJ'!AL66</f>
        <v>6.8626755565641032E-2</v>
      </c>
      <c r="AL63" s="269">
        <f>+'WICHE Public Grads-RE PROJ'!CB66/'WICHE Public Grads-RE PROJ'!AM66</f>
        <v>6.7661069305613358E-2</v>
      </c>
      <c r="AM63" s="269">
        <f>+'WICHE Public Grads-RE PROJ'!CC66/'WICHE Public Grads-RE PROJ'!AN66</f>
        <v>9.3737898874852274E-2</v>
      </c>
      <c r="AN63" s="269">
        <f>+'WICHE Public Grads-RE PROJ'!CD66/'WICHE Public Grads-RE PROJ'!AO66</f>
        <v>8.550775836342045E-2</v>
      </c>
      <c r="AO63" s="269">
        <f>+'WICHE Public Grads-RE PROJ'!CE66/'WICHE Public Grads-RE PROJ'!AP66</f>
        <v>8.031942113977919E-2</v>
      </c>
      <c r="AP63" s="283">
        <f>+'WICHE Public Grads-RE PROJ'!CF66/'WICHE Public Grads-RE PROJ'!AQ66</f>
        <v>9.1113675669440883E-2</v>
      </c>
      <c r="AQ63" s="263">
        <f>+'WICHE Public Grads-RE PROJ'!CG66/'WICHE Public Grads-RE PROJ'!B66</f>
        <v>5.1258381676546963E-3</v>
      </c>
      <c r="AR63" s="263">
        <f>+'WICHE Public Grads-RE PROJ'!CH66/'WICHE Public Grads-RE PROJ'!C66</f>
        <v>4.6925345349088134E-3</v>
      </c>
      <c r="AS63" s="263">
        <f>+'WICHE Public Grads-RE PROJ'!CI66/'WICHE Public Grads-RE PROJ'!D66</f>
        <v>5.495446557363475E-3</v>
      </c>
      <c r="AT63" s="263">
        <f>+'WICHE Public Grads-RE PROJ'!CJ66/'WICHE Public Grads-RE PROJ'!E66</f>
        <v>5.1133458326231467E-3</v>
      </c>
      <c r="AU63" s="263">
        <f>+'WICHE Public Grads-RE PROJ'!CK66/'WICHE Public Grads-RE PROJ'!F66</f>
        <v>5.1133458326231467E-3</v>
      </c>
      <c r="AV63" s="263">
        <f>+'WICHE Public Grads-RE PROJ'!CL66/'WICHE Public Grads-RE PROJ'!G66</f>
        <v>5.3389419187833687E-3</v>
      </c>
      <c r="AW63" s="264">
        <f>+'WICHE Public Grads-RE PROJ'!CM66/'WICHE Public Grads-RE PROJ'!H66</f>
        <v>5.1012521255217186E-3</v>
      </c>
      <c r="AX63" s="264">
        <f>+'WICHE Public Grads-RE PROJ'!CN66/'WICHE Public Grads-RE PROJ'!I66</f>
        <v>7.5153374233128834E-3</v>
      </c>
      <c r="AY63" s="264">
        <f>+'WICHE Public Grads-RE PROJ'!CO66/'WICHE Public Grads-RE PROJ'!J66</f>
        <v>4.4943820224719105E-3</v>
      </c>
      <c r="AZ63" s="264">
        <f>+'WICHE Public Grads-RE PROJ'!CP66/'WICHE Public Grads-RE PROJ'!K66</f>
        <v>4.1221759189031502E-3</v>
      </c>
      <c r="BA63" s="263">
        <f>+'WICHE Public Grads-RE PROJ'!CQ66/'WICHE Public Grads-RE PROJ'!L66</f>
        <v>5.5969113807708597E-3</v>
      </c>
      <c r="BB63" s="264">
        <f>+'WICHE Public Grads-RE PROJ'!CR66/'WICHE Public Grads-RE PROJ'!M66</f>
        <v>6.169296987087518E-3</v>
      </c>
      <c r="BC63" s="264">
        <f>+'WICHE Public Grads-RE PROJ'!CS66/'WICHE Public Grads-RE PROJ'!N66</f>
        <v>5.6338028169014088E-3</v>
      </c>
      <c r="BD63" s="264">
        <f>+'WICHE Public Grads-RE PROJ'!CT66/'WICHE Public Grads-RE PROJ'!O66</f>
        <v>5.3131991051454143E-3</v>
      </c>
      <c r="BE63" s="264">
        <f>+'WICHE Public Grads-RE PROJ'!CU66/'WICHE Public Grads-RE PROJ'!P66</f>
        <v>7.5232335152677389E-3</v>
      </c>
      <c r="BF63" s="264">
        <f>+'WICHE Public Grads-RE PROJ'!CV66/'WICHE Public Grads-RE PROJ'!Q66</f>
        <v>1.3120131201312012E-2</v>
      </c>
      <c r="BG63" s="264">
        <f>+'WICHE Public Grads-RE PROJ'!CW66/'WICHE Public Grads-RE PROJ'!R66</f>
        <v>6.358225108225108E-3</v>
      </c>
      <c r="BH63" s="264">
        <f>+'WICHE Public Grads-RE PROJ'!CX66/'WICHE Public Grads-RE PROJ'!S66</f>
        <v>5.4574903377748478E-3</v>
      </c>
      <c r="BI63" s="263">
        <f>+'WICHE Public Grads-RE PROJ'!CY66/'WICHE Public Grads-RE PROJ'!T66</f>
        <v>4.4853814229186984E-3</v>
      </c>
      <c r="BJ63" s="264">
        <f>+'WICHE Public Grads-RE PROJ'!CZ66/'WICHE Public Grads-RE PROJ'!U66</f>
        <v>3.3844099812906326E-3</v>
      </c>
      <c r="BK63" s="263">
        <f>+'WICHE Public Grads-RE PROJ'!DA66/'WICHE Public Grads-RE PROJ'!V66</f>
        <v>3.7199851049553021E-3</v>
      </c>
      <c r="BL63" s="263">
        <f>+'WICHE Public Grads-RE PROJ'!DB66/'WICHE Public Grads-RE PROJ'!W66</f>
        <v>1.9235302945415664E-3</v>
      </c>
      <c r="BM63" s="269">
        <f>+'WICHE Public Grads-RE PROJ'!DC66/'WICHE Public Grads-RE PROJ'!Y66</f>
        <v>2.0883235020275259E-3</v>
      </c>
      <c r="BN63" s="269">
        <f>+'WICHE Public Grads-RE PROJ'!DD66/'WICHE Public Grads-RE PROJ'!Z66</f>
        <v>3.2017097851759456E-3</v>
      </c>
      <c r="BO63" s="269">
        <f>+'WICHE Public Grads-RE PROJ'!DE66/'WICHE Public Grads-RE PROJ'!AA66</f>
        <v>2.4361885922011069E-3</v>
      </c>
      <c r="BP63" s="265">
        <f>+'WICHE Public Grads-RE PROJ'!DF66/'WICHE Public Grads-RE PROJ'!AB66</f>
        <v>4.6327717639501895E-3</v>
      </c>
      <c r="BQ63" s="269">
        <f>+'WICHE Public Grads-RE PROJ'!DG66/'WICHE Public Grads-RE PROJ'!AC66</f>
        <v>4.7905942550630328E-3</v>
      </c>
      <c r="BR63" s="269">
        <f>+'WICHE Public Grads-RE PROJ'!DH66/'WICHE Public Grads-RE PROJ'!AD66</f>
        <v>5.0932808176536509E-3</v>
      </c>
      <c r="BS63" s="269">
        <f>+'WICHE Public Grads-RE PROJ'!DI66/'WICHE Public Grads-RE PROJ'!AE66</f>
        <v>3.9427480098362926E-3</v>
      </c>
      <c r="BT63" s="269">
        <f>+'WICHE Public Grads-RE PROJ'!DJ66/'WICHE Public Grads-RE PROJ'!AF66</f>
        <v>3.7333612259761945E-3</v>
      </c>
      <c r="BU63" s="269">
        <f>+'WICHE Public Grads-RE PROJ'!DK66/'WICHE Public Grads-RE PROJ'!AG66</f>
        <v>5.7765812552969444E-3</v>
      </c>
      <c r="BV63" s="265">
        <f>+'WICHE Public Grads-RE PROJ'!DL66/'WICHE Public Grads-RE PROJ'!AH66</f>
        <v>1.3560635290350582E-2</v>
      </c>
      <c r="BW63" s="269">
        <f>+'WICHE Public Grads-RE PROJ'!DM66/'WICHE Public Grads-RE PROJ'!AI66</f>
        <v>1.1588267499396614E-2</v>
      </c>
      <c r="BX63" s="269">
        <f>+'WICHE Public Grads-RE PROJ'!DN66/'WICHE Public Grads-RE PROJ'!AJ66</f>
        <v>1.2718575954676061E-2</v>
      </c>
      <c r="BY63" s="269">
        <f>+'WICHE Public Grads-RE PROJ'!DO66/'WICHE Public Grads-RE PROJ'!AK66</f>
        <v>1.0157539448284658E-2</v>
      </c>
      <c r="BZ63" s="269">
        <f>+'WICHE Public Grads-RE PROJ'!DP66/'WICHE Public Grads-RE PROJ'!AL66</f>
        <v>1.9181482658973126E-2</v>
      </c>
      <c r="CA63" s="269">
        <f>+'WICHE Public Grads-RE PROJ'!DQ66/'WICHE Public Grads-RE PROJ'!AM66</f>
        <v>1.8465417904766638E-2</v>
      </c>
      <c r="CB63" s="269">
        <f>+'WICHE Public Grads-RE PROJ'!DR66/'WICHE Public Grads-RE PROJ'!AN66</f>
        <v>1.9762699643987136E-2</v>
      </c>
      <c r="CC63" s="269">
        <f>+'WICHE Public Grads-RE PROJ'!DS66/'WICHE Public Grads-RE PROJ'!AO66</f>
        <v>1.0717918716683239E-2</v>
      </c>
      <c r="CD63" s="269">
        <f>+'WICHE Public Grads-RE PROJ'!DT66/'WICHE Public Grads-RE PROJ'!AP66</f>
        <v>1.1737120488994435E-2</v>
      </c>
      <c r="CE63" s="283">
        <f>+'WICHE Public Grads-RE PROJ'!DU66/'WICHE Public Grads-RE PROJ'!AQ66</f>
        <v>1.7432884539170072E-2</v>
      </c>
      <c r="CF63" s="263">
        <f>+'WICHE Public Grads-RE PROJ'!DV66/'WICHE Public Grads-RE PROJ'!B66</f>
        <v>9.0556474295232971E-3</v>
      </c>
      <c r="CG63" s="263">
        <f>+'WICHE Public Grads-RE PROJ'!DW66/'WICHE Public Grads-RE PROJ'!C66</f>
        <v>7.9203389976021318E-3</v>
      </c>
      <c r="CH63" s="263">
        <f>+'WICHE Public Grads-RE PROJ'!DX66/'WICHE Public Grads-RE PROJ'!D66</f>
        <v>1.1454468322400662E-2</v>
      </c>
      <c r="CI63" s="263">
        <f>+'WICHE Public Grads-RE PROJ'!DY66/'WICHE Public Grads-RE PROJ'!E66</f>
        <v>9.0335776376342259E-3</v>
      </c>
      <c r="CJ63" s="263">
        <f>+'WICHE Public Grads-RE PROJ'!DZ66/'WICHE Public Grads-RE PROJ'!F66</f>
        <v>9.0335776376342259E-3</v>
      </c>
      <c r="CK63" s="263">
        <f>+'WICHE Public Grads-RE PROJ'!EA66/'WICHE Public Grads-RE PROJ'!G66</f>
        <v>1.245753114382786E-2</v>
      </c>
      <c r="CL63" s="264">
        <f>+'WICHE Public Grads-RE PROJ'!EB66/'WICHE Public Grads-RE PROJ'!H66</f>
        <v>1.5612923172051322E-2</v>
      </c>
      <c r="CM63" s="264">
        <f>+'WICHE Public Grads-RE PROJ'!EC66/'WICHE Public Grads-RE PROJ'!I66</f>
        <v>1.1349693251533743E-2</v>
      </c>
      <c r="CN63" s="264">
        <f>+'WICHE Public Grads-RE PROJ'!ED66/'WICHE Public Grads-RE PROJ'!J66</f>
        <v>1.1985018726591761E-2</v>
      </c>
      <c r="CO63" s="264">
        <f>+'WICHE Public Grads-RE PROJ'!EE66/'WICHE Public Grads-RE PROJ'!K66</f>
        <v>1.6332650714702451E-2</v>
      </c>
      <c r="CP63" s="263">
        <f>+'WICHE Public Grads-RE PROJ'!EF66/'WICHE Public Grads-RE PROJ'!L66</f>
        <v>1.9034873852887196E-2</v>
      </c>
      <c r="CQ63" s="264">
        <f>+'WICHE Public Grads-RE PROJ'!EG66/'WICHE Public Grads-RE PROJ'!M66</f>
        <v>1.9081779053084648E-2</v>
      </c>
      <c r="CR63" s="264">
        <f>+'WICHE Public Grads-RE PROJ'!EH66/'WICHE Public Grads-RE PROJ'!N66</f>
        <v>2.0704225352112676E-2</v>
      </c>
      <c r="CS63" s="264">
        <f>+'WICHE Public Grads-RE PROJ'!EI66/'WICHE Public Grads-RE PROJ'!O66</f>
        <v>1.3282997762863534E-2</v>
      </c>
      <c r="CT63" s="264">
        <f>+'WICHE Public Grads-RE PROJ'!EJ66/'WICHE Public Grads-RE PROJ'!P66</f>
        <v>1.7406697152972415E-2</v>
      </c>
      <c r="CU63" s="264">
        <f>+'WICHE Public Grads-RE PROJ'!EK66/'WICHE Public Grads-RE PROJ'!Q66</f>
        <v>1.2573459067924012E-2</v>
      </c>
      <c r="CV63" s="264">
        <f>+'WICHE Public Grads-RE PROJ'!EL66/'WICHE Public Grads-RE PROJ'!R66</f>
        <v>1.3392857142857142E-2</v>
      </c>
      <c r="CW63" s="264">
        <f>+'WICHE Public Grads-RE PROJ'!EM66/'WICHE Public Grads-RE PROJ'!S66</f>
        <v>2.270148070334619E-2</v>
      </c>
      <c r="CX63" s="263">
        <f>+'WICHE Public Grads-RE PROJ'!EN66/'WICHE Public Grads-RE PROJ'!T66</f>
        <v>2.6823737104740591E-2</v>
      </c>
      <c r="CY63" s="264">
        <f>+'WICHE Public Grads-RE PROJ'!EO66/'WICHE Public Grads-RE PROJ'!U66</f>
        <v>2.9971697316871278E-2</v>
      </c>
      <c r="CZ63" s="263">
        <f>+'WICHE Public Grads-RE PROJ'!EP66/'WICHE Public Grads-RE PROJ'!V66</f>
        <v>2.4731921045875554E-2</v>
      </c>
      <c r="DA63" s="263">
        <f>+'WICHE Public Grads-RE PROJ'!EQ66/'WICHE Public Grads-RE PROJ'!W66</f>
        <v>2.4072726092215911E-2</v>
      </c>
      <c r="DB63" s="269">
        <f>+'WICHE Public Grads-RE PROJ'!ER66/'WICHE Public Grads-RE PROJ'!Y66</f>
        <v>3.4482985502858846E-2</v>
      </c>
      <c r="DC63" s="269">
        <f>+'WICHE Public Grads-RE PROJ'!ES66/'WICHE Public Grads-RE PROJ'!Z66</f>
        <v>3.4188842632575885E-2</v>
      </c>
      <c r="DD63" s="269">
        <f>+'WICHE Public Grads-RE PROJ'!ET66/'WICHE Public Grads-RE PROJ'!AA66</f>
        <v>4.013006675777675E-2</v>
      </c>
      <c r="DE63" s="265">
        <f>+'WICHE Public Grads-RE PROJ'!EU66/'WICHE Public Grads-RE PROJ'!AB66</f>
        <v>2.9697990139653577E-2</v>
      </c>
      <c r="DF63" s="269">
        <f>+'WICHE Public Grads-RE PROJ'!EV66/'WICHE Public Grads-RE PROJ'!AC66</f>
        <v>3.5755833833612943E-2</v>
      </c>
      <c r="DG63" s="269">
        <f>+'WICHE Public Grads-RE PROJ'!EW66/'WICHE Public Grads-RE PROJ'!AD66</f>
        <v>4.1249271688593374E-2</v>
      </c>
      <c r="DH63" s="269">
        <f>+'WICHE Public Grads-RE PROJ'!EX66/'WICHE Public Grads-RE PROJ'!AE66</f>
        <v>4.0959784474821653E-2</v>
      </c>
      <c r="DI63" s="269">
        <f>+'WICHE Public Grads-RE PROJ'!EY66/'WICHE Public Grads-RE PROJ'!AF66</f>
        <v>4.7623821613028861E-2</v>
      </c>
      <c r="DJ63" s="269">
        <f>+'WICHE Public Grads-RE PROJ'!EZ66/'WICHE Public Grads-RE PROJ'!AG66</f>
        <v>4.192286275241764E-2</v>
      </c>
      <c r="DK63" s="265">
        <f>+'WICHE Public Grads-RE PROJ'!FA66/'WICHE Public Grads-RE PROJ'!AH66</f>
        <v>4.4280492004905365E-2</v>
      </c>
      <c r="DL63" s="269">
        <f>+'WICHE Public Grads-RE PROJ'!FB66/'WICHE Public Grads-RE PROJ'!AI66</f>
        <v>5.0526164875096993E-2</v>
      </c>
      <c r="DM63" s="269">
        <f>+'WICHE Public Grads-RE PROJ'!FC66/'WICHE Public Grads-RE PROJ'!AJ66</f>
        <v>3.993628743428923E-2</v>
      </c>
      <c r="DN63" s="269">
        <f>+'WICHE Public Grads-RE PROJ'!FD66/'WICHE Public Grads-RE PROJ'!AK66</f>
        <v>4.9580207993178207E-2</v>
      </c>
      <c r="DO63" s="269">
        <f>+'WICHE Public Grads-RE PROJ'!FE66/'WICHE Public Grads-RE PROJ'!AL66</f>
        <v>4.9445272906667906E-2</v>
      </c>
      <c r="DP63" s="269">
        <f>+'WICHE Public Grads-RE PROJ'!FF66/'WICHE Public Grads-RE PROJ'!AM66</f>
        <v>4.9195651400846724E-2</v>
      </c>
      <c r="DQ63" s="269">
        <f>+'WICHE Public Grads-RE PROJ'!FG66/'WICHE Public Grads-RE PROJ'!AN66</f>
        <v>7.3975199230865138E-2</v>
      </c>
      <c r="DR63" s="269">
        <f>+'WICHE Public Grads-RE PROJ'!FH66/'WICHE Public Grads-RE PROJ'!AO66</f>
        <v>7.4789839646737216E-2</v>
      </c>
      <c r="DS63" s="269">
        <f>+'WICHE Public Grads-RE PROJ'!FI66/'WICHE Public Grads-RE PROJ'!AP66</f>
        <v>6.8582300650784758E-2</v>
      </c>
      <c r="DT63" s="283">
        <f>+'WICHE Public Grads-RE PROJ'!FJ66/'WICHE Public Grads-RE PROJ'!AQ66</f>
        <v>7.3680791130270804E-2</v>
      </c>
      <c r="DU63" s="263">
        <f>+'WICHE Public Grads-RE PROJ'!FK66/'WICHE Public Grads-RE PROJ'!B66</f>
        <v>4.1006705341237563E-3</v>
      </c>
      <c r="DV63" s="263">
        <f>+'WICHE Public Grads-RE PROJ'!FL66/'WICHE Public Grads-RE PROJ'!C66</f>
        <v>4.6885716393751109E-3</v>
      </c>
      <c r="DW63" s="263">
        <f>+'WICHE Public Grads-RE PROJ'!FM66/'WICHE Public Grads-RE PROJ'!D66</f>
        <v>6.1583807422641648E-3</v>
      </c>
      <c r="DX63" s="263">
        <f>+'WICHE Public Grads-RE PROJ'!FN66/'WICHE Public Grads-RE PROJ'!E66</f>
        <v>4.0906766660985172E-3</v>
      </c>
      <c r="DY63" s="263">
        <f>+'WICHE Public Grads-RE PROJ'!FO66/'WICHE Public Grads-RE PROJ'!F66</f>
        <v>4.0906766660985172E-3</v>
      </c>
      <c r="DZ63" s="263">
        <f>+'WICHE Public Grads-RE PROJ'!FP66/'WICHE Public Grads-RE PROJ'!G66</f>
        <v>6.1478725125384244E-3</v>
      </c>
      <c r="EA63" s="264">
        <f>+'WICHE Public Grads-RE PROJ'!FQ66/'WICHE Public Grads-RE PROJ'!H66</f>
        <v>5.565002318750966E-3</v>
      </c>
      <c r="EB63" s="264">
        <f>+'WICHE Public Grads-RE PROJ'!FR66/'WICHE Public Grads-RE PROJ'!I66</f>
        <v>5.8282208588957057E-3</v>
      </c>
      <c r="EC63" s="264">
        <f>+'WICHE Public Grads-RE PROJ'!FS66/'WICHE Public Grads-RE PROJ'!J66</f>
        <v>5.5430711610486893E-3</v>
      </c>
      <c r="ED63" s="264">
        <f>+'WICHE Public Grads-RE PROJ'!FT66/'WICHE Public Grads-RE PROJ'!K66</f>
        <v>6.9745143655192531E-3</v>
      </c>
      <c r="EE63" s="263">
        <f>+'WICHE Public Grads-RE PROJ'!FU66/'WICHE Public Grads-RE PROJ'!L66</f>
        <v>6.565226476069462E-3</v>
      </c>
      <c r="EF63" s="264">
        <f>+'WICHE Public Grads-RE PROJ'!FV66/'WICHE Public Grads-RE PROJ'!M66</f>
        <v>8.4648493543758967E-3</v>
      </c>
      <c r="EG63" s="264">
        <f>+'WICHE Public Grads-RE PROJ'!FW66/'WICHE Public Grads-RE PROJ'!N66</f>
        <v>1.2535211267605633E-2</v>
      </c>
      <c r="EH63" s="264">
        <f>+'WICHE Public Grads-RE PROJ'!FX66/'WICHE Public Grads-RE PROJ'!O66</f>
        <v>9.6476510067114093E-3</v>
      </c>
      <c r="EI63" s="264">
        <f>+'WICHE Public Grads-RE PROJ'!FY66/'WICHE Public Grads-RE PROJ'!P66</f>
        <v>1.2833751290750848E-2</v>
      </c>
      <c r="EJ63" s="264">
        <f>+'WICHE Public Grads-RE PROJ'!FZ66/'WICHE Public Grads-RE PROJ'!Q66</f>
        <v>1.2436791034577012E-2</v>
      </c>
      <c r="EK63" s="264">
        <f>+'WICHE Public Grads-RE PROJ'!GA66/'WICHE Public Grads-RE PROJ'!R66</f>
        <v>1.2581168831168832E-2</v>
      </c>
      <c r="EL63" s="264">
        <f>+'WICHE Public Grads-RE PROJ'!GB66/'WICHE Public Grads-RE PROJ'!S66</f>
        <v>1.3806049785972604E-2</v>
      </c>
      <c r="EM63" s="263">
        <f>+'WICHE Public Grads-RE PROJ'!GC66/'WICHE Public Grads-RE PROJ'!T66</f>
        <v>1.6635697818324448E-2</v>
      </c>
      <c r="EN63" s="264">
        <f>+'WICHE Public Grads-RE PROJ'!GD66/'WICHE Public Grads-RE PROJ'!U66</f>
        <v>1.856649249895587E-2</v>
      </c>
      <c r="EO63" s="263">
        <f>+'WICHE Public Grads-RE PROJ'!GE66/'WICHE Public Grads-RE PROJ'!V66</f>
        <v>1.7546814903952622E-2</v>
      </c>
      <c r="EP63" s="263">
        <f>+'WICHE Public Grads-RE PROJ'!GF66/'WICHE Public Grads-RE PROJ'!W66</f>
        <v>2.1276713996320949E-2</v>
      </c>
      <c r="EQ63" s="269">
        <f>+'WICHE Public Grads-RE PROJ'!GG66/'WICHE Public Grads-RE PROJ'!Y66</f>
        <v>1.9345652052233795E-2</v>
      </c>
      <c r="ER63" s="269">
        <f>+'WICHE Public Grads-RE PROJ'!GH66/'WICHE Public Grads-RE PROJ'!Z66</f>
        <v>1.9733501367866408E-2</v>
      </c>
      <c r="ES63" s="269">
        <f>+'WICHE Public Grads-RE PROJ'!GI66/'WICHE Public Grads-RE PROJ'!AA66</f>
        <v>1.6501105196414803E-2</v>
      </c>
      <c r="ET63" s="265">
        <f>+'WICHE Public Grads-RE PROJ'!GJ66/'WICHE Public Grads-RE PROJ'!AB66</f>
        <v>2.2854015065356281E-2</v>
      </c>
      <c r="EU63" s="269">
        <f>+'WICHE Public Grads-RE PROJ'!GK66/'WICHE Public Grads-RE PROJ'!AC66</f>
        <v>2.2776418503758642E-2</v>
      </c>
      <c r="EV63" s="269">
        <f>+'WICHE Public Grads-RE PROJ'!GL66/'WICHE Public Grads-RE PROJ'!AD66</f>
        <v>2.1720276018254721E-2</v>
      </c>
      <c r="EW63" s="269">
        <f>+'WICHE Public Grads-RE PROJ'!GM66/'WICHE Public Grads-RE PROJ'!AE66</f>
        <v>1.8551906526516049E-2</v>
      </c>
      <c r="EX63" s="269">
        <f>+'WICHE Public Grads-RE PROJ'!GN66/'WICHE Public Grads-RE PROJ'!AF66</f>
        <v>2.2563099868032926E-2</v>
      </c>
      <c r="EY63" s="269">
        <f>+'WICHE Public Grads-RE PROJ'!GO66/'WICHE Public Grads-RE PROJ'!AG66</f>
        <v>2.0801723319287715E-2</v>
      </c>
      <c r="EZ63" s="265">
        <f>+'WICHE Public Grads-RE PROJ'!GP66/'WICHE Public Grads-RE PROJ'!AH66</f>
        <v>2.0601009654745824E-2</v>
      </c>
      <c r="FA63" s="269">
        <f>+'WICHE Public Grads-RE PROJ'!GQ66/'WICHE Public Grads-RE PROJ'!AI66</f>
        <v>2.1106806903058301E-2</v>
      </c>
      <c r="FB63" s="269">
        <f>+'WICHE Public Grads-RE PROJ'!GR66/'WICHE Public Grads-RE PROJ'!AJ66</f>
        <v>2.1506686913683477E-2</v>
      </c>
      <c r="FC63" s="269">
        <f>+'WICHE Public Grads-RE PROJ'!GS66/'WICHE Public Grads-RE PROJ'!AK66</f>
        <v>2.8910636352143311E-2</v>
      </c>
      <c r="FD63" s="269">
        <f>+'WICHE Public Grads-RE PROJ'!GT66/'WICHE Public Grads-RE PROJ'!AL66</f>
        <v>2.3392924289892491E-2</v>
      </c>
      <c r="FE63" s="269">
        <f>+'WICHE Public Grads-RE PROJ'!GU66/'WICHE Public Grads-RE PROJ'!AM66</f>
        <v>3.1889513905939519E-2</v>
      </c>
      <c r="FF63" s="269">
        <f>+'WICHE Public Grads-RE PROJ'!GV66/'WICHE Public Grads-RE PROJ'!AN66</f>
        <v>2.5834280601588759E-2</v>
      </c>
      <c r="FG63" s="269">
        <f>+'WICHE Public Grads-RE PROJ'!GW66/'WICHE Public Grads-RE PROJ'!AO66</f>
        <v>2.7591357427985387E-2</v>
      </c>
      <c r="FH63" s="269">
        <f>+'WICHE Public Grads-RE PROJ'!GX66/'WICHE Public Grads-RE PROJ'!AP66</f>
        <v>3.1922838335115535E-2</v>
      </c>
      <c r="FI63" s="283">
        <f>+'WICHE Public Grads-RE PROJ'!GY66/'WICHE Public Grads-RE PROJ'!AQ66</f>
        <v>3.3982642000052375E-2</v>
      </c>
      <c r="FJ63" s="263">
        <f>+'WICHE Public Grads-RE PROJ'!GZ66/'WICHE Public Grads-RE PROJ'!B66</f>
        <v>5.1258381676546963E-3</v>
      </c>
      <c r="FK63" s="263">
        <f>+'WICHE Public Grads-RE PROJ'!HA66/'WICHE Public Grads-RE PROJ'!C66</f>
        <v>5.4651258825497255E-3</v>
      </c>
      <c r="FL63" s="263">
        <f>+'WICHE Public Grads-RE PROJ'!HB66/'WICHE Public Grads-RE PROJ'!D66</f>
        <v>6.6418325234353787E-3</v>
      </c>
      <c r="FM63" s="263">
        <f>+'WICHE Public Grads-RE PROJ'!HC66/'WICHE Public Grads-RE PROJ'!E66</f>
        <v>5.1133458326231467E-3</v>
      </c>
      <c r="FN63" s="263">
        <f>+'WICHE Public Grads-RE PROJ'!HD66/'WICHE Public Grads-RE PROJ'!F66</f>
        <v>5.1133458326231467E-3</v>
      </c>
      <c r="FO63" s="263">
        <f>+'WICHE Public Grads-RE PROJ'!HE66/'WICHE Public Grads-RE PROJ'!G66</f>
        <v>6.7950169875424689E-3</v>
      </c>
      <c r="FP63" s="264">
        <f>+'WICHE Public Grads-RE PROJ'!HF66/'WICHE Public Grads-RE PROJ'!H66</f>
        <v>6.4925027052094601E-3</v>
      </c>
      <c r="FQ63" s="264">
        <f>+'WICHE Public Grads-RE PROJ'!HG66/'WICHE Public Grads-RE PROJ'!I66</f>
        <v>4.2944785276073623E-3</v>
      </c>
      <c r="FR63" s="264">
        <f>+'WICHE Public Grads-RE PROJ'!HH66/'WICHE Public Grads-RE PROJ'!J66</f>
        <v>4.7940074906367043E-3</v>
      </c>
      <c r="FS63" s="264">
        <f>+'WICHE Public Grads-RE PROJ'!HI66/'WICHE Public Grads-RE PROJ'!K66</f>
        <v>6.9349980061260211E-3</v>
      </c>
      <c r="FT63" s="263">
        <f>+'WICHE Public Grads-RE PROJ'!HJ66/'WICHE Public Grads-RE PROJ'!L66</f>
        <v>5.6517259254553146E-3</v>
      </c>
      <c r="FU63" s="264">
        <f>+'WICHE Public Grads-RE PROJ'!HK66/'WICHE Public Grads-RE PROJ'!M66</f>
        <v>6.5997130559540887E-3</v>
      </c>
      <c r="FV63" s="264">
        <f>+'WICHE Public Grads-RE PROJ'!HL66/'WICHE Public Grads-RE PROJ'!N66</f>
        <v>8.8732394366197176E-3</v>
      </c>
      <c r="FW63" s="264">
        <f>+'WICHE Public Grads-RE PROJ'!HM66/'WICHE Public Grads-RE PROJ'!O66</f>
        <v>8.1096196868008941E-3</v>
      </c>
      <c r="FX63" s="264">
        <f>+'WICHE Public Grads-RE PROJ'!HN66/'WICHE Public Grads-RE PROJ'!P66</f>
        <v>1.062103555096622E-2</v>
      </c>
      <c r="FY63" s="264">
        <f>+'WICHE Public Grads-RE PROJ'!HO66/'WICHE Public Grads-RE PROJ'!Q66</f>
        <v>8.6100861008610082E-3</v>
      </c>
      <c r="FZ63" s="264">
        <f>+'WICHE Public Grads-RE PROJ'!HP66/'WICHE Public Grads-RE PROJ'!R66</f>
        <v>9.74025974025974E-3</v>
      </c>
      <c r="GA63" s="264">
        <f>+'WICHE Public Grads-RE PROJ'!HQ66/'WICHE Public Grads-RE PROJ'!S66</f>
        <v>8.4616451657650166E-3</v>
      </c>
      <c r="GB63" s="263">
        <f>+'WICHE Public Grads-RE PROJ'!HR66/'WICHE Public Grads-RE PROJ'!T66</f>
        <v>1.1251562717044033E-2</v>
      </c>
      <c r="GC63" s="264">
        <f>+'WICHE Public Grads-RE PROJ'!HS66/'WICHE Public Grads-RE PROJ'!U66</f>
        <v>1.3848817080207732E-2</v>
      </c>
      <c r="GD63" s="263">
        <f>+'WICHE Public Grads-RE PROJ'!HT66/'WICHE Public Grads-RE PROJ'!V66</f>
        <v>1.3558827817466102E-2</v>
      </c>
      <c r="GE63" s="263">
        <f>+'WICHE Public Grads-RE PROJ'!HU66/'WICHE Public Grads-RE PROJ'!W66</f>
        <v>1.2786935757202279E-2</v>
      </c>
      <c r="GF63" s="269">
        <f>+'WICHE Public Grads-RE PROJ'!HV66/'WICHE Public Grads-RE PROJ'!Y66</f>
        <v>1.2259681715130233E-2</v>
      </c>
      <c r="GG63" s="269">
        <f>+'WICHE Public Grads-RE PROJ'!HW66/'WICHE Public Grads-RE PROJ'!Z66</f>
        <v>1.6604673522433038E-2</v>
      </c>
      <c r="GH63" s="269">
        <f>+'WICHE Public Grads-RE PROJ'!HX66/'WICHE Public Grads-RE PROJ'!AA66</f>
        <v>1.6883176820369161E-2</v>
      </c>
      <c r="GI63" s="265">
        <f>+'WICHE Public Grads-RE PROJ'!HY66/'WICHE Public Grads-RE PROJ'!AB66</f>
        <v>1.741363387963394E-2</v>
      </c>
      <c r="GJ63" s="269">
        <f>+'WICHE Public Grads-RE PROJ'!HZ66/'WICHE Public Grads-RE PROJ'!AC66</f>
        <v>2.1838602368072023E-2</v>
      </c>
      <c r="GK63" s="269">
        <f>+'WICHE Public Grads-RE PROJ'!IA66/'WICHE Public Grads-RE PROJ'!AD66</f>
        <v>1.7445956986359579E-2</v>
      </c>
      <c r="GL63" s="269">
        <f>+'WICHE Public Grads-RE PROJ'!IB66/'WICHE Public Grads-RE PROJ'!AE66</f>
        <v>2.1205163958923457E-2</v>
      </c>
      <c r="GM63" s="269">
        <f>+'WICHE Public Grads-RE PROJ'!IC66/'WICHE Public Grads-RE PROJ'!AF66</f>
        <v>2.1696823162602175E-2</v>
      </c>
      <c r="GN63" s="269">
        <f>+'WICHE Public Grads-RE PROJ'!ID66/'WICHE Public Grads-RE PROJ'!AG66</f>
        <v>2.5484599196165601E-2</v>
      </c>
      <c r="GO63" s="265">
        <f>+'WICHE Public Grads-RE PROJ'!IE66/'WICHE Public Grads-RE PROJ'!AH66</f>
        <v>2.6664702590639102E-2</v>
      </c>
      <c r="GP63" s="269">
        <f>+'WICHE Public Grads-RE PROJ'!IF66/'WICHE Public Grads-RE PROJ'!AI66</f>
        <v>2.6325959480129283E-2</v>
      </c>
      <c r="GQ63" s="269">
        <f>+'WICHE Public Grads-RE PROJ'!IG66/'WICHE Public Grads-RE PROJ'!AJ66</f>
        <v>3.2710090013509677E-2</v>
      </c>
      <c r="GR63" s="269">
        <f>+'WICHE Public Grads-RE PROJ'!IH66/'WICHE Public Grads-RE PROJ'!AK66</f>
        <v>2.9218597343912439E-2</v>
      </c>
      <c r="GS63" s="269">
        <f>+'WICHE Public Grads-RE PROJ'!II66/'WICHE Public Grads-RE PROJ'!AL66</f>
        <v>3.7270441933821737E-2</v>
      </c>
      <c r="GT63" s="269">
        <f>+'WICHE Public Grads-RE PROJ'!IJ66/'WICHE Public Grads-RE PROJ'!AM66</f>
        <v>3.0146484712522945E-2</v>
      </c>
      <c r="GU63" s="269">
        <f>+'WICHE Public Grads-RE PROJ'!IK66/'WICHE Public Grads-RE PROJ'!AN66</f>
        <v>2.908697080295946E-2</v>
      </c>
      <c r="GV63" s="269">
        <f>+'WICHE Public Grads-RE PROJ'!IL66/'WICHE Public Grads-RE PROJ'!AO66</f>
        <v>4.0313890443685836E-2</v>
      </c>
      <c r="GW63" s="269">
        <f>+'WICHE Public Grads-RE PROJ'!IM66/'WICHE Public Grads-RE PROJ'!AP66</f>
        <v>3.7305054783487113E-2</v>
      </c>
      <c r="GX63" s="283">
        <f>+'WICHE Public Grads-RE PROJ'!IN66/'WICHE Public Grads-RE PROJ'!AQ66</f>
        <v>3.6959592720153381E-2</v>
      </c>
      <c r="GY63" s="263">
        <f>+'WICHE Public Grads-RE PROJ'!IO66/'WICHE Public Grads-RE PROJ'!B66</f>
        <v>0.97659200570104365</v>
      </c>
      <c r="GZ63" s="263">
        <f>+'WICHE Public Grads-RE PROJ'!IP66/'WICHE Public Grads-RE PROJ'!C66</f>
        <v>0.9772334289455642</v>
      </c>
      <c r="HA63" s="263">
        <f>+'WICHE Public Grads-RE PROJ'!IQ66/'WICHE Public Grads-RE PROJ'!D66</f>
        <v>0.97024987185453637</v>
      </c>
      <c r="HB63" s="263">
        <f>+'WICHE Public Grads-RE PROJ'!IR66/'WICHE Public Grads-RE PROJ'!E66</f>
        <v>0.97664905403102098</v>
      </c>
      <c r="HC63" s="263">
        <f>+'WICHE Public Grads-RE PROJ'!IS66/'WICHE Public Grads-RE PROJ'!F66</f>
        <v>0.97664905403102098</v>
      </c>
      <c r="HD63" s="263">
        <f>+'WICHE Public Grads-RE PROJ'!IT66/'WICHE Public Grads-RE PROJ'!G66</f>
        <v>0.96926063743730784</v>
      </c>
      <c r="HE63" s="264">
        <f>+'WICHE Public Grads-RE PROJ'!IU66/'WICHE Public Grads-RE PROJ'!H66</f>
        <v>0.96722831967846656</v>
      </c>
      <c r="HF63" s="264">
        <f>+'WICHE Public Grads-RE PROJ'!IV66/'WICHE Public Grads-RE PROJ'!I66</f>
        <v>0.97101226993865031</v>
      </c>
      <c r="HG63" s="264">
        <f>+'WICHE Public Grads-RE PROJ'!IW66/'WICHE Public Grads-RE PROJ'!J66</f>
        <v>0.97318352059925095</v>
      </c>
      <c r="HH63" s="264">
        <f>+'WICHE Public Grads-RE PROJ'!IX66/'WICHE Public Grads-RE PROJ'!K66</f>
        <v>0.96563566102683784</v>
      </c>
      <c r="HI63" s="263">
        <f>+'WICHE Public Grads-RE PROJ'!IY66/'WICHE Public Grads-RE PROJ'!L66</f>
        <v>0.96315126231822668</v>
      </c>
      <c r="HJ63" s="264">
        <f>+'WICHE Public Grads-RE PROJ'!IZ66/'WICHE Public Grads-RE PROJ'!M66</f>
        <v>0.95968436154949788</v>
      </c>
      <c r="HK63" s="264">
        <f>+'WICHE Public Grads-RE PROJ'!JA66/'WICHE Public Grads-RE PROJ'!N66</f>
        <v>0.9511267605633803</v>
      </c>
      <c r="HL63" s="264">
        <f>+'WICHE Public Grads-RE PROJ'!JB66/'WICHE Public Grads-RE PROJ'!O66</f>
        <v>0.88296979865771807</v>
      </c>
      <c r="HM63" s="264">
        <f>+'WICHE Public Grads-RE PROJ'!JC66/'WICHE Public Grads-RE PROJ'!P66</f>
        <v>0.95161528249004279</v>
      </c>
      <c r="HN63" s="264">
        <f>+'WICHE Public Grads-RE PROJ'!JD66/'WICHE Public Grads-RE PROJ'!Q66</f>
        <v>0.86442531091977581</v>
      </c>
      <c r="HO63" s="264">
        <f>+'WICHE Public Grads-RE PROJ'!JE66/'WICHE Public Grads-RE PROJ'!R66</f>
        <v>0.86688311688311692</v>
      </c>
      <c r="HP63" s="264">
        <f>+'WICHE Public Grads-RE PROJ'!JF66/'WICHE Public Grads-RE PROJ'!S66</f>
        <v>0.95137663543591089</v>
      </c>
      <c r="HQ63" s="263">
        <f>+'WICHE Public Grads-RE PROJ'!JG66/'WICHE Public Grads-RE PROJ'!T66</f>
        <v>0.94080362093697234</v>
      </c>
      <c r="HR63" s="264">
        <f>+'WICHE Public Grads-RE PROJ'!JH66/'WICHE Public Grads-RE PROJ'!U66</f>
        <v>0.93422858312267443</v>
      </c>
      <c r="HS63" s="263">
        <f>+'WICHE Public Grads-RE PROJ'!JI66/'WICHE Public Grads-RE PROJ'!V66</f>
        <v>0.9402966572802508</v>
      </c>
      <c r="HT63" s="263">
        <f>+'WICHE Public Grads-RE PROJ'!JJ66/'WICHE Public Grads-RE PROJ'!W66</f>
        <v>0.93994009385971933</v>
      </c>
      <c r="HU63" s="269">
        <f>+'WICHE Public Grads-RE PROJ'!JK66/'WICHE Public Grads-RE PROJ'!Y66</f>
        <v>0.93624265748199254</v>
      </c>
      <c r="HV63" s="269">
        <f>+'WICHE Public Grads-RE PROJ'!JL66/'WICHE Public Grads-RE PROJ'!Z66</f>
        <v>0.93197839076578459</v>
      </c>
      <c r="HW63" s="269">
        <f>+'WICHE Public Grads-RE PROJ'!JM66/'WICHE Public Grads-RE PROJ'!AA66</f>
        <v>0.93275519748452163</v>
      </c>
      <c r="HX63" s="265">
        <f>+'WICHE Public Grads-RE PROJ'!JN66/'WICHE Public Grads-RE PROJ'!AB66</f>
        <v>0.93109814024273818</v>
      </c>
      <c r="HY63" s="269">
        <f>+'WICHE Public Grads-RE PROJ'!JO66/'WICHE Public Grads-RE PROJ'!AC66</f>
        <v>0.92445236786828433</v>
      </c>
      <c r="HZ63" s="269">
        <f>+'WICHE Public Grads-RE PROJ'!JP66/'WICHE Public Grads-RE PROJ'!AD66</f>
        <v>0.92698659153553864</v>
      </c>
      <c r="IA63" s="269">
        <f>+'WICHE Public Grads-RE PROJ'!JQ66/'WICHE Public Grads-RE PROJ'!AE66</f>
        <v>0.92776902413625928</v>
      </c>
      <c r="IB63" s="269">
        <f>+'WICHE Public Grads-RE PROJ'!JR66/'WICHE Public Grads-RE PROJ'!AF66</f>
        <v>0.92060404326296918</v>
      </c>
      <c r="IC63" s="269">
        <f>+'WICHE Public Grads-RE PROJ'!JS66/'WICHE Public Grads-RE PROJ'!AG66</f>
        <v>0.92211865925237313</v>
      </c>
      <c r="ID63" s="265">
        <f>+'WICHE Public Grads-RE PROJ'!JT66/'WICHE Public Grads-RE PROJ'!AH66</f>
        <v>0.91990963129960224</v>
      </c>
      <c r="IE63" s="269">
        <f>+'WICHE Public Grads-RE PROJ'!JU66/'WICHE Public Grads-RE PROJ'!AI66</f>
        <v>0.91801036999126973</v>
      </c>
      <c r="IF63" s="269">
        <f>+'WICHE Public Grads-RE PROJ'!JV66/'WICHE Public Grads-RE PROJ'!AJ66</f>
        <v>0.91793990172452178</v>
      </c>
      <c r="IG63" s="269">
        <f>+'WICHE Public Grads-RE PROJ'!JW66/'WICHE Public Grads-RE PROJ'!AK66</f>
        <v>0.91399080468316551</v>
      </c>
      <c r="IH63" s="269">
        <f>+'WICHE Public Grads-RE PROJ'!JX66/'WICHE Public Grads-RE PROJ'!AL66</f>
        <v>0.91224853143576845</v>
      </c>
      <c r="II63" s="269">
        <f>+'WICHE Public Grads-RE PROJ'!JY66/'WICHE Public Grads-RE PROJ'!AM66</f>
        <v>0.91052224506569757</v>
      </c>
      <c r="IJ63" s="269">
        <f>+'WICHE Public Grads-RE PROJ'!JZ66/'WICHE Public Grads-RE PROJ'!AN66</f>
        <v>0.90328766346556821</v>
      </c>
      <c r="IK63" s="269">
        <f>+'WICHE Public Grads-RE PROJ'!KA66/'WICHE Public Grads-RE PROJ'!AO66</f>
        <v>0.89962408338652122</v>
      </c>
      <c r="IL63" s="269">
        <f>+'WICHE Public Grads-RE PROJ'!KB66/'WICHE Public Grads-RE PROJ'!AP66</f>
        <v>0.88444679131443549</v>
      </c>
      <c r="IM63" s="283">
        <f>+'WICHE Public Grads-RE PROJ'!KC66/'WICHE Public Grads-RE PROJ'!AQ66</f>
        <v>0.89862860083251417</v>
      </c>
      <c r="IN63" s="448">
        <f t="shared" si="120"/>
        <v>1</v>
      </c>
      <c r="IO63" s="449">
        <f t="shared" si="121"/>
        <v>1</v>
      </c>
      <c r="IP63" s="449">
        <f t="shared" si="122"/>
        <v>1</v>
      </c>
      <c r="IQ63" s="449">
        <f t="shared" si="123"/>
        <v>1</v>
      </c>
      <c r="IR63" s="449">
        <f t="shared" si="124"/>
        <v>1</v>
      </c>
      <c r="IS63" s="449">
        <f t="shared" si="125"/>
        <v>1</v>
      </c>
      <c r="IT63" s="449">
        <f t="shared" si="126"/>
        <v>1</v>
      </c>
      <c r="IU63" s="449">
        <f t="shared" si="127"/>
        <v>1</v>
      </c>
      <c r="IV63" s="449">
        <f t="shared" si="128"/>
        <v>1</v>
      </c>
      <c r="IW63" s="449">
        <f t="shared" si="129"/>
        <v>1.0000000000320888</v>
      </c>
      <c r="IX63" s="449">
        <f t="shared" si="130"/>
        <v>0.99999999995340949</v>
      </c>
      <c r="IY63" s="449">
        <f t="shared" si="131"/>
        <v>1</v>
      </c>
      <c r="IZ63" s="449">
        <f t="shared" si="132"/>
        <v>0.99887323943661976</v>
      </c>
      <c r="JA63" s="449">
        <f t="shared" si="133"/>
        <v>0.91932326621923932</v>
      </c>
      <c r="JB63" s="449">
        <f t="shared" si="134"/>
        <v>1</v>
      </c>
      <c r="JC63" s="449">
        <f t="shared" si="135"/>
        <v>0.91116577832444989</v>
      </c>
      <c r="JD63" s="449">
        <f t="shared" si="136"/>
        <v>0.90895562770562777</v>
      </c>
      <c r="JE63" s="449">
        <f t="shared" si="137"/>
        <v>1.0018033014287695</v>
      </c>
      <c r="JF63" s="449">
        <f t="shared" si="138"/>
        <v>1</v>
      </c>
      <c r="JG63" s="449">
        <f t="shared" si="139"/>
        <v>0.99999999999999989</v>
      </c>
      <c r="JH63" s="449">
        <f t="shared" si="140"/>
        <v>0.99985420615250042</v>
      </c>
      <c r="JI63" s="449">
        <f t="shared" si="141"/>
        <v>1</v>
      </c>
      <c r="JJ63" s="449">
        <f t="shared" si="142"/>
        <v>1.004419300254243</v>
      </c>
      <c r="JK63" s="449">
        <f t="shared" si="143"/>
        <v>1.0057071180738359</v>
      </c>
      <c r="JL63" s="449">
        <f t="shared" si="144"/>
        <v>1.0087057348512833</v>
      </c>
      <c r="JM63" s="449">
        <f t="shared" si="145"/>
        <v>1.0056965510913323</v>
      </c>
      <c r="JN63" s="449">
        <f t="shared" si="146"/>
        <v>1.0096138168287909</v>
      </c>
      <c r="JO63" s="449">
        <f t="shared" si="147"/>
        <v>1.0124953770464</v>
      </c>
      <c r="JP63" s="449">
        <f t="shared" si="148"/>
        <v>1.0124286271063567</v>
      </c>
      <c r="JQ63" s="449">
        <f t="shared" si="149"/>
        <v>1.0162211491326094</v>
      </c>
      <c r="JR63" s="449">
        <f t="shared" si="150"/>
        <v>1.0161044257755409</v>
      </c>
      <c r="JS63" s="449">
        <f t="shared" si="151"/>
        <v>1.0250164708402432</v>
      </c>
      <c r="JT63" s="449">
        <f t="shared" si="152"/>
        <v>1.0275575687489509</v>
      </c>
      <c r="JU63" s="449">
        <f t="shared" si="153"/>
        <v>1.0248115420406803</v>
      </c>
      <c r="JV63" s="449">
        <f t="shared" si="154"/>
        <v>1.0318577858206841</v>
      </c>
      <c r="JW63" s="449">
        <f t="shared" si="155"/>
        <v>1.0415386532251236</v>
      </c>
      <c r="JX63" s="449">
        <f t="shared" si="156"/>
        <v>1.0402193129897734</v>
      </c>
      <c r="JY63" s="449">
        <f t="shared" si="157"/>
        <v>1.0519468137449688</v>
      </c>
      <c r="JZ63" s="449">
        <f t="shared" si="157"/>
        <v>1.0530370896216128</v>
      </c>
      <c r="KA63" s="449">
        <f t="shared" si="157"/>
        <v>1.0339941055728172</v>
      </c>
      <c r="KB63" s="449">
        <f t="shared" si="157"/>
        <v>1.0606845112221608</v>
      </c>
    </row>
    <row r="64" spans="1:288" s="17" customFormat="1">
      <c r="A64" s="111" t="s">
        <v>87</v>
      </c>
      <c r="B64" s="270" t="e">
        <f>+'WICHE Public Grads-RE PROJ'!AR67/'WICHE Public Grads-RE PROJ'!B67</f>
        <v>#DIV/0!</v>
      </c>
      <c r="C64" s="270">
        <f>+'WICHE Public Grads-RE PROJ'!AS67/'WICHE Public Grads-RE PROJ'!C67</f>
        <v>1.4668367346938776E-2</v>
      </c>
      <c r="D64" s="270">
        <f>+'WICHE Public Grads-RE PROJ'!AT67/'WICHE Public Grads-RE PROJ'!D67</f>
        <v>2.2450888681010289E-2</v>
      </c>
      <c r="E64" s="270">
        <f>+'WICHE Public Grads-RE PROJ'!AU67/'WICHE Public Grads-RE PROJ'!E67</f>
        <v>1.8329938900203666E-2</v>
      </c>
      <c r="F64" s="270">
        <f>+'WICHE Public Grads-RE PROJ'!AV67/'WICHE Public Grads-RE PROJ'!F67</f>
        <v>2.4480712166172106E-2</v>
      </c>
      <c r="G64" s="270">
        <f>+'WICHE Public Grads-RE PROJ'!AW67/'WICHE Public Grads-RE PROJ'!G67</f>
        <v>1.7525411847178408E-2</v>
      </c>
      <c r="H64" s="270">
        <f>+'WICHE Public Grads-RE PROJ'!AX67/'WICHE Public Grads-RE PROJ'!H67</f>
        <v>7.129996398991717E-2</v>
      </c>
      <c r="I64" s="270">
        <f>+'WICHE Public Grads-RE PROJ'!AY67/'WICHE Public Grads-RE PROJ'!I67</f>
        <v>5.5700934579439254E-2</v>
      </c>
      <c r="J64" s="270">
        <f>+'WICHE Public Grads-RE PROJ'!AZ67/'WICHE Public Grads-RE PROJ'!J67</f>
        <v>2.3747680890538032E-2</v>
      </c>
      <c r="K64" s="270">
        <f>+'WICHE Public Grads-RE PROJ'!BA67/'WICHE Public Grads-RE PROJ'!K67</f>
        <v>2.6709401709401708E-2</v>
      </c>
      <c r="L64" s="270">
        <f>+'WICHE Public Grads-RE PROJ'!BB67/'WICHE Public Grads-RE PROJ'!L67</f>
        <v>2.2330097087378639E-2</v>
      </c>
      <c r="M64" s="270">
        <f>+'WICHE Public Grads-RE PROJ'!BC67/'WICHE Public Grads-RE PROJ'!M67</f>
        <v>2.8256880733944955E-2</v>
      </c>
      <c r="N64" s="270">
        <f>+'WICHE Public Grads-RE PROJ'!BD67/'WICHE Public Grads-RE PROJ'!N67</f>
        <v>2.3424612339161991E-2</v>
      </c>
      <c r="O64" s="270">
        <f>+'WICHE Public Grads-RE PROJ'!BE67/'WICHE Public Grads-RE PROJ'!O67</f>
        <v>2.1934555915138439E-2</v>
      </c>
      <c r="P64" s="270">
        <f>+'WICHE Public Grads-RE PROJ'!BF67/'WICHE Public Grads-RE PROJ'!P67</f>
        <v>2.7244149493538247E-2</v>
      </c>
      <c r="Q64" s="270">
        <f>+'WICHE Public Grads-RE PROJ'!BG67/'WICHE Public Grads-RE PROJ'!Q67</f>
        <v>2.34375E-2</v>
      </c>
      <c r="R64" s="270">
        <f>+'WICHE Public Grads-RE PROJ'!BH67/'WICHE Public Grads-RE PROJ'!R67</f>
        <v>1.8198090692124105E-2</v>
      </c>
      <c r="S64" s="270">
        <f>+'WICHE Public Grads-RE PROJ'!BI67/'WICHE Public Grads-RE PROJ'!S67</f>
        <v>1.6206994597668469E-2</v>
      </c>
      <c r="T64" s="270">
        <f>+'WICHE Public Grads-RE PROJ'!BJ67/'WICHE Public Grads-RE PROJ'!T67</f>
        <v>1.8600777345918935E-2</v>
      </c>
      <c r="U64" s="270">
        <f>+'WICHE Public Grads-RE PROJ'!BK67/'WICHE Public Grads-RE PROJ'!U67</f>
        <v>1.1601140684553852E-2</v>
      </c>
      <c r="V64" s="270">
        <f>+'WICHE Public Grads-RE PROJ'!BL67/'WICHE Public Grads-RE PROJ'!V67</f>
        <v>1.6775136008894825E-2</v>
      </c>
      <c r="W64" s="270">
        <f>+'WICHE Public Grads-RE PROJ'!BM67/'WICHE Public Grads-RE PROJ'!W67</f>
        <v>1.7971144421465215E-2</v>
      </c>
      <c r="X64" s="271">
        <f>+'WICHE Public Grads-RE PROJ'!BN67/'WICHE Public Grads-RE PROJ'!Y67</f>
        <v>1.3390938862306169E-2</v>
      </c>
      <c r="Y64" s="271">
        <f>+'WICHE Public Grads-RE PROJ'!BO67/'WICHE Public Grads-RE PROJ'!Z67</f>
        <v>1.6170101678256242E-2</v>
      </c>
      <c r="Z64" s="271">
        <f>+'WICHE Public Grads-RE PROJ'!BP67/'WICHE Public Grads-RE PROJ'!AA67</f>
        <v>1.6312725058884064E-2</v>
      </c>
      <c r="AA64" s="271">
        <f>+'WICHE Public Grads-RE PROJ'!BQ67/'WICHE Public Grads-RE PROJ'!AB67</f>
        <v>1.6064200918619754E-2</v>
      </c>
      <c r="AB64" s="271">
        <f>+'WICHE Public Grads-RE PROJ'!BR67/'WICHE Public Grads-RE PROJ'!AC67</f>
        <v>1.8442874464094042E-2</v>
      </c>
      <c r="AC64" s="271">
        <f>+'WICHE Public Grads-RE PROJ'!BS67/'WICHE Public Grads-RE PROJ'!AD67</f>
        <v>2.0116334119969392E-2</v>
      </c>
      <c r="AD64" s="271">
        <f>+'WICHE Public Grads-RE PROJ'!BT67/'WICHE Public Grads-RE PROJ'!AE67</f>
        <v>2.3508256541081754E-2</v>
      </c>
      <c r="AE64" s="271">
        <f>+'WICHE Public Grads-RE PROJ'!BU67/'WICHE Public Grads-RE PROJ'!AF67</f>
        <v>2.21754434896912E-2</v>
      </c>
      <c r="AF64" s="271">
        <f>+'WICHE Public Grads-RE PROJ'!BV67/'WICHE Public Grads-RE PROJ'!AG67</f>
        <v>2.1387251132897512E-2</v>
      </c>
      <c r="AG64" s="271">
        <f>+'WICHE Public Grads-RE PROJ'!BW67/'WICHE Public Grads-RE PROJ'!AH67</f>
        <v>1.7307267965773122E-2</v>
      </c>
      <c r="AH64" s="271">
        <f>+'WICHE Public Grads-RE PROJ'!BX67/'WICHE Public Grads-RE PROJ'!AI67</f>
        <v>1.8463264608307883E-2</v>
      </c>
      <c r="AI64" s="271">
        <f>+'WICHE Public Grads-RE PROJ'!BY67/'WICHE Public Grads-RE PROJ'!AJ67</f>
        <v>1.8241848269555327E-2</v>
      </c>
      <c r="AJ64" s="271">
        <f>+'WICHE Public Grads-RE PROJ'!BZ67/'WICHE Public Grads-RE PROJ'!AK67</f>
        <v>1.9276741328893003E-2</v>
      </c>
      <c r="AK64" s="271">
        <f>+'WICHE Public Grads-RE PROJ'!CA67/'WICHE Public Grads-RE PROJ'!AL67</f>
        <v>2.5189605937439335E-2</v>
      </c>
      <c r="AL64" s="271">
        <f>+'WICHE Public Grads-RE PROJ'!CB67/'WICHE Public Grads-RE PROJ'!AM67</f>
        <v>3.2144327595255401E-2</v>
      </c>
      <c r="AM64" s="271">
        <f>+'WICHE Public Grads-RE PROJ'!CC67/'WICHE Public Grads-RE PROJ'!AN67</f>
        <v>3.3692773251704819E-2</v>
      </c>
      <c r="AN64" s="271">
        <f>+'WICHE Public Grads-RE PROJ'!CD67/'WICHE Public Grads-RE PROJ'!AO67</f>
        <v>3.428146409544866E-2</v>
      </c>
      <c r="AO64" s="271">
        <f>+'WICHE Public Grads-RE PROJ'!CE67/'WICHE Public Grads-RE PROJ'!AP67</f>
        <v>3.6692824956829038E-2</v>
      </c>
      <c r="AP64" s="284">
        <f>+'WICHE Public Grads-RE PROJ'!CF67/'WICHE Public Grads-RE PROJ'!AQ67</f>
        <v>3.6545580448996133E-2</v>
      </c>
      <c r="AQ64" s="270" t="e">
        <f>+'WICHE Public Grads-RE PROJ'!CG67/'WICHE Public Grads-RE PROJ'!B67</f>
        <v>#DIV/0!</v>
      </c>
      <c r="AR64" s="270">
        <f>+'WICHE Public Grads-RE PROJ'!CH67/'WICHE Public Grads-RE PROJ'!C67</f>
        <v>0</v>
      </c>
      <c r="AS64" s="270">
        <f>+'WICHE Public Grads-RE PROJ'!CI67/'WICHE Public Grads-RE PROJ'!D67</f>
        <v>3.1181789834736512E-4</v>
      </c>
      <c r="AT64" s="270">
        <f>+'WICHE Public Grads-RE PROJ'!CJ67/'WICHE Public Grads-RE PROJ'!E67</f>
        <v>0</v>
      </c>
      <c r="AU64" s="270">
        <f>+'WICHE Public Grads-RE PROJ'!CK67/'WICHE Public Grads-RE PROJ'!F67</f>
        <v>0</v>
      </c>
      <c r="AV64" s="270">
        <f>+'WICHE Public Grads-RE PROJ'!CL67/'WICHE Public Grads-RE PROJ'!G67</f>
        <v>0</v>
      </c>
      <c r="AW64" s="270">
        <f>+'WICHE Public Grads-RE PROJ'!CM67/'WICHE Public Grads-RE PROJ'!H67</f>
        <v>0</v>
      </c>
      <c r="AX64" s="270">
        <f>+'WICHE Public Grads-RE PROJ'!CN67/'WICHE Public Grads-RE PROJ'!I67</f>
        <v>1.1214953271028037E-3</v>
      </c>
      <c r="AY64" s="270">
        <f>+'WICHE Public Grads-RE PROJ'!CO67/'WICHE Public Grads-RE PROJ'!J67</f>
        <v>3.7105751391465676E-4</v>
      </c>
      <c r="AZ64" s="270">
        <f>+'WICHE Public Grads-RE PROJ'!CP67/'WICHE Public Grads-RE PROJ'!K67</f>
        <v>1.0683760683760685E-3</v>
      </c>
      <c r="BA64" s="270">
        <f>+'WICHE Public Grads-RE PROJ'!CQ67/'WICHE Public Grads-RE PROJ'!L67</f>
        <v>9.7087378640776695E-4</v>
      </c>
      <c r="BB64" s="270">
        <f>+'WICHE Public Grads-RE PROJ'!CR67/'WICHE Public Grads-RE PROJ'!M67</f>
        <v>7.3394495412844036E-4</v>
      </c>
      <c r="BC64" s="270">
        <f>+'WICHE Public Grads-RE PROJ'!CS67/'WICHE Public Grads-RE PROJ'!N67</f>
        <v>3.2992411745298581E-3</v>
      </c>
      <c r="BD64" s="270">
        <f>+'WICHE Public Grads-RE PROJ'!CT67/'WICHE Public Grads-RE PROJ'!O67</f>
        <v>1.7979144192736426E-3</v>
      </c>
      <c r="BE64" s="270">
        <f>+'WICHE Public Grads-RE PROJ'!CU67/'WICHE Public Grads-RE PROJ'!P67</f>
        <v>0</v>
      </c>
      <c r="BF64" s="270">
        <f>+'WICHE Public Grads-RE PROJ'!CV67/'WICHE Public Grads-RE PROJ'!Q67</f>
        <v>6.793478260869565E-4</v>
      </c>
      <c r="BG64" s="270">
        <f>+'WICHE Public Grads-RE PROJ'!CW67/'WICHE Public Grads-RE PROJ'!R67</f>
        <v>8.949880668257757E-4</v>
      </c>
      <c r="BH64" s="270">
        <f>+'WICHE Public Grads-RE PROJ'!CX67/'WICHE Public Grads-RE PROJ'!S67</f>
        <v>5.6866647711117425E-4</v>
      </c>
      <c r="BI64" s="270">
        <f>+'WICHE Public Grads-RE PROJ'!CY67/'WICHE Public Grads-RE PROJ'!T67</f>
        <v>5.5524708495280405E-4</v>
      </c>
      <c r="BJ64" s="270">
        <f>+'WICHE Public Grads-RE PROJ'!CZ67/'WICHE Public Grads-RE PROJ'!U67</f>
        <v>1.1552093099230078E-3</v>
      </c>
      <c r="BK64" s="270">
        <f>+'WICHE Public Grads-RE PROJ'!DA67/'WICHE Public Grads-RE PROJ'!V67</f>
        <v>3.389035174898036E-3</v>
      </c>
      <c r="BL64" s="270">
        <f>+'WICHE Public Grads-RE PROJ'!DB67/'WICHE Public Grads-RE PROJ'!W67</f>
        <v>1.9488983718750502E-3</v>
      </c>
      <c r="BM64" s="271">
        <v>0</v>
      </c>
      <c r="BN64" s="271">
        <v>0</v>
      </c>
      <c r="BO64" s="271">
        <v>0</v>
      </c>
      <c r="BP64" s="271">
        <v>0</v>
      </c>
      <c r="BQ64" s="271">
        <v>0</v>
      </c>
      <c r="BR64" s="271">
        <v>0</v>
      </c>
      <c r="BS64" s="271">
        <v>0</v>
      </c>
      <c r="BT64" s="271">
        <v>0</v>
      </c>
      <c r="BU64" s="271">
        <v>0</v>
      </c>
      <c r="BV64" s="271">
        <v>0</v>
      </c>
      <c r="BW64" s="271">
        <v>0</v>
      </c>
      <c r="BX64" s="271">
        <v>0</v>
      </c>
      <c r="BY64" s="271">
        <v>0</v>
      </c>
      <c r="BZ64" s="271">
        <v>0</v>
      </c>
      <c r="CA64" s="271">
        <v>0</v>
      </c>
      <c r="CB64" s="271">
        <v>0</v>
      </c>
      <c r="CC64" s="271">
        <v>0</v>
      </c>
      <c r="CD64" s="271">
        <v>0</v>
      </c>
      <c r="CE64" s="271">
        <v>0</v>
      </c>
      <c r="CF64" s="270" t="e">
        <f>+'WICHE Public Grads-RE PROJ'!DV67/'WICHE Public Grads-RE PROJ'!B67</f>
        <v>#DIV/0!</v>
      </c>
      <c r="CG64" s="270">
        <f>+'WICHE Public Grads-RE PROJ'!DW67/'WICHE Public Grads-RE PROJ'!C67</f>
        <v>1.4668367346938776E-2</v>
      </c>
      <c r="CH64" s="270">
        <f>+'WICHE Public Grads-RE PROJ'!DX67/'WICHE Public Grads-RE PROJ'!D67</f>
        <v>2.2139070782662924E-2</v>
      </c>
      <c r="CI64" s="270">
        <f>+'WICHE Public Grads-RE PROJ'!DY67/'WICHE Public Grads-RE PROJ'!E67</f>
        <v>1.8329938900203666E-2</v>
      </c>
      <c r="CJ64" s="270">
        <f>+'WICHE Public Grads-RE PROJ'!DZ67/'WICHE Public Grads-RE PROJ'!F67</f>
        <v>2.4480712166172106E-2</v>
      </c>
      <c r="CK64" s="270">
        <f>+'WICHE Public Grads-RE PROJ'!EA67/'WICHE Public Grads-RE PROJ'!G67</f>
        <v>1.7525411847178408E-2</v>
      </c>
      <c r="CL64" s="270">
        <f>+'WICHE Public Grads-RE PROJ'!EB67/'WICHE Public Grads-RE PROJ'!H67</f>
        <v>7.129996398991717E-2</v>
      </c>
      <c r="CM64" s="270">
        <f>+'WICHE Public Grads-RE PROJ'!EC67/'WICHE Public Grads-RE PROJ'!I67</f>
        <v>5.4579439252336451E-2</v>
      </c>
      <c r="CN64" s="270">
        <f>+'WICHE Public Grads-RE PROJ'!ED67/'WICHE Public Grads-RE PROJ'!J67</f>
        <v>2.3376623376623377E-2</v>
      </c>
      <c r="CO64" s="270">
        <f>+'WICHE Public Grads-RE PROJ'!EE67/'WICHE Public Grads-RE PROJ'!K67</f>
        <v>2.564102564102564E-2</v>
      </c>
      <c r="CP64" s="270">
        <f>+'WICHE Public Grads-RE PROJ'!EF67/'WICHE Public Grads-RE PROJ'!L67</f>
        <v>2.1359223300970873E-2</v>
      </c>
      <c r="CQ64" s="270">
        <f>+'WICHE Public Grads-RE PROJ'!EG67/'WICHE Public Grads-RE PROJ'!M67</f>
        <v>2.7522935779816515E-2</v>
      </c>
      <c r="CR64" s="270">
        <f>+'WICHE Public Grads-RE PROJ'!EH67/'WICHE Public Grads-RE PROJ'!N67</f>
        <v>2.0125371164632134E-2</v>
      </c>
      <c r="CS64" s="270">
        <f>+'WICHE Public Grads-RE PROJ'!EI67/'WICHE Public Grads-RE PROJ'!O67</f>
        <v>2.0136641495864797E-2</v>
      </c>
      <c r="CT64" s="270">
        <f>+'WICHE Public Grads-RE PROJ'!EJ67/'WICHE Public Grads-RE PROJ'!P67</f>
        <v>2.7244149493538247E-2</v>
      </c>
      <c r="CU64" s="270">
        <f>+'WICHE Public Grads-RE PROJ'!EK67/'WICHE Public Grads-RE PROJ'!Q67</f>
        <v>2.2758152173913044E-2</v>
      </c>
      <c r="CV64" s="270">
        <f>+'WICHE Public Grads-RE PROJ'!EL67/'WICHE Public Grads-RE PROJ'!R67</f>
        <v>1.7303102625298328E-2</v>
      </c>
      <c r="CW64" s="270">
        <f>+'WICHE Public Grads-RE PROJ'!EM67/'WICHE Public Grads-RE PROJ'!S67</f>
        <v>1.5638328120557293E-2</v>
      </c>
      <c r="CX64" s="270">
        <f>+'WICHE Public Grads-RE PROJ'!EN67/'WICHE Public Grads-RE PROJ'!T67</f>
        <v>1.8045530260966131E-2</v>
      </c>
      <c r="CY64" s="270">
        <f>+'WICHE Public Grads-RE PROJ'!EO67/'WICHE Public Grads-RE PROJ'!U67</f>
        <v>1.0445931374630846E-2</v>
      </c>
      <c r="CZ64" s="270">
        <f>+'WICHE Public Grads-RE PROJ'!EP67/'WICHE Public Grads-RE PROJ'!V67</f>
        <v>1.338610083399679E-2</v>
      </c>
      <c r="DA64" s="270">
        <f>+'WICHE Public Grads-RE PROJ'!EQ67/'WICHE Public Grads-RE PROJ'!W67</f>
        <v>1.6022246049590162E-2</v>
      </c>
      <c r="DB64" s="271">
        <f>+'WICHE Public Grads-RE PROJ'!ER67/'WICHE Public Grads-RE PROJ'!Y67</f>
        <v>1.3390938862306169E-2</v>
      </c>
      <c r="DC64" s="271">
        <f>+'WICHE Public Grads-RE PROJ'!ES67/'WICHE Public Grads-RE PROJ'!Z67</f>
        <v>1.6170101678256242E-2</v>
      </c>
      <c r="DD64" s="271">
        <f>+'WICHE Public Grads-RE PROJ'!ET67/'WICHE Public Grads-RE PROJ'!AA67</f>
        <v>1.6312725058884064E-2</v>
      </c>
      <c r="DE64" s="271">
        <f>+'WICHE Public Grads-RE PROJ'!EU67/'WICHE Public Grads-RE PROJ'!AB67</f>
        <v>1.6064200918619754E-2</v>
      </c>
      <c r="DF64" s="271">
        <f>+'WICHE Public Grads-RE PROJ'!EV67/'WICHE Public Grads-RE PROJ'!AC67</f>
        <v>1.8442874464094042E-2</v>
      </c>
      <c r="DG64" s="271">
        <f>+'WICHE Public Grads-RE PROJ'!EW67/'WICHE Public Grads-RE PROJ'!AD67</f>
        <v>2.0116334119969392E-2</v>
      </c>
      <c r="DH64" s="271">
        <f>+'WICHE Public Grads-RE PROJ'!EX67/'WICHE Public Grads-RE PROJ'!AE67</f>
        <v>2.3508256541081754E-2</v>
      </c>
      <c r="DI64" s="271">
        <f>+'WICHE Public Grads-RE PROJ'!EY67/'WICHE Public Grads-RE PROJ'!AF67</f>
        <v>2.21754434896912E-2</v>
      </c>
      <c r="DJ64" s="271">
        <f>+'WICHE Public Grads-RE PROJ'!EZ67/'WICHE Public Grads-RE PROJ'!AG67</f>
        <v>2.1387251132897512E-2</v>
      </c>
      <c r="DK64" s="271">
        <f>+'WICHE Public Grads-RE PROJ'!FA67/'WICHE Public Grads-RE PROJ'!AH67</f>
        <v>1.7307267965773122E-2</v>
      </c>
      <c r="DL64" s="271">
        <f>+'WICHE Public Grads-RE PROJ'!FB67/'WICHE Public Grads-RE PROJ'!AI67</f>
        <v>1.8463264608307883E-2</v>
      </c>
      <c r="DM64" s="271">
        <f>+'WICHE Public Grads-RE PROJ'!FC67/'WICHE Public Grads-RE PROJ'!AJ67</f>
        <v>1.8241848269555327E-2</v>
      </c>
      <c r="DN64" s="271">
        <f>+'WICHE Public Grads-RE PROJ'!FD67/'WICHE Public Grads-RE PROJ'!AK67</f>
        <v>1.9276741328893003E-2</v>
      </c>
      <c r="DO64" s="271">
        <f>+'WICHE Public Grads-RE PROJ'!FE67/'WICHE Public Grads-RE PROJ'!AL67</f>
        <v>2.5189605937439335E-2</v>
      </c>
      <c r="DP64" s="271">
        <f>+'WICHE Public Grads-RE PROJ'!FF67/'WICHE Public Grads-RE PROJ'!AM67</f>
        <v>3.2144327595255401E-2</v>
      </c>
      <c r="DQ64" s="271">
        <f>+'WICHE Public Grads-RE PROJ'!FG67/'WICHE Public Grads-RE PROJ'!AN67</f>
        <v>3.3692773251704819E-2</v>
      </c>
      <c r="DR64" s="271">
        <f>+'WICHE Public Grads-RE PROJ'!FH67/'WICHE Public Grads-RE PROJ'!AO67</f>
        <v>3.428146409544866E-2</v>
      </c>
      <c r="DS64" s="271">
        <f>+'WICHE Public Grads-RE PROJ'!FI67/'WICHE Public Grads-RE PROJ'!AP67</f>
        <v>3.6692824956829038E-2</v>
      </c>
      <c r="DT64" s="284">
        <f>+'WICHE Public Grads-RE PROJ'!FJ67/'WICHE Public Grads-RE PROJ'!AQ67</f>
        <v>3.6545580448996133E-2</v>
      </c>
      <c r="DU64" s="270" t="e">
        <f>+'WICHE Public Grads-RE PROJ'!FK67/'WICHE Public Grads-RE PROJ'!B67</f>
        <v>#DIV/0!</v>
      </c>
      <c r="DV64" s="270">
        <f>+'WICHE Public Grads-RE PROJ'!FL67/'WICHE Public Grads-RE PROJ'!C67</f>
        <v>0.90720663265306123</v>
      </c>
      <c r="DW64" s="270">
        <f>+'WICHE Public Grads-RE PROJ'!FM67/'WICHE Public Grads-RE PROJ'!D67</f>
        <v>0.89491736825693791</v>
      </c>
      <c r="DX64" s="270">
        <f>+'WICHE Public Grads-RE PROJ'!FN67/'WICHE Public Grads-RE PROJ'!E67</f>
        <v>0.89816700610997968</v>
      </c>
      <c r="DY64" s="270">
        <f>+'WICHE Public Grads-RE PROJ'!FO67/'WICHE Public Grads-RE PROJ'!F67</f>
        <v>0.89169139465875369</v>
      </c>
      <c r="DZ64" s="270">
        <f>+'WICHE Public Grads-RE PROJ'!FP67/'WICHE Public Grads-RE PROJ'!G67</f>
        <v>0.88398177357167895</v>
      </c>
      <c r="EA64" s="270">
        <f>+'WICHE Public Grads-RE PROJ'!FQ67/'WICHE Public Grads-RE PROJ'!H67</f>
        <v>0.83543392149801943</v>
      </c>
      <c r="EB64" s="270">
        <f>+'WICHE Public Grads-RE PROJ'!FR67/'WICHE Public Grads-RE PROJ'!I67</f>
        <v>0.84299065420560748</v>
      </c>
      <c r="EC64" s="270">
        <f>+'WICHE Public Grads-RE PROJ'!FS67/'WICHE Public Grads-RE PROJ'!J67</f>
        <v>0.86567717996289428</v>
      </c>
      <c r="ED64" s="270">
        <f>+'WICHE Public Grads-RE PROJ'!FT67/'WICHE Public Grads-RE PROJ'!K67</f>
        <v>0.85505698005698005</v>
      </c>
      <c r="EE64" s="270">
        <f>+'WICHE Public Grads-RE PROJ'!FU67/'WICHE Public Grads-RE PROJ'!L67</f>
        <v>0.86860841423948221</v>
      </c>
      <c r="EF64" s="270">
        <f>+'WICHE Public Grads-RE PROJ'!FV67/'WICHE Public Grads-RE PROJ'!M67</f>
        <v>0.85834862385321098</v>
      </c>
      <c r="EG64" s="270">
        <f>+'WICHE Public Grads-RE PROJ'!FW67/'WICHE Public Grads-RE PROJ'!N67</f>
        <v>0.86011217419993402</v>
      </c>
      <c r="EH64" s="270">
        <f>+'WICHE Public Grads-RE PROJ'!FX67/'WICHE Public Grads-RE PROJ'!O67</f>
        <v>0.85544768069039911</v>
      </c>
      <c r="EI64" s="270">
        <f>+'WICHE Public Grads-RE PROJ'!FY67/'WICHE Public Grads-RE PROJ'!P67</f>
        <v>0.86552567237163813</v>
      </c>
      <c r="EJ64" s="270">
        <f>+'WICHE Public Grads-RE PROJ'!FZ67/'WICHE Public Grads-RE PROJ'!Q67</f>
        <v>0.92119565217391308</v>
      </c>
      <c r="EK64" s="270">
        <f>+'WICHE Public Grads-RE PROJ'!GA67/'WICHE Public Grads-RE PROJ'!R67</f>
        <v>0.85650357995226734</v>
      </c>
      <c r="EL64" s="270">
        <f>+'WICHE Public Grads-RE PROJ'!GB67/'WICHE Public Grads-RE PROJ'!S67</f>
        <v>0.87688370770543078</v>
      </c>
      <c r="EM64" s="270">
        <f>+'WICHE Public Grads-RE PROJ'!GC67/'WICHE Public Grads-RE PROJ'!T67</f>
        <v>0.859800111049417</v>
      </c>
      <c r="EN64" s="270">
        <f>+'WICHE Public Grads-RE PROJ'!GD67/'WICHE Public Grads-RE PROJ'!U67</f>
        <v>0.85270126798987589</v>
      </c>
      <c r="EO64" s="270">
        <f>+'WICHE Public Grads-RE PROJ'!GE67/'WICHE Public Grads-RE PROJ'!V67</f>
        <v>0.87109316203569409</v>
      </c>
      <c r="EP64" s="270">
        <f>+'WICHE Public Grads-RE PROJ'!GF67/'WICHE Public Grads-RE PROJ'!W67</f>
        <v>0.83634184274100631</v>
      </c>
      <c r="EQ64" s="271">
        <f>+'WICHE Public Grads-RE PROJ'!GG67/'WICHE Public Grads-RE PROJ'!Y67</f>
        <v>0.82364339245192142</v>
      </c>
      <c r="ER64" s="271">
        <f>+'WICHE Public Grads-RE PROJ'!GH67/'WICHE Public Grads-RE PROJ'!Z67</f>
        <v>0.82107632107401995</v>
      </c>
      <c r="ES64" s="271">
        <f>+'WICHE Public Grads-RE PROJ'!GI67/'WICHE Public Grads-RE PROJ'!AA67</f>
        <v>0.8096994607592124</v>
      </c>
      <c r="ET64" s="271">
        <f>+'WICHE Public Grads-RE PROJ'!GJ67/'WICHE Public Grads-RE PROJ'!AB67</f>
        <v>0.79577857851288814</v>
      </c>
      <c r="EU64" s="271">
        <f>+'WICHE Public Grads-RE PROJ'!GK67/'WICHE Public Grads-RE PROJ'!AC67</f>
        <v>0.76824105420269984</v>
      </c>
      <c r="EV64" s="271">
        <f>+'WICHE Public Grads-RE PROJ'!GL67/'WICHE Public Grads-RE PROJ'!AD67</f>
        <v>0.75947243613421112</v>
      </c>
      <c r="EW64" s="271">
        <f>+'WICHE Public Grads-RE PROJ'!GM67/'WICHE Public Grads-RE PROJ'!AE67</f>
        <v>0.73810336079616112</v>
      </c>
      <c r="EX64" s="271">
        <f>+'WICHE Public Grads-RE PROJ'!GN67/'WICHE Public Grads-RE PROJ'!AF67</f>
        <v>0.72762068025837057</v>
      </c>
      <c r="EY64" s="271">
        <f>+'WICHE Public Grads-RE PROJ'!GO67/'WICHE Public Grads-RE PROJ'!AG67</f>
        <v>0.72228030299620527</v>
      </c>
      <c r="EZ64" s="271">
        <f>+'WICHE Public Grads-RE PROJ'!GP67/'WICHE Public Grads-RE PROJ'!AH67</f>
        <v>0.70988757546286763</v>
      </c>
      <c r="FA64" s="271">
        <f>+'WICHE Public Grads-RE PROJ'!GQ67/'WICHE Public Grads-RE PROJ'!AI67</f>
        <v>0.69692981463339965</v>
      </c>
      <c r="FB64" s="271">
        <f>+'WICHE Public Grads-RE PROJ'!GR67/'WICHE Public Grads-RE PROJ'!AJ67</f>
        <v>0.69133505539653051</v>
      </c>
      <c r="FC64" s="271">
        <f>+'WICHE Public Grads-RE PROJ'!GS67/'WICHE Public Grads-RE PROJ'!AK67</f>
        <v>0.67576563064693174</v>
      </c>
      <c r="FD64" s="271">
        <f>+'WICHE Public Grads-RE PROJ'!GT67/'WICHE Public Grads-RE PROJ'!AL67</f>
        <v>0.66113600070009648</v>
      </c>
      <c r="FE64" s="271">
        <f>+'WICHE Public Grads-RE PROJ'!GU67/'WICHE Public Grads-RE PROJ'!AM67</f>
        <v>0.66012052951577971</v>
      </c>
      <c r="FF64" s="271">
        <f>+'WICHE Public Grads-RE PROJ'!GV67/'WICHE Public Grads-RE PROJ'!AN67</f>
        <v>0.63683760062504513</v>
      </c>
      <c r="FG64" s="271">
        <f>+'WICHE Public Grads-RE PROJ'!GW67/'WICHE Public Grads-RE PROJ'!AO67</f>
        <v>0.62713988776789176</v>
      </c>
      <c r="FH64" s="271">
        <f>+'WICHE Public Grads-RE PROJ'!GX67/'WICHE Public Grads-RE PROJ'!AP67</f>
        <v>0.63576409912585174</v>
      </c>
      <c r="FI64" s="284">
        <f>+'WICHE Public Grads-RE PROJ'!GY67/'WICHE Public Grads-RE PROJ'!AQ67</f>
        <v>0.61789078725917146</v>
      </c>
      <c r="FJ64" s="270" t="e">
        <f>+'WICHE Public Grads-RE PROJ'!GZ67/'WICHE Public Grads-RE PROJ'!B67</f>
        <v>#DIV/0!</v>
      </c>
      <c r="FK64" s="270">
        <f>+'WICHE Public Grads-RE PROJ'!HA67/'WICHE Public Grads-RE PROJ'!C67</f>
        <v>5.4209183673469385E-2</v>
      </c>
      <c r="FL64" s="270">
        <f>+'WICHE Public Grads-RE PROJ'!HB67/'WICHE Public Grads-RE PROJ'!D67</f>
        <v>5.6127221702525723E-2</v>
      </c>
      <c r="FM64" s="270">
        <f>+'WICHE Public Grads-RE PROJ'!HC67/'WICHE Public Grads-RE PROJ'!E67</f>
        <v>5.1595383570943655E-2</v>
      </c>
      <c r="FN64" s="270">
        <f>+'WICHE Public Grads-RE PROJ'!HD67/'WICHE Public Grads-RE PROJ'!F67</f>
        <v>5.7863501483679525E-2</v>
      </c>
      <c r="FO64" s="270">
        <f>+'WICHE Public Grads-RE PROJ'!HE67/'WICHE Public Grads-RE PROJ'!G67</f>
        <v>6.8349106203995799E-2</v>
      </c>
      <c r="FP64" s="270">
        <f>+'WICHE Public Grads-RE PROJ'!HF67/'WICHE Public Grads-RE PROJ'!H67</f>
        <v>6.0496939142960032E-2</v>
      </c>
      <c r="FQ64" s="270">
        <f>+'WICHE Public Grads-RE PROJ'!HG67/'WICHE Public Grads-RE PROJ'!I67</f>
        <v>7.0654205607476636E-2</v>
      </c>
      <c r="FR64" s="270">
        <f>+'WICHE Public Grads-RE PROJ'!HH67/'WICHE Public Grads-RE PROJ'!J67</f>
        <v>7.4211502782931357E-2</v>
      </c>
      <c r="FS64" s="270">
        <f>+'WICHE Public Grads-RE PROJ'!HI67/'WICHE Public Grads-RE PROJ'!K67</f>
        <v>7.6566951566951563E-2</v>
      </c>
      <c r="FT64" s="270">
        <f>+'WICHE Public Grads-RE PROJ'!HJ67/'WICHE Public Grads-RE PROJ'!L67</f>
        <v>6.7637540453074435E-2</v>
      </c>
      <c r="FU64" s="270">
        <f>+'WICHE Public Grads-RE PROJ'!HK67/'WICHE Public Grads-RE PROJ'!M67</f>
        <v>7.3027522935779812E-2</v>
      </c>
      <c r="FV64" s="270">
        <f>+'WICHE Public Grads-RE PROJ'!HL67/'WICHE Public Grads-RE PROJ'!N67</f>
        <v>7.8851864071263614E-2</v>
      </c>
      <c r="FW64" s="270">
        <f>+'WICHE Public Grads-RE PROJ'!HM67/'WICHE Public Grads-RE PROJ'!O67</f>
        <v>7.6950737144911907E-2</v>
      </c>
      <c r="FX64" s="270">
        <f>+'WICHE Public Grads-RE PROJ'!HN67/'WICHE Public Grads-RE PROJ'!P67</f>
        <v>7.8938176737687743E-2</v>
      </c>
      <c r="FY64" s="270">
        <f>+'WICHE Public Grads-RE PROJ'!HO67/'WICHE Public Grads-RE PROJ'!Q67</f>
        <v>6.4538043478260865E-2</v>
      </c>
      <c r="FZ64" s="270">
        <f>+'WICHE Public Grads-RE PROJ'!HP67/'WICHE Public Grads-RE PROJ'!R67</f>
        <v>8.2637231503579947E-2</v>
      </c>
      <c r="GA64" s="270">
        <f>+'WICHE Public Grads-RE PROJ'!HQ67/'WICHE Public Grads-RE PROJ'!S67</f>
        <v>6.9661643446118846E-2</v>
      </c>
      <c r="GB64" s="270">
        <f>+'WICHE Public Grads-RE PROJ'!HR67/'WICHE Public Grads-RE PROJ'!T67</f>
        <v>8.5785674625208211E-2</v>
      </c>
      <c r="GC64" s="270">
        <f>+'WICHE Public Grads-RE PROJ'!HS67/'WICHE Public Grads-RE PROJ'!U67</f>
        <v>9.6059821685360938E-2</v>
      </c>
      <c r="GD64" s="270">
        <f>+'WICHE Public Grads-RE PROJ'!HT67/'WICHE Public Grads-RE PROJ'!V67</f>
        <v>7.3575129533678757E-2</v>
      </c>
      <c r="GE64" s="270">
        <f>+'WICHE Public Grads-RE PROJ'!HU67/'WICHE Public Grads-RE PROJ'!W67</f>
        <v>0.10653875284019187</v>
      </c>
      <c r="GF64" s="271">
        <f>+'WICHE Public Grads-RE PROJ'!HV67/'WICHE Public Grads-RE PROJ'!Y67</f>
        <v>0.11220629633801568</v>
      </c>
      <c r="GG64" s="271">
        <f>+'WICHE Public Grads-RE PROJ'!HW67/'WICHE Public Grads-RE PROJ'!Z67</f>
        <v>0.1064723658481113</v>
      </c>
      <c r="GH64" s="271">
        <f>+'WICHE Public Grads-RE PROJ'!HX67/'WICHE Public Grads-RE PROJ'!AA67</f>
        <v>0.11659612017563409</v>
      </c>
      <c r="GI64" s="271">
        <f>+'WICHE Public Grads-RE PROJ'!HY67/'WICHE Public Grads-RE PROJ'!AB67</f>
        <v>0.12413314637032956</v>
      </c>
      <c r="GJ64" s="271">
        <f>+'WICHE Public Grads-RE PROJ'!HZ67/'WICHE Public Grads-RE PROJ'!AC67</f>
        <v>0.14327414536331579</v>
      </c>
      <c r="GK64" s="271">
        <f>+'WICHE Public Grads-RE PROJ'!IA67/'WICHE Public Grads-RE PROJ'!AD67</f>
        <v>0.14750756892796396</v>
      </c>
      <c r="GL64" s="271">
        <f>+'WICHE Public Grads-RE PROJ'!IB67/'WICHE Public Grads-RE PROJ'!AE67</f>
        <v>0.15450706323894911</v>
      </c>
      <c r="GM64" s="271">
        <f>+'WICHE Public Grads-RE PROJ'!IC67/'WICHE Public Grads-RE PROJ'!AF67</f>
        <v>0.16528920992708002</v>
      </c>
      <c r="GN64" s="271">
        <f>+'WICHE Public Grads-RE PROJ'!ID67/'WICHE Public Grads-RE PROJ'!AG67</f>
        <v>0.16396798287402387</v>
      </c>
      <c r="GO64" s="271">
        <f>+'WICHE Public Grads-RE PROJ'!IE67/'WICHE Public Grads-RE PROJ'!AH67</f>
        <v>0.1736253355008881</v>
      </c>
      <c r="GP64" s="271">
        <f>+'WICHE Public Grads-RE PROJ'!IF67/'WICHE Public Grads-RE PROJ'!AI67</f>
        <v>0.18776016729784348</v>
      </c>
      <c r="GQ64" s="271">
        <f>+'WICHE Public Grads-RE PROJ'!IG67/'WICHE Public Grads-RE PROJ'!AJ67</f>
        <v>0.19027365567107518</v>
      </c>
      <c r="GR64" s="271">
        <f>+'WICHE Public Grads-RE PROJ'!IH67/'WICHE Public Grads-RE PROJ'!AK67</f>
        <v>0.2015550332854458</v>
      </c>
      <c r="GS64" s="271">
        <f>+'WICHE Public Grads-RE PROJ'!II67/'WICHE Public Grads-RE PROJ'!AL67</f>
        <v>0.2051330637590674</v>
      </c>
      <c r="GT64" s="271">
        <f>+'WICHE Public Grads-RE PROJ'!IJ67/'WICHE Public Grads-RE PROJ'!AM67</f>
        <v>0.18012206168377259</v>
      </c>
      <c r="GU64" s="271">
        <f>+'WICHE Public Grads-RE PROJ'!IK67/'WICHE Public Grads-RE PROJ'!AN67</f>
        <v>0.17810369603166984</v>
      </c>
      <c r="GV64" s="271">
        <f>+'WICHE Public Grads-RE PROJ'!IL67/'WICHE Public Grads-RE PROJ'!AO67</f>
        <v>0.17607158007740237</v>
      </c>
      <c r="GW64" s="271">
        <f>+'WICHE Public Grads-RE PROJ'!IM67/'WICHE Public Grads-RE PROJ'!AP67</f>
        <v>0.16282699365411218</v>
      </c>
      <c r="GX64" s="284">
        <f>+'WICHE Public Grads-RE PROJ'!IN67/'WICHE Public Grads-RE PROJ'!AQ67</f>
        <v>0.1635460261147528</v>
      </c>
      <c r="GY64" s="270" t="e">
        <f>+'WICHE Public Grads-RE PROJ'!IO67/'WICHE Public Grads-RE PROJ'!B67</f>
        <v>#DIV/0!</v>
      </c>
      <c r="GZ64" s="270">
        <f>+'WICHE Public Grads-RE PROJ'!IP67/'WICHE Public Grads-RE PROJ'!C67</f>
        <v>2.3915816326530611E-2</v>
      </c>
      <c r="HA64" s="270">
        <f>+'WICHE Public Grads-RE PROJ'!IQ67/'WICHE Public Grads-RE PROJ'!D67</f>
        <v>2.6504521359526037E-2</v>
      </c>
      <c r="HB64" s="270">
        <f>+'WICHE Public Grads-RE PROJ'!IR67/'WICHE Public Grads-RE PROJ'!E67</f>
        <v>3.1907671418873046E-2</v>
      </c>
      <c r="HC64" s="270">
        <f>+'WICHE Public Grads-RE PROJ'!IS67/'WICHE Public Grads-RE PROJ'!F67</f>
        <v>2.596439169139466E-2</v>
      </c>
      <c r="HD64" s="270">
        <f>+'WICHE Public Grads-RE PROJ'!IT67/'WICHE Public Grads-RE PROJ'!G67</f>
        <v>3.0143708377146864E-2</v>
      </c>
      <c r="HE64" s="270">
        <f>+'WICHE Public Grads-RE PROJ'!IU67/'WICHE Public Grads-RE PROJ'!H67</f>
        <v>3.276917536910335E-2</v>
      </c>
      <c r="HF64" s="270">
        <f>+'WICHE Public Grads-RE PROJ'!IV67/'WICHE Public Grads-RE PROJ'!I67</f>
        <v>3.0654205607476635E-2</v>
      </c>
      <c r="HG64" s="270">
        <f>+'WICHE Public Grads-RE PROJ'!IW67/'WICHE Public Grads-RE PROJ'!J67</f>
        <v>3.6363636363636362E-2</v>
      </c>
      <c r="HH64" s="270">
        <f>+'WICHE Public Grads-RE PROJ'!IX67/'WICHE Public Grads-RE PROJ'!K67</f>
        <v>4.1666666666666664E-2</v>
      </c>
      <c r="HI64" s="270">
        <f>+'WICHE Public Grads-RE PROJ'!IY67/'WICHE Public Grads-RE PROJ'!L67</f>
        <v>4.1423948220064725E-2</v>
      </c>
      <c r="HJ64" s="270">
        <f>+'WICHE Public Grads-RE PROJ'!IZ67/'WICHE Public Grads-RE PROJ'!M67</f>
        <v>4.0366972477064222E-2</v>
      </c>
      <c r="HK64" s="270">
        <f>+'WICHE Public Grads-RE PROJ'!JA67/'WICHE Public Grads-RE PROJ'!N67</f>
        <v>3.7611349389640385E-2</v>
      </c>
      <c r="HL64" s="270">
        <f>+'WICHE Public Grads-RE PROJ'!JB67/'WICHE Public Grads-RE PROJ'!O67</f>
        <v>4.5667026249550519E-2</v>
      </c>
      <c r="HM64" s="270">
        <f>+'WICHE Public Grads-RE PROJ'!JC67/'WICHE Public Grads-RE PROJ'!P67</f>
        <v>4.1215508208173247E-2</v>
      </c>
      <c r="HN64" s="270">
        <f>+'WICHE Public Grads-RE PROJ'!JD67/'WICHE Public Grads-RE PROJ'!Q67</f>
        <v>3.6684782608695655E-2</v>
      </c>
      <c r="HO64" s="270">
        <f>+'WICHE Public Grads-RE PROJ'!JE67/'WICHE Public Grads-RE PROJ'!R67</f>
        <v>4.2959427207637228E-2</v>
      </c>
      <c r="HP64" s="270">
        <f>+'WICHE Public Grads-RE PROJ'!JF67/'WICHE Public Grads-RE PROJ'!S67</f>
        <v>3.7247654250781914E-2</v>
      </c>
      <c r="HQ64" s="270">
        <f>+'WICHE Public Grads-RE PROJ'!JG67/'WICHE Public Grads-RE PROJ'!T67</f>
        <v>3.5813436979455861E-2</v>
      </c>
      <c r="HR64" s="270">
        <f>+'WICHE Public Grads-RE PROJ'!JH67/'WICHE Public Grads-RE PROJ'!U67</f>
        <v>3.9637769640209236E-2</v>
      </c>
      <c r="HS64" s="270">
        <f>+'WICHE Public Grads-RE PROJ'!JI67/'WICHE Public Grads-RE PROJ'!V67</f>
        <v>3.8556572421732369E-2</v>
      </c>
      <c r="HT64" s="270">
        <f>+'WICHE Public Grads-RE PROJ'!JJ67/'WICHE Public Grads-RE PROJ'!W67</f>
        <v>3.9148259997336662E-2</v>
      </c>
      <c r="HU64" s="271">
        <f>+'WICHE Public Grads-RE PROJ'!JK67/'WICHE Public Grads-RE PROJ'!Y67</f>
        <v>4.444737834177364E-2</v>
      </c>
      <c r="HV64" s="271">
        <f>+'WICHE Public Grads-RE PROJ'!JL67/'WICHE Public Grads-RE PROJ'!Z67</f>
        <v>5.3127645178774476E-2</v>
      </c>
      <c r="HW64" s="271">
        <f>+'WICHE Public Grads-RE PROJ'!JM67/'WICHE Public Grads-RE PROJ'!AA67</f>
        <v>5.5847776337772916E-2</v>
      </c>
      <c r="HX64" s="271">
        <f>+'WICHE Public Grads-RE PROJ'!JN67/'WICHE Public Grads-RE PROJ'!AB67</f>
        <v>6.65980957988654E-2</v>
      </c>
      <c r="HY64" s="271">
        <f>+'WICHE Public Grads-RE PROJ'!JO67/'WICHE Public Grads-RE PROJ'!AC67</f>
        <v>7.4894217900469559E-2</v>
      </c>
      <c r="HZ64" s="271">
        <f>+'WICHE Public Grads-RE PROJ'!JP67/'WICHE Public Grads-RE PROJ'!AD67</f>
        <v>8.122489658953827E-2</v>
      </c>
      <c r="IA64" s="271">
        <f>+'WICHE Public Grads-RE PROJ'!JQ67/'WICHE Public Grads-RE PROJ'!AE67</f>
        <v>9.5282032772328662E-2</v>
      </c>
      <c r="IB64" s="271">
        <f>+'WICHE Public Grads-RE PROJ'!JR67/'WICHE Public Grads-RE PROJ'!AF67</f>
        <v>9.5109912409633346E-2</v>
      </c>
      <c r="IC64" s="271">
        <f>+'WICHE Public Grads-RE PROJ'!JS67/'WICHE Public Grads-RE PROJ'!AG67</f>
        <v>0.10333118838470078</v>
      </c>
      <c r="ID64" s="271">
        <f>+'WICHE Public Grads-RE PROJ'!JT67/'WICHE Public Grads-RE PROJ'!AH67</f>
        <v>0.11046608094005676</v>
      </c>
      <c r="IE64" s="271">
        <f>+'WICHE Public Grads-RE PROJ'!JU67/'WICHE Public Grads-RE PROJ'!AI67</f>
        <v>0.11046755972125008</v>
      </c>
      <c r="IF64" s="271">
        <f>+'WICHE Public Grads-RE PROJ'!JV67/'WICHE Public Grads-RE PROJ'!AJ67</f>
        <v>0.11502048878285283</v>
      </c>
      <c r="IG64" s="271">
        <f>+'WICHE Public Grads-RE PROJ'!JW67/'WICHE Public Grads-RE PROJ'!AK67</f>
        <v>0.11218046648786455</v>
      </c>
      <c r="IH64" s="271">
        <f>+'WICHE Public Grads-RE PROJ'!JX67/'WICHE Public Grads-RE PROJ'!AL67</f>
        <v>0.11246580114296094</v>
      </c>
      <c r="II64" s="445">
        <f>+'WICHE Public Grads-RE PROJ'!JY67/'WICHE Public Grads-RE PROJ'!AM67</f>
        <v>0.11869800460105105</v>
      </c>
      <c r="IJ64" s="445">
        <f>+'WICHE Public Grads-RE PROJ'!JZ67/'WICHE Public Grads-RE PROJ'!AN67</f>
        <v>0.12293869673170213</v>
      </c>
      <c r="IK64" s="445">
        <f>+'WICHE Public Grads-RE PROJ'!KA67/'WICHE Public Grads-RE PROJ'!AO67</f>
        <v>0.12991276039739766</v>
      </c>
      <c r="IL64" s="445">
        <f>+'WICHE Public Grads-RE PROJ'!KB67/'WICHE Public Grads-RE PROJ'!AP67</f>
        <v>0.12971757670654394</v>
      </c>
      <c r="IM64" s="447">
        <f>+'WICHE Public Grads-RE PROJ'!KC67/'WICHE Public Grads-RE PROJ'!AQ67</f>
        <v>0.13515709644112658</v>
      </c>
      <c r="IN64" s="448" t="e">
        <f t="shared" si="120"/>
        <v>#DIV/0!</v>
      </c>
      <c r="IO64" s="449">
        <f t="shared" si="121"/>
        <v>1</v>
      </c>
      <c r="IP64" s="449">
        <f t="shared" si="122"/>
        <v>1</v>
      </c>
      <c r="IQ64" s="449">
        <f t="shared" si="123"/>
        <v>1</v>
      </c>
      <c r="IR64" s="449">
        <f t="shared" si="124"/>
        <v>0.99999999999999989</v>
      </c>
      <c r="IS64" s="449">
        <f t="shared" si="125"/>
        <v>1</v>
      </c>
      <c r="IT64" s="449">
        <f t="shared" si="126"/>
        <v>1</v>
      </c>
      <c r="IU64" s="449">
        <f t="shared" si="127"/>
        <v>1</v>
      </c>
      <c r="IV64" s="449">
        <f t="shared" si="128"/>
        <v>1</v>
      </c>
      <c r="IW64" s="449">
        <f t="shared" si="129"/>
        <v>1</v>
      </c>
      <c r="IX64" s="449">
        <f t="shared" si="130"/>
        <v>1</v>
      </c>
      <c r="IY64" s="449">
        <f t="shared" si="131"/>
        <v>1</v>
      </c>
      <c r="IZ64" s="449">
        <f t="shared" si="132"/>
        <v>1</v>
      </c>
      <c r="JA64" s="449">
        <f t="shared" si="133"/>
        <v>1</v>
      </c>
      <c r="JB64" s="449">
        <f t="shared" si="134"/>
        <v>1.0129235068110374</v>
      </c>
      <c r="JC64" s="449">
        <f t="shared" si="135"/>
        <v>1.0458559782608694</v>
      </c>
      <c r="JD64" s="449">
        <f t="shared" si="136"/>
        <v>1.0002983293556085</v>
      </c>
      <c r="JE64" s="449">
        <f t="shared" si="137"/>
        <v>1</v>
      </c>
      <c r="JF64" s="449">
        <f t="shared" si="138"/>
        <v>1</v>
      </c>
      <c r="JG64" s="449">
        <f t="shared" si="139"/>
        <v>1</v>
      </c>
      <c r="JH64" s="449">
        <f t="shared" si="140"/>
        <v>1</v>
      </c>
      <c r="JI64" s="449">
        <f t="shared" si="141"/>
        <v>1</v>
      </c>
      <c r="JJ64" s="449">
        <f t="shared" si="142"/>
        <v>0.99368800599401685</v>
      </c>
      <c r="JK64" s="449">
        <f t="shared" si="143"/>
        <v>0.99684643377916193</v>
      </c>
      <c r="JL64" s="449">
        <f t="shared" si="144"/>
        <v>0.9984560823315034</v>
      </c>
      <c r="JM64" s="449">
        <f t="shared" si="145"/>
        <v>1.0025740216007029</v>
      </c>
      <c r="JN64" s="449">
        <f t="shared" si="146"/>
        <v>1.0048522919305791</v>
      </c>
      <c r="JO64" s="449">
        <f t="shared" si="147"/>
        <v>1.0083212357716829</v>
      </c>
      <c r="JP64" s="449">
        <f t="shared" si="148"/>
        <v>1.0114007133485208</v>
      </c>
      <c r="JQ64" s="449">
        <f t="shared" si="149"/>
        <v>1.0101952460847752</v>
      </c>
      <c r="JR64" s="449">
        <f t="shared" si="150"/>
        <v>1.0109667253878274</v>
      </c>
      <c r="JS64" s="449">
        <f t="shared" si="151"/>
        <v>1.0112862598695855</v>
      </c>
      <c r="JT64" s="449">
        <f t="shared" si="152"/>
        <v>1.0136208062608012</v>
      </c>
      <c r="JU64" s="449">
        <f t="shared" si="153"/>
        <v>1.0148710481200138</v>
      </c>
      <c r="JV64" s="449">
        <f t="shared" si="154"/>
        <v>1.0087778717491351</v>
      </c>
      <c r="JW64" s="449">
        <f t="shared" si="155"/>
        <v>1.0039244715395641</v>
      </c>
      <c r="JX64" s="449">
        <f t="shared" si="156"/>
        <v>0.99108492339585874</v>
      </c>
      <c r="JY64" s="449">
        <f t="shared" si="157"/>
        <v>0.97157276664012193</v>
      </c>
      <c r="JZ64" s="449">
        <f t="shared" si="157"/>
        <v>0.96740569233814033</v>
      </c>
      <c r="KA64" s="449">
        <f t="shared" si="157"/>
        <v>0.96500149444333694</v>
      </c>
      <c r="KB64" s="449">
        <f>+AP64+FI64+GX64+IM64</f>
        <v>0.95313949026404698</v>
      </c>
    </row>
  </sheetData>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E66"/>
  <sheetViews>
    <sheetView topLeftCell="A28" zoomScale="60" zoomScaleNormal="60" workbookViewId="0">
      <selection activeCell="E37" sqref="E37"/>
    </sheetView>
  </sheetViews>
  <sheetFormatPr defaultRowHeight="12.6"/>
  <cols>
    <col min="1" max="1" width="11.140625" customWidth="1"/>
    <col min="2" max="2" width="29.7109375" bestFit="1" customWidth="1"/>
    <col min="3" max="3" width="51.7109375" customWidth="1"/>
    <col min="4" max="4" width="34.42578125" customWidth="1"/>
    <col min="5" max="5" width="52.42578125" bestFit="1" customWidth="1"/>
  </cols>
  <sheetData>
    <row r="1" spans="1:5" ht="147.75" customHeight="1" thickBot="1">
      <c r="A1" s="596" t="s">
        <v>345</v>
      </c>
      <c r="B1" s="597"/>
      <c r="C1" s="597"/>
      <c r="D1" s="597"/>
      <c r="E1" s="598"/>
    </row>
    <row r="2" spans="1:5" ht="29.1">
      <c r="A2" s="503" t="s">
        <v>346</v>
      </c>
      <c r="B2" s="502" t="s">
        <v>347</v>
      </c>
      <c r="C2" s="502"/>
      <c r="D2" s="502" t="s">
        <v>347</v>
      </c>
      <c r="E2" s="502"/>
    </row>
    <row r="3" spans="1:5" ht="29.1">
      <c r="A3" s="294" t="s">
        <v>348</v>
      </c>
      <c r="B3" s="295" t="s">
        <v>349</v>
      </c>
      <c r="C3" s="295"/>
      <c r="D3" s="295" t="s">
        <v>349</v>
      </c>
      <c r="E3" s="295"/>
    </row>
    <row r="4" spans="1:5" ht="44.1" customHeight="1">
      <c r="A4" s="294" t="s">
        <v>350</v>
      </c>
      <c r="B4" s="295" t="s">
        <v>351</v>
      </c>
      <c r="C4" s="295"/>
      <c r="D4" s="295" t="s">
        <v>352</v>
      </c>
      <c r="E4" s="295"/>
    </row>
    <row r="5" spans="1:5" ht="37.5">
      <c r="A5" s="294" t="s">
        <v>353</v>
      </c>
      <c r="B5" s="295" t="s">
        <v>354</v>
      </c>
      <c r="C5" s="295" t="s">
        <v>355</v>
      </c>
      <c r="D5" s="295" t="s">
        <v>356</v>
      </c>
      <c r="E5" s="295" t="s">
        <v>355</v>
      </c>
    </row>
    <row r="6" spans="1:5" ht="14.45">
      <c r="A6" s="294" t="s">
        <v>357</v>
      </c>
      <c r="B6" s="296">
        <v>0.72</v>
      </c>
      <c r="C6" s="295"/>
      <c r="D6" s="296">
        <v>0.75</v>
      </c>
      <c r="E6" s="295"/>
    </row>
    <row r="7" spans="1:5" ht="14.45">
      <c r="A7" s="294" t="s">
        <v>358</v>
      </c>
      <c r="B7" s="296">
        <v>0.68</v>
      </c>
      <c r="C7" s="295"/>
      <c r="D7" s="296">
        <v>0.7</v>
      </c>
      <c r="E7" s="295"/>
    </row>
    <row r="8" spans="1:5" ht="14.45">
      <c r="A8" s="294" t="s">
        <v>359</v>
      </c>
      <c r="B8" s="296">
        <v>0.78</v>
      </c>
      <c r="C8" s="295"/>
      <c r="D8" s="296">
        <v>0.76</v>
      </c>
      <c r="E8" s="295"/>
    </row>
    <row r="9" spans="1:5" ht="14.45">
      <c r="A9" s="294" t="s">
        <v>360</v>
      </c>
      <c r="B9" s="296">
        <v>0.81</v>
      </c>
      <c r="C9" s="295"/>
      <c r="D9" s="296">
        <v>0.84</v>
      </c>
      <c r="E9" s="295"/>
    </row>
    <row r="10" spans="1:5" ht="14.45">
      <c r="A10" s="294" t="s">
        <v>361</v>
      </c>
      <c r="B10" s="296">
        <v>0.76</v>
      </c>
      <c r="C10" s="295"/>
      <c r="D10" s="296">
        <v>0.79</v>
      </c>
      <c r="E10" s="295"/>
    </row>
    <row r="11" spans="1:5" ht="14.45">
      <c r="A11" s="294" t="s">
        <v>362</v>
      </c>
      <c r="B11" s="296">
        <v>0.74</v>
      </c>
      <c r="C11" s="295"/>
      <c r="D11" s="296">
        <v>0.75</v>
      </c>
      <c r="E11" s="295"/>
    </row>
    <row r="12" spans="1:5" ht="14.45">
      <c r="A12" s="294" t="s">
        <v>363</v>
      </c>
      <c r="B12" s="296">
        <v>0.83</v>
      </c>
      <c r="C12" s="295"/>
      <c r="D12" s="296">
        <v>0.85</v>
      </c>
      <c r="E12" s="295"/>
    </row>
    <row r="13" spans="1:5" ht="14.45">
      <c r="A13" s="294" t="s">
        <v>364</v>
      </c>
      <c r="B13" s="296">
        <v>0.78</v>
      </c>
      <c r="C13" s="295"/>
      <c r="D13" s="296">
        <v>0.8</v>
      </c>
      <c r="E13" s="295"/>
    </row>
    <row r="14" spans="1:5" ht="14.45">
      <c r="A14" s="294" t="s">
        <v>365</v>
      </c>
      <c r="B14" s="296">
        <v>0.59</v>
      </c>
      <c r="C14" s="295"/>
      <c r="D14" s="296">
        <v>0.59</v>
      </c>
      <c r="E14" s="295"/>
    </row>
    <row r="15" spans="1:5" ht="14.45">
      <c r="A15" s="294" t="s">
        <v>366</v>
      </c>
      <c r="B15" s="296">
        <v>0.71</v>
      </c>
      <c r="C15" s="295"/>
      <c r="D15" s="296">
        <v>0.75</v>
      </c>
      <c r="E15" s="295"/>
    </row>
    <row r="16" spans="1:5" ht="14.45">
      <c r="A16" s="294" t="s">
        <v>367</v>
      </c>
      <c r="B16" s="296">
        <v>0.67</v>
      </c>
      <c r="C16" s="295"/>
      <c r="D16" s="296">
        <v>0.7</v>
      </c>
      <c r="E16" s="295"/>
    </row>
    <row r="17" spans="1:5" ht="14.45">
      <c r="A17" s="294" t="s">
        <v>368</v>
      </c>
      <c r="B17" s="296">
        <v>0.8</v>
      </c>
      <c r="C17" s="295"/>
      <c r="D17" s="296">
        <v>0.82</v>
      </c>
      <c r="E17" s="295"/>
    </row>
    <row r="18" spans="1:5" ht="108.75" customHeight="1">
      <c r="A18" s="294" t="s">
        <v>369</v>
      </c>
      <c r="B18" s="295" t="s">
        <v>141</v>
      </c>
      <c r="C18" s="295" t="s">
        <v>370</v>
      </c>
      <c r="D18" s="295" t="s">
        <v>141</v>
      </c>
      <c r="E18" s="295" t="s">
        <v>371</v>
      </c>
    </row>
    <row r="19" spans="1:5" ht="14.45">
      <c r="A19" s="294" t="s">
        <v>372</v>
      </c>
      <c r="B19" s="296">
        <v>0.84</v>
      </c>
      <c r="C19" s="295"/>
      <c r="D19" s="296">
        <v>0.82</v>
      </c>
      <c r="E19" s="295"/>
    </row>
    <row r="20" spans="1:5" ht="14.45">
      <c r="A20" s="294" t="s">
        <v>373</v>
      </c>
      <c r="B20" s="296">
        <v>0.86</v>
      </c>
      <c r="C20" s="295"/>
      <c r="D20" s="296">
        <v>0.86</v>
      </c>
      <c r="E20" s="295"/>
    </row>
    <row r="21" spans="1:5" ht="14.45">
      <c r="A21" s="294" t="s">
        <v>374</v>
      </c>
      <c r="B21" s="296">
        <v>0.88</v>
      </c>
      <c r="C21" s="295"/>
      <c r="D21" s="296">
        <v>0.89</v>
      </c>
      <c r="E21" s="295"/>
    </row>
    <row r="22" spans="1:5" ht="14.45">
      <c r="A22" s="294" t="s">
        <v>375</v>
      </c>
      <c r="B22" s="296">
        <v>0.83</v>
      </c>
      <c r="C22" s="295"/>
      <c r="D22" s="296">
        <v>0.85</v>
      </c>
      <c r="E22" s="295"/>
    </row>
    <row r="23" spans="1:5" ht="107.25" customHeight="1">
      <c r="A23" s="294" t="s">
        <v>376</v>
      </c>
      <c r="B23" s="295" t="s">
        <v>141</v>
      </c>
      <c r="C23" s="295" t="s">
        <v>377</v>
      </c>
      <c r="D23" s="295" t="s">
        <v>141</v>
      </c>
      <c r="E23" s="295" t="s">
        <v>371</v>
      </c>
    </row>
    <row r="24" spans="1:5" ht="14.45">
      <c r="A24" s="294" t="s">
        <v>378</v>
      </c>
      <c r="B24" s="296">
        <v>0.71</v>
      </c>
      <c r="C24" s="295"/>
      <c r="D24" s="296">
        <v>0.72</v>
      </c>
      <c r="E24" s="295"/>
    </row>
    <row r="25" spans="1:5" ht="14.45">
      <c r="A25" s="294" t="s">
        <v>379</v>
      </c>
      <c r="B25" s="296">
        <v>0.84</v>
      </c>
      <c r="C25" s="295"/>
      <c r="D25" s="296">
        <v>0.85</v>
      </c>
      <c r="E25" s="295"/>
    </row>
    <row r="26" spans="1:5" ht="14.45">
      <c r="A26" s="294" t="s">
        <v>380</v>
      </c>
      <c r="B26" s="296">
        <v>0.83</v>
      </c>
      <c r="C26" s="295"/>
      <c r="D26" s="296">
        <v>0.84</v>
      </c>
      <c r="E26" s="295"/>
    </row>
    <row r="27" spans="1:5" ht="14.45">
      <c r="A27" s="294" t="s">
        <v>381</v>
      </c>
      <c r="B27" s="296">
        <v>0.83</v>
      </c>
      <c r="C27" s="295"/>
      <c r="D27" s="296">
        <v>0.85</v>
      </c>
      <c r="E27" s="295"/>
    </row>
    <row r="28" spans="1:5" ht="14.45">
      <c r="A28" s="294" t="s">
        <v>382</v>
      </c>
      <c r="B28" s="296">
        <v>0.74</v>
      </c>
      <c r="C28" s="295"/>
      <c r="D28" s="296">
        <v>0.76</v>
      </c>
      <c r="E28" s="295"/>
    </row>
    <row r="29" spans="1:5" ht="14.45">
      <c r="A29" s="294" t="s">
        <v>383</v>
      </c>
      <c r="B29" s="296">
        <v>0.77</v>
      </c>
      <c r="C29" s="295"/>
      <c r="D29" s="296">
        <v>0.78</v>
      </c>
      <c r="E29" s="295"/>
    </row>
    <row r="30" spans="1:5" ht="14.45">
      <c r="A30" s="294" t="s">
        <v>384</v>
      </c>
      <c r="B30" s="296">
        <v>0.75</v>
      </c>
      <c r="C30" s="295"/>
      <c r="D30" s="296">
        <v>0.75</v>
      </c>
      <c r="E30" s="295"/>
    </row>
    <row r="31" spans="1:5" ht="14.45">
      <c r="A31" s="294" t="s">
        <v>385</v>
      </c>
      <c r="B31" s="296">
        <v>0.81</v>
      </c>
      <c r="C31" s="295"/>
      <c r="D31" s="296">
        <v>0.86</v>
      </c>
      <c r="E31" s="295"/>
    </row>
    <row r="32" spans="1:5" ht="14.45">
      <c r="A32" s="294" t="s">
        <v>386</v>
      </c>
      <c r="B32" s="296">
        <v>0.82</v>
      </c>
      <c r="C32" s="295"/>
      <c r="D32" s="296">
        <v>0.84</v>
      </c>
      <c r="E32" s="295"/>
    </row>
    <row r="33" spans="1:5" ht="14.45">
      <c r="A33" s="294" t="s">
        <v>387</v>
      </c>
      <c r="B33" s="296">
        <v>0.86</v>
      </c>
      <c r="C33" s="295"/>
      <c r="D33" s="296">
        <v>0.88</v>
      </c>
      <c r="E33" s="295"/>
    </row>
    <row r="34" spans="1:5" ht="14.45">
      <c r="A34" s="294" t="s">
        <v>388</v>
      </c>
      <c r="B34" s="296">
        <v>0.62</v>
      </c>
      <c r="C34" s="295"/>
      <c r="D34" s="296">
        <v>0.63</v>
      </c>
      <c r="E34" s="295"/>
    </row>
    <row r="35" spans="1:5" ht="14.45">
      <c r="A35" s="294" t="s">
        <v>389</v>
      </c>
      <c r="B35" s="296">
        <v>0.86</v>
      </c>
      <c r="C35" s="295"/>
      <c r="D35" s="296">
        <v>0.86</v>
      </c>
      <c r="E35" s="295"/>
    </row>
    <row r="36" spans="1:5" ht="14.45">
      <c r="A36" s="294" t="s">
        <v>390</v>
      </c>
      <c r="B36" s="296">
        <v>0.83</v>
      </c>
      <c r="C36" s="295"/>
      <c r="D36" s="296">
        <v>0.86</v>
      </c>
      <c r="E36" s="295"/>
    </row>
    <row r="37" spans="1:5" ht="53.25" customHeight="1">
      <c r="A37" s="294" t="s">
        <v>391</v>
      </c>
      <c r="B37" s="296">
        <v>0.63</v>
      </c>
      <c r="C37" s="295"/>
      <c r="D37" s="296">
        <v>0.7</v>
      </c>
      <c r="E37" s="295" t="s">
        <v>392</v>
      </c>
    </row>
    <row r="38" spans="1:5" ht="14.45">
      <c r="A38" s="294" t="s">
        <v>393</v>
      </c>
      <c r="B38" s="296">
        <v>0.77</v>
      </c>
      <c r="C38" s="295"/>
      <c r="D38" s="296">
        <v>0.77</v>
      </c>
      <c r="E38" s="295"/>
    </row>
    <row r="39" spans="1:5" ht="14.45">
      <c r="A39" s="294" t="s">
        <v>394</v>
      </c>
      <c r="B39" s="296">
        <v>0.78</v>
      </c>
      <c r="C39" s="295"/>
      <c r="D39" s="296">
        <v>0.8</v>
      </c>
      <c r="E39" s="295"/>
    </row>
    <row r="40" spans="1:5" ht="14.45">
      <c r="A40" s="294" t="s">
        <v>395</v>
      </c>
      <c r="B40" s="296">
        <v>0.86</v>
      </c>
      <c r="C40" s="295"/>
      <c r="D40" s="296">
        <v>0.87</v>
      </c>
      <c r="E40" s="295"/>
    </row>
    <row r="41" spans="1:5" ht="14.45">
      <c r="A41" s="294" t="s">
        <v>396</v>
      </c>
      <c r="B41" s="296">
        <v>0.8</v>
      </c>
      <c r="C41" s="295"/>
      <c r="D41" s="296">
        <v>0.81</v>
      </c>
      <c r="E41" s="295"/>
    </row>
    <row r="42" spans="1:5" ht="103.5" customHeight="1">
      <c r="A42" s="294" t="s">
        <v>397</v>
      </c>
      <c r="B42" s="295" t="s">
        <v>141</v>
      </c>
      <c r="C42" s="295"/>
      <c r="D42" s="295" t="s">
        <v>141</v>
      </c>
      <c r="E42" s="295" t="s">
        <v>371</v>
      </c>
    </row>
    <row r="43" spans="1:5" ht="14.45">
      <c r="A43" s="294" t="s">
        <v>398</v>
      </c>
      <c r="B43" s="296">
        <v>0.68</v>
      </c>
      <c r="C43" s="295"/>
      <c r="D43" s="296">
        <v>0.68</v>
      </c>
      <c r="E43" s="295"/>
    </row>
    <row r="44" spans="1:5" ht="14.45">
      <c r="A44" s="294" t="s">
        <v>399</v>
      </c>
      <c r="B44" s="296">
        <v>0.83</v>
      </c>
      <c r="C44" s="295"/>
      <c r="D44" s="296">
        <v>0.84</v>
      </c>
      <c r="E44" s="295"/>
    </row>
    <row r="45" spans="1:5" ht="55.5" customHeight="1">
      <c r="A45" s="294" t="s">
        <v>400</v>
      </c>
      <c r="B45" s="295" t="s">
        <v>141</v>
      </c>
      <c r="C45" s="295"/>
      <c r="D45" s="295" t="s">
        <v>141</v>
      </c>
      <c r="E45" s="295" t="s">
        <v>401</v>
      </c>
    </row>
    <row r="46" spans="1:5" ht="14.45">
      <c r="A46" s="294" t="s">
        <v>402</v>
      </c>
      <c r="B46" s="296">
        <v>0.77</v>
      </c>
      <c r="C46" s="295"/>
      <c r="D46" s="296">
        <v>0.77</v>
      </c>
      <c r="E46" s="295"/>
    </row>
    <row r="47" spans="1:5" ht="14.45">
      <c r="A47" s="294" t="s">
        <v>403</v>
      </c>
      <c r="B47" s="296">
        <v>0.74</v>
      </c>
      <c r="C47" s="295"/>
      <c r="D47" s="296">
        <v>0.75</v>
      </c>
      <c r="E47" s="295"/>
    </row>
    <row r="48" spans="1:5" ht="14.45">
      <c r="A48" s="294" t="s">
        <v>404</v>
      </c>
      <c r="B48" s="296">
        <v>0.83</v>
      </c>
      <c r="C48" s="295"/>
      <c r="D48" s="296">
        <v>0.83</v>
      </c>
      <c r="E48" s="295"/>
    </row>
    <row r="49" spans="1:5" ht="14.45">
      <c r="A49" s="294" t="s">
        <v>405</v>
      </c>
      <c r="B49" s="296">
        <v>0.86</v>
      </c>
      <c r="C49" s="295"/>
      <c r="D49" s="296">
        <v>0.87</v>
      </c>
      <c r="E49" s="295"/>
    </row>
    <row r="50" spans="1:5" ht="14.45">
      <c r="A50" s="294" t="s">
        <v>406</v>
      </c>
      <c r="B50" s="296">
        <v>0.86</v>
      </c>
      <c r="C50" s="295"/>
      <c r="D50" s="296">
        <v>0.88</v>
      </c>
      <c r="E50" s="295"/>
    </row>
    <row r="51" spans="1:5" ht="14.45">
      <c r="A51" s="294" t="s">
        <v>407</v>
      </c>
      <c r="B51" s="296">
        <v>0.76</v>
      </c>
      <c r="C51" s="295"/>
      <c r="D51" s="296">
        <v>0.8</v>
      </c>
      <c r="E51" s="295"/>
    </row>
    <row r="52" spans="1:5" ht="14.45">
      <c r="A52" s="294" t="s">
        <v>408</v>
      </c>
      <c r="B52" s="296">
        <v>0.87</v>
      </c>
      <c r="C52" s="295"/>
      <c r="D52" s="296">
        <v>0.88</v>
      </c>
      <c r="E52" s="295"/>
    </row>
    <row r="53" spans="1:5" ht="14.45">
      <c r="A53" s="294" t="s">
        <v>409</v>
      </c>
      <c r="B53" s="296">
        <v>0.82</v>
      </c>
      <c r="C53" s="295"/>
      <c r="D53" s="296">
        <v>0.83</v>
      </c>
      <c r="E53" s="295"/>
    </row>
    <row r="54" spans="1:5" ht="14.45">
      <c r="A54" s="294" t="s">
        <v>410</v>
      </c>
      <c r="B54" s="296">
        <v>0.76</v>
      </c>
      <c r="C54" s="295"/>
      <c r="D54" s="296">
        <v>0.77</v>
      </c>
      <c r="E54" s="295"/>
    </row>
    <row r="55" spans="1:5" ht="14.45">
      <c r="A55" s="294" t="s">
        <v>411</v>
      </c>
      <c r="B55" s="296">
        <v>0.78</v>
      </c>
      <c r="C55" s="295"/>
      <c r="D55" s="296">
        <v>0.79</v>
      </c>
      <c r="E55" s="295"/>
    </row>
    <row r="56" spans="1:5" ht="14.45">
      <c r="A56" s="294" t="s">
        <v>412</v>
      </c>
      <c r="B56" s="296">
        <v>0.87</v>
      </c>
      <c r="C56" s="295"/>
      <c r="D56" s="296">
        <v>0.88</v>
      </c>
      <c r="E56" s="295"/>
    </row>
    <row r="57" spans="1:5" ht="14.45">
      <c r="A57" s="294" t="s">
        <v>413</v>
      </c>
      <c r="B57" s="296">
        <v>0.8</v>
      </c>
      <c r="C57" s="295"/>
      <c r="D57" s="296">
        <v>0.79</v>
      </c>
      <c r="E57" s="295"/>
    </row>
    <row r="58" spans="1:5" ht="14.45">
      <c r="A58" s="294" t="s">
        <v>414</v>
      </c>
      <c r="B58" s="295" t="s">
        <v>415</v>
      </c>
      <c r="C58" s="295"/>
      <c r="D58" s="295" t="s">
        <v>415</v>
      </c>
      <c r="E58" s="295"/>
    </row>
    <row r="59" spans="1:5" ht="54" customHeight="1">
      <c r="A59" s="294" t="s">
        <v>416</v>
      </c>
      <c r="B59" s="295" t="s">
        <v>417</v>
      </c>
      <c r="C59" s="295"/>
      <c r="D59" s="295" t="s">
        <v>417</v>
      </c>
      <c r="E59" s="295"/>
    </row>
    <row r="60" spans="1:5" ht="29.1">
      <c r="A60" s="294" t="s">
        <v>418</v>
      </c>
      <c r="B60" s="295" t="s">
        <v>95</v>
      </c>
      <c r="C60" s="295"/>
      <c r="D60" s="295" t="s">
        <v>96</v>
      </c>
      <c r="E60" s="295"/>
    </row>
    <row r="61" spans="1:5" ht="14.45">
      <c r="A61" s="294" t="s">
        <v>419</v>
      </c>
      <c r="B61" s="295" t="s">
        <v>415</v>
      </c>
      <c r="C61" s="295"/>
      <c r="D61" s="295" t="s">
        <v>415</v>
      </c>
      <c r="E61" s="295"/>
    </row>
    <row r="62" spans="1:5" ht="387.75" customHeight="1">
      <c r="A62" s="294" t="s">
        <v>420</v>
      </c>
      <c r="B62" s="295" t="s">
        <v>421</v>
      </c>
      <c r="C62" s="295"/>
      <c r="D62" s="295" t="s">
        <v>422</v>
      </c>
      <c r="E62" s="295"/>
    </row>
    <row r="63" spans="1:5" ht="45.75" customHeight="1">
      <c r="A63" s="294" t="s">
        <v>423</v>
      </c>
      <c r="B63" s="295" t="s">
        <v>424</v>
      </c>
      <c r="C63" s="295"/>
      <c r="D63" s="295" t="s">
        <v>425</v>
      </c>
      <c r="E63" s="295"/>
    </row>
    <row r="64" spans="1:5" ht="43.5">
      <c r="A64" s="294" t="s">
        <v>426</v>
      </c>
      <c r="B64" s="297">
        <v>41731</v>
      </c>
      <c r="C64" s="295"/>
      <c r="D64" s="297">
        <v>41731</v>
      </c>
      <c r="E64" s="295"/>
    </row>
    <row r="66" spans="3:5" ht="14.45">
      <c r="C66" s="484" t="s">
        <v>427</v>
      </c>
      <c r="E66" s="298" t="s">
        <v>427</v>
      </c>
    </row>
  </sheetData>
  <mergeCells count="1">
    <mergeCell ref="A1:E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3553cee-4ecc-4eb5-80d8-f24f98131822">
      <Terms xmlns="http://schemas.microsoft.com/office/infopath/2007/PartnerControls"/>
    </lcf76f155ced4ddcb4097134ff3c332f>
    <TaxCatchAll xmlns="fc2f2499-f938-4cc0-a2cd-f3e7b3a200ae" xsi:nil="true"/>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C9207C4D8AB6E4A9864D320D8693611" ma:contentTypeVersion="18" ma:contentTypeDescription="Create a new document." ma:contentTypeScope="" ma:versionID="55b26c83f5843aa33aabf03f8d651484">
  <xsd:schema xmlns:xsd="http://www.w3.org/2001/XMLSchema" xmlns:xs="http://www.w3.org/2001/XMLSchema" xmlns:p="http://schemas.microsoft.com/office/2006/metadata/properties" xmlns:ns1="http://schemas.microsoft.com/sharepoint/v3" xmlns:ns2="d3553cee-4ecc-4eb5-80d8-f24f98131822" xmlns:ns3="fc2f2499-f938-4cc0-a2cd-f3e7b3a200ae" targetNamespace="http://schemas.microsoft.com/office/2006/metadata/properties" ma:root="true" ma:fieldsID="415400e8cda373a00b52e8852c7512ad" ns1:_="" ns2:_="" ns3:_="">
    <xsd:import namespace="http://schemas.microsoft.com/sharepoint/v3"/>
    <xsd:import namespace="d3553cee-4ecc-4eb5-80d8-f24f98131822"/>
    <xsd:import namespace="fc2f2499-f938-4cc0-a2cd-f3e7b3a200a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3553cee-4ecc-4eb5-80d8-f24f981318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c57d8738-f617-483e-b1e9-cf95238b6ec2"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c2f2499-f938-4cc0-a2cd-f3e7b3a200ae"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ca6a8f7f-71d7-4f3a-9b22-3a2166d4d588}" ma:internalName="TaxCatchAll" ma:showField="CatchAllData" ma:web="fc2f2499-f938-4cc0-a2cd-f3e7b3a200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3E3429-7516-4619-AFB0-DC1E07559E52}"/>
</file>

<file path=customXml/itemProps2.xml><?xml version="1.0" encoding="utf-8"?>
<ds:datastoreItem xmlns:ds="http://schemas.openxmlformats.org/officeDocument/2006/customXml" ds:itemID="{008C5928-AE0D-4633-939A-79A36AFD63C1}"/>
</file>

<file path=customXml/itemProps3.xml><?xml version="1.0" encoding="utf-8"?>
<ds:datastoreItem xmlns:ds="http://schemas.openxmlformats.org/officeDocument/2006/customXml" ds:itemID="{1F9A135E-397C-45A7-A8AD-C848422B9B7A}"/>
</file>

<file path=docMetadata/LabelInfo.xml><?xml version="1.0" encoding="utf-8"?>
<clbl:labelList xmlns:clbl="http://schemas.microsoft.com/office/2020/mipLabelMetadata">
  <clbl:label id="{00260771-a9fd-4aa8-a138-a40ac53a5467}" enabled="1" method="Privileged" siteId="{eb20950b-168c-497a-9845-2b099844f3ef}"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SREB</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jmarks</dc:creator>
  <cp:keywords/>
  <dc:description/>
  <cp:lastModifiedBy>MJ Kim</cp:lastModifiedBy>
  <cp:revision/>
  <dcterms:created xsi:type="dcterms:W3CDTF">1999-01-27T19:16:16Z</dcterms:created>
  <dcterms:modified xsi:type="dcterms:W3CDTF">2024-09-06T17:29:13Z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0260771-a9fd-4aa8-a138-a40ac53a5467_Enabled">
    <vt:lpwstr>True</vt:lpwstr>
  </property>
  <property fmtid="{D5CDD505-2E9C-101B-9397-08002B2CF9AE}" pid="3" name="MSIP_Label_00260771-a9fd-4aa8-a138-a40ac53a5467_SiteId">
    <vt:lpwstr>eb20950b-168c-497a-9845-2b099844f3ef</vt:lpwstr>
  </property>
  <property fmtid="{D5CDD505-2E9C-101B-9397-08002B2CF9AE}" pid="4" name="MSIP_Label_00260771-a9fd-4aa8-a138-a40ac53a5467_Owner">
    <vt:lpwstr>Christiana.Datubo-Brown@SREB.ORG</vt:lpwstr>
  </property>
  <property fmtid="{D5CDD505-2E9C-101B-9397-08002B2CF9AE}" pid="5" name="MSIP_Label_00260771-a9fd-4aa8-a138-a40ac53a5467_SetDate">
    <vt:lpwstr>2018-12-03T14:07:16.7301179Z</vt:lpwstr>
  </property>
  <property fmtid="{D5CDD505-2E9C-101B-9397-08002B2CF9AE}" pid="6" name="MSIP_Label_00260771-a9fd-4aa8-a138-a40ac53a5467_Name">
    <vt:lpwstr>General</vt:lpwstr>
  </property>
  <property fmtid="{D5CDD505-2E9C-101B-9397-08002B2CF9AE}" pid="7" name="MSIP_Label_00260771-a9fd-4aa8-a138-a40ac53a5467_Application">
    <vt:lpwstr>Microsoft Azure Information Protection</vt:lpwstr>
  </property>
  <property fmtid="{D5CDD505-2E9C-101B-9397-08002B2CF9AE}" pid="8" name="MSIP_Label_00260771-a9fd-4aa8-a138-a40ac53a5467_Extended_MSFT_Method">
    <vt:lpwstr>Automatic</vt:lpwstr>
  </property>
  <property fmtid="{D5CDD505-2E9C-101B-9397-08002B2CF9AE}" pid="9" name="Sensitivity">
    <vt:lpwstr>General</vt:lpwstr>
  </property>
  <property fmtid="{D5CDD505-2E9C-101B-9397-08002B2CF9AE}" pid="10" name="ContentTypeId">
    <vt:lpwstr>0x0101008C9207C4D8AB6E4A9864D320D8693611</vt:lpwstr>
  </property>
  <property fmtid="{D5CDD505-2E9C-101B-9397-08002B2CF9AE}" pid="11" name="MediaServiceImageTags">
    <vt:lpwstr/>
  </property>
</Properties>
</file>